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5" windowWidth="23250" windowHeight="6930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 calcOnSave="0"/>
</workbook>
</file>

<file path=xl/calcChain.xml><?xml version="1.0" encoding="utf-8"?>
<calcChain xmlns="http://schemas.openxmlformats.org/spreadsheetml/2006/main">
  <c r="C6" i="95" l="1"/>
  <c r="C7" i="95"/>
  <c r="C28" i="95"/>
  <c r="C29" i="95"/>
  <c r="C35" i="95"/>
  <c r="B2" i="95" l="1"/>
  <c r="C30" i="95"/>
  <c r="C26" i="95"/>
  <c r="C18" i="95"/>
  <c r="C8" i="95"/>
  <c r="C36" i="95" l="1"/>
  <c r="C38" i="95" s="1"/>
  <c r="D9" i="94"/>
  <c r="D8" i="94"/>
  <c r="D7" i="94"/>
  <c r="D13" i="94"/>
  <c r="D12" i="94"/>
  <c r="D11" i="94"/>
  <c r="D17" i="94"/>
  <c r="D16" i="94"/>
  <c r="D15" i="94"/>
  <c r="C21" i="94"/>
  <c r="B17" i="84" s="1"/>
  <c r="C20" i="94"/>
  <c r="B16" i="84" s="1"/>
  <c r="C19" i="94"/>
  <c r="B15" i="84" s="1"/>
  <c r="D21" i="94" l="1"/>
  <c r="D20" i="94"/>
  <c r="D19" i="94"/>
  <c r="C22" i="90"/>
  <c r="F40" i="83" l="1"/>
  <c r="C40" i="83"/>
  <c r="C15" i="89" l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J24" i="93" s="1"/>
  <c r="J25" i="93" s="1"/>
  <c r="K10" i="93"/>
  <c r="H21" i="93"/>
  <c r="F23" i="93"/>
  <c r="H23" i="93" s="1"/>
  <c r="H19" i="93"/>
  <c r="H11" i="93"/>
  <c r="G16" i="93"/>
  <c r="G24" i="93" s="1"/>
  <c r="G25" i="93" s="1"/>
  <c r="H10" i="93"/>
  <c r="E21" i="93"/>
  <c r="D16" i="93"/>
  <c r="E19" i="93"/>
  <c r="E11" i="93"/>
  <c r="E10" i="93"/>
  <c r="C5" i="86"/>
  <c r="I16" i="93" l="1"/>
  <c r="F16" i="93"/>
  <c r="C16" i="93"/>
  <c r="E16" i="93" s="1"/>
  <c r="K16" i="93" l="1"/>
  <c r="I24" i="93"/>
  <c r="F24" i="93"/>
  <c r="H24" i="93" s="1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G8" i="91" s="1"/>
  <c r="H8" i="91" s="1"/>
  <c r="S9" i="90"/>
  <c r="F9" i="91" s="1"/>
  <c r="G9" i="91" s="1"/>
  <c r="S10" i="90"/>
  <c r="F10" i="91" s="1"/>
  <c r="G10" i="91" s="1"/>
  <c r="S11" i="90"/>
  <c r="F11" i="91" s="1"/>
  <c r="G11" i="91" s="1"/>
  <c r="S12" i="90"/>
  <c r="F12" i="91" s="1"/>
  <c r="G12" i="91" s="1"/>
  <c r="H12" i="91" s="1"/>
  <c r="S13" i="90"/>
  <c r="F13" i="91" s="1"/>
  <c r="G13" i="91" s="1"/>
  <c r="H13" i="91" s="1"/>
  <c r="S14" i="90"/>
  <c r="F14" i="91" s="1"/>
  <c r="S15" i="90"/>
  <c r="F15" i="91" s="1"/>
  <c r="S16" i="90"/>
  <c r="F16" i="91" s="1"/>
  <c r="G16" i="91" s="1"/>
  <c r="H16" i="91" s="1"/>
  <c r="S17" i="90"/>
  <c r="F17" i="91" s="1"/>
  <c r="G17" i="91" s="1"/>
  <c r="H17" i="91" s="1"/>
  <c r="S18" i="90"/>
  <c r="F18" i="91" s="1"/>
  <c r="G18" i="91" s="1"/>
  <c r="S19" i="90"/>
  <c r="F19" i="91" s="1"/>
  <c r="G19" i="91" s="1"/>
  <c r="H19" i="91" s="1"/>
  <c r="S20" i="90"/>
  <c r="F20" i="91" s="1"/>
  <c r="G20" i="91" s="1"/>
  <c r="H20" i="91" s="1"/>
  <c r="S21" i="90"/>
  <c r="F21" i="91" s="1"/>
  <c r="G21" i="91" s="1"/>
  <c r="H21" i="91" s="1"/>
  <c r="B2" i="90"/>
  <c r="C21" i="69"/>
  <c r="B2" i="69"/>
  <c r="B2" i="94"/>
  <c r="B2" i="89"/>
  <c r="H18" i="91" l="1"/>
  <c r="H10" i="91"/>
  <c r="H11" i="91"/>
  <c r="H9" i="91"/>
  <c r="I25" i="93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G32" i="75"/>
  <c r="F32" i="75"/>
  <c r="D32" i="75"/>
  <c r="C32" i="75"/>
  <c r="G40" i="75"/>
  <c r="F40" i="75"/>
  <c r="D40" i="75"/>
  <c r="C40" i="75"/>
  <c r="G22" i="75"/>
  <c r="F22" i="75"/>
  <c r="D22" i="75"/>
  <c r="C22" i="75"/>
  <c r="G19" i="75"/>
  <c r="F19" i="75"/>
  <c r="D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G54" i="85" s="1"/>
  <c r="F34" i="85"/>
  <c r="D34" i="85"/>
  <c r="D45" i="85" s="1"/>
  <c r="D54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E30" i="85" s="1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E53" i="85" s="1"/>
  <c r="D53" i="85"/>
  <c r="F53" i="85"/>
  <c r="H53" i="85" s="1"/>
  <c r="G53" i="85"/>
  <c r="E58" i="85"/>
  <c r="H58" i="85"/>
  <c r="E59" i="85"/>
  <c r="H59" i="85"/>
  <c r="E60" i="85"/>
  <c r="H60" i="85"/>
  <c r="C61" i="85"/>
  <c r="E61" i="85" s="1"/>
  <c r="D61" i="85"/>
  <c r="F61" i="85"/>
  <c r="H61" i="85" s="1"/>
  <c r="G61" i="85"/>
  <c r="E64" i="85"/>
  <c r="H64" i="85"/>
  <c r="E66" i="85"/>
  <c r="H66" i="85"/>
  <c r="B2" i="85"/>
  <c r="G14" i="83"/>
  <c r="F14" i="83"/>
  <c r="D14" i="83"/>
  <c r="C14" i="83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D20" i="83"/>
  <c r="E15" i="83"/>
  <c r="C14" i="69" s="1"/>
  <c r="H15" i="83"/>
  <c r="E16" i="83"/>
  <c r="C15" i="69" s="1"/>
  <c r="H16" i="83"/>
  <c r="E17" i="83"/>
  <c r="C16" i="69" s="1"/>
  <c r="H17" i="83"/>
  <c r="E18" i="83"/>
  <c r="C20" i="69" s="1"/>
  <c r="H18" i="83"/>
  <c r="E19" i="83"/>
  <c r="C22" i="69" s="1"/>
  <c r="H19" i="83"/>
  <c r="F20" i="83"/>
  <c r="E22" i="83"/>
  <c r="C24" i="69" s="1"/>
  <c r="H22" i="83"/>
  <c r="E23" i="83"/>
  <c r="C25" i="69" s="1"/>
  <c r="H23" i="83"/>
  <c r="E24" i="83"/>
  <c r="C26" i="69" s="1"/>
  <c r="H24" i="83"/>
  <c r="E25" i="83"/>
  <c r="C27" i="69" s="1"/>
  <c r="H25" i="83"/>
  <c r="E26" i="83"/>
  <c r="C28" i="69" s="1"/>
  <c r="H26" i="83"/>
  <c r="E27" i="83"/>
  <c r="C29" i="69" s="1"/>
  <c r="H27" i="83"/>
  <c r="E28" i="83"/>
  <c r="C30" i="69" s="1"/>
  <c r="H28" i="83"/>
  <c r="E29" i="83"/>
  <c r="C31" i="69" s="1"/>
  <c r="H29" i="83"/>
  <c r="E30" i="83"/>
  <c r="H30" i="83"/>
  <c r="C31" i="83"/>
  <c r="E31" i="83" s="1"/>
  <c r="D31" i="83"/>
  <c r="F31" i="83"/>
  <c r="G31" i="83"/>
  <c r="G41" i="83" s="1"/>
  <c r="E33" i="83"/>
  <c r="C7" i="89" s="1"/>
  <c r="C35" i="69" s="1"/>
  <c r="H33" i="83"/>
  <c r="E34" i="83"/>
  <c r="H34" i="83"/>
  <c r="E35" i="83"/>
  <c r="H35" i="83"/>
  <c r="E36" i="83"/>
  <c r="H36" i="83"/>
  <c r="E37" i="83"/>
  <c r="H37" i="83"/>
  <c r="E38" i="83"/>
  <c r="C11" i="89" s="1"/>
  <c r="C40" i="69" s="1"/>
  <c r="H38" i="83"/>
  <c r="E39" i="83"/>
  <c r="H39" i="83"/>
  <c r="E40" i="83"/>
  <c r="H40" i="83"/>
  <c r="D41" i="83"/>
  <c r="B2" i="83"/>
  <c r="E9" i="85" l="1"/>
  <c r="H31" i="83"/>
  <c r="H14" i="83"/>
  <c r="H30" i="85"/>
  <c r="H9" i="85"/>
  <c r="H22" i="85"/>
  <c r="D31" i="85"/>
  <c r="D56" i="85" s="1"/>
  <c r="D63" i="85" s="1"/>
  <c r="D65" i="85" s="1"/>
  <c r="D67" i="85" s="1"/>
  <c r="C14" i="88"/>
  <c r="E14" i="88" s="1"/>
  <c r="C44" i="89"/>
  <c r="C33" i="69" s="1"/>
  <c r="C32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C20" i="83"/>
  <c r="E20" i="83" s="1"/>
  <c r="C41" i="83"/>
  <c r="E41" i="83" s="1"/>
  <c r="H31" i="85" l="1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N20" i="92" l="1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C21" i="88" l="1"/>
  <c r="T21" i="64" l="1"/>
  <c r="U21" i="64"/>
  <c r="S21" i="64"/>
  <c r="C21" i="64"/>
  <c r="F22" i="91"/>
  <c r="E22" i="91"/>
  <c r="C22" i="91"/>
  <c r="K22" i="90" l="1"/>
  <c r="L22" i="90"/>
  <c r="M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1" i="89"/>
  <c r="C30" i="89" s="1"/>
  <c r="C35" i="89"/>
  <c r="C43" i="89"/>
  <c r="C47" i="89"/>
  <c r="C41" i="89" l="1"/>
  <c r="C52" i="89"/>
  <c r="C13" i="69" l="1"/>
  <c r="C23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s="1"/>
  <c r="D22" i="91" s="1"/>
  <c r="C6" i="73" l="1"/>
  <c r="C8" i="73" s="1"/>
  <c r="C13" i="73" s="1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V8" i="64" l="1"/>
  <c r="V9" i="64"/>
  <c r="V10" i="64"/>
  <c r="V11" i="64"/>
  <c r="V12" i="64"/>
  <c r="V13" i="64"/>
  <c r="G14" i="91" s="1"/>
  <c r="V14" i="64"/>
  <c r="G15" i="91" s="1"/>
  <c r="H15" i="91" s="1"/>
  <c r="V15" i="64"/>
  <c r="V16" i="64"/>
  <c r="V17" i="64"/>
  <c r="V18" i="64"/>
  <c r="V19" i="64"/>
  <c r="V20" i="64"/>
  <c r="V7" i="64"/>
  <c r="H14" i="91" l="1"/>
  <c r="G22" i="91"/>
  <c r="V21" i="64"/>
  <c r="C42" i="69" l="1"/>
  <c r="C34" i="69"/>
</calcChain>
</file>

<file path=xl/sharedStrings.xml><?xml version="1.0" encoding="utf-8"?>
<sst xmlns="http://schemas.openxmlformats.org/spreadsheetml/2006/main" count="736" uniqueCount="511">
  <si>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</si>
  <si>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</si>
  <si>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</si>
  <si>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</si>
  <si>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</si>
  <si>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</si>
  <si>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</si>
  <si>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</si>
  <si>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</si>
  <si>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</si>
  <si>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</si>
  <si>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</si>
  <si>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</si>
  <si>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</si>
  <si>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</si>
  <si>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</si>
  <si>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</si>
  <si>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</si>
  <si>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</si>
  <si>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</si>
  <si>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</si>
  <si>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</si>
  <si>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</si>
  <si>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</si>
  <si>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</si>
  <si>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</si>
  <si>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</si>
  <si>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</si>
  <si>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</si>
  <si>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</si>
  <si>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</si>
  <si>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</si>
  <si>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</si>
  <si>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</si>
  <si>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</si>
  <si>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</si>
  <si>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</si>
  <si>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</si>
  <si>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</si>
  <si>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</si>
  <si>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</si>
  <si>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</si>
  <si>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</si>
  <si>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</si>
  <si>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</si>
  <si>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</si>
  <si>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</si>
  <si>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</si>
  <si>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</si>
  <si>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</si>
  <si>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</si>
  <si>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</si>
  <si>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</si>
  <si>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</si>
  <si>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</si>
  <si>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</si>
  <si>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</si>
  <si>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</si>
  <si>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</si>
  <si>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</si>
  <si>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</si>
  <si>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</si>
  <si>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</si>
  <si>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</si>
  <si>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</si>
  <si>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</si>
  <si>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</si>
  <si>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</si>
  <si>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</si>
  <si>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</si>
  <si>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</si>
  <si>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</si>
  <si>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</si>
  <si>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</si>
  <si>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</si>
  <si>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</si>
  <si>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</si>
  <si>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</si>
  <si>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</si>
  <si>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</si>
  <si>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</si>
  <si>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</si>
  <si>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</si>
  <si>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</si>
  <si>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</si>
  <si>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</si>
  <si>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</si>
  <si>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</si>
  <si>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</si>
  <si>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</si>
  <si>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</si>
  <si>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</si>
  <si>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</si>
  <si>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</si>
  <si>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</si>
  <si>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</si>
  <si>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</si>
  <si>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</si>
  <si>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</si>
  <si>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</si>
  <si>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</si>
  <si>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</si>
  <si>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</si>
  <si>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</si>
  <si>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</si>
  <si>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</si>
  <si>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</si>
  <si>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</si>
  <si>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</si>
  <si>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</si>
  <si>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</si>
  <si>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</si>
  <si>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</si>
  <si>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</si>
  <si>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</si>
  <si>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</si>
  <si>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</si>
  <si>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</si>
  <si>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</si>
  <si>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</si>
  <si>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</si>
  <si>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</si>
  <si>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</si>
  <si>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</si>
  <si>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</si>
  <si>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</si>
  <si>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</si>
  <si>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</si>
  <si>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</si>
  <si>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</si>
  <si>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</si>
  <si>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</si>
  <si>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</si>
  <si>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</si>
  <si>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</si>
  <si>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</si>
  <si>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</si>
  <si>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</si>
  <si>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</si>
  <si>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</si>
  <si>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</si>
  <si>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</si>
  <si>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</si>
  <si>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</si>
  <si>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</si>
  <si>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</si>
  <si>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</si>
  <si>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</si>
  <si>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</si>
  <si>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</si>
  <si>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</si>
  <si>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</si>
  <si>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</si>
  <si>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</si>
  <si>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</si>
  <si>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</si>
  <si>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</si>
  <si>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</si>
  <si>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</si>
  <si>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</si>
  <si>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</si>
  <si>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</si>
  <si>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</si>
  <si>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</si>
  <si>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</si>
  <si>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</si>
  <si>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</si>
  <si>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</si>
  <si>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</si>
  <si>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</si>
  <si>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</si>
  <si>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</si>
  <si>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</si>
  <si>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</si>
  <si>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</si>
  <si>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</si>
  <si>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</si>
  <si>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</si>
  <si>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</si>
  <si>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</si>
  <si>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</si>
  <si>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</si>
  <si>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</si>
  <si>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</si>
  <si>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</si>
  <si>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</si>
  <si>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</si>
  <si>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</si>
  <si>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</si>
  <si>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</si>
  <si>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</si>
  <si>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</si>
  <si>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</si>
  <si>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</si>
  <si>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</si>
  <si>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</si>
  <si>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</si>
  <si>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</si>
  <si>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</si>
  <si>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</si>
  <si>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</si>
  <si>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</si>
  <si>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</si>
  <si>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</si>
  <si>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</si>
  <si>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</si>
  <si>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</si>
  <si>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</si>
  <si>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</si>
  <si>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</si>
  <si>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</si>
  <si>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</si>
  <si>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</si>
  <si>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</si>
  <si>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</si>
  <si>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</si>
  <si>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</si>
  <si>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</si>
  <si>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</si>
  <si>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</si>
  <si>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</si>
  <si>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</si>
  <si>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</si>
  <si>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</si>
  <si>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</si>
  <si>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</si>
  <si>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</si>
  <si>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</si>
  <si>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</si>
  <si>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</si>
  <si>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</si>
  <si>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</si>
  <si>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</si>
  <si>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</si>
  <si>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</si>
  <si>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</si>
  <si>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</si>
  <si>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</si>
  <si>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</si>
  <si>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</si>
  <si>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</si>
  <si>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</si>
  <si>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</si>
  <si>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</si>
  <si>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</si>
  <si>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</si>
  <si>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</si>
  <si>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</si>
  <si>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</si>
  <si>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</si>
  <si>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</si>
  <si>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</si>
  <si>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</si>
  <si>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</si>
  <si>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</si>
  <si>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</si>
  <si>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</si>
  <si>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</si>
  <si>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</si>
  <si>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</si>
  <si>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</si>
  <si>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</si>
  <si>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</si>
  <si>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</si>
  <si>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</si>
  <si>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</si>
  <si>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</si>
  <si>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</si>
  <si>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</si>
  <si>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</si>
  <si>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</si>
  <si>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</si>
  <si>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</si>
  <si>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</si>
  <si>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</si>
  <si>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</si>
  <si>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</si>
  <si>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</si>
  <si>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</si>
  <si>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</si>
  <si>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</si>
  <si>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</si>
  <si>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</si>
  <si>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</si>
  <si>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</si>
  <si>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</si>
  <si>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</si>
  <si>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</si>
  <si>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</si>
  <si>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</si>
  <si>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</si>
  <si>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</si>
  <si>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</si>
  <si>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</si>
  <si>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</si>
  <si>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</si>
  <si>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</si>
  <si>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</si>
  <si>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</si>
  <si>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</si>
  <si>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</si>
  <si>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</si>
  <si>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</si>
  <si>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</si>
  <si>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</si>
  <si>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</si>
  <si>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</si>
  <si>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</si>
  <si>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</si>
  <si>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</si>
  <si>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</si>
  <si>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</si>
  <si>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</si>
  <si>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</si>
  <si>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</si>
  <si>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</si>
  <si>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</si>
  <si>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</si>
  <si>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</si>
  <si>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</si>
  <si>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</si>
  <si>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</si>
  <si>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</si>
  <si>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</si>
  <si>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</si>
  <si>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</si>
  <si>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</si>
  <si>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</si>
  <si>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</si>
  <si>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</si>
  <si>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</si>
  <si>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</si>
  <si>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</si>
  <si>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</si>
  <si>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</si>
  <si>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</si>
  <si>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</si>
  <si>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</si>
  <si>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</si>
  <si>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</si>
  <si>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</si>
  <si>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</si>
  <si>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</si>
  <si>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</si>
  <si>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</si>
  <si>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</si>
  <si>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</si>
  <si>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</si>
  <si>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</si>
  <si>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</si>
  <si>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</si>
  <si>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</si>
  <si>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</si>
  <si>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</si>
  <si>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</si>
  <si>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</si>
  <si>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</si>
  <si>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</si>
  <si>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</si>
  <si>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</si>
  <si>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</si>
  <si>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</si>
  <si>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</si>
  <si>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</si>
  <si>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</si>
  <si>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</si>
  <si>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</si>
  <si>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</si>
  <si>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</si>
  <si>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</si>
  <si>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</si>
  <si>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</si>
  <si>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</si>
  <si>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</si>
  <si>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</si>
  <si>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</si>
  <si>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</si>
  <si>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</si>
  <si>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</si>
  <si>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</si>
  <si>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</si>
  <si>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</si>
  <si>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</si>
  <si>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</si>
  <si>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</si>
  <si>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</si>
  <si>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</si>
  <si>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</si>
  <si>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</si>
  <si>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</si>
  <si>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</si>
  <si>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</si>
  <si>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</si>
  <si>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</si>
  <si>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</si>
  <si>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</si>
  <si>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</si>
  <si>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</si>
  <si>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</si>
  <si>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</si>
  <si>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</si>
  <si>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</si>
  <si>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</si>
  <si>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</si>
  <si>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</si>
  <si>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</si>
  <si>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</si>
  <si>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</si>
  <si>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</si>
  <si>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</si>
  <si>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</si>
  <si>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</si>
  <si>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</si>
  <si>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</si>
  <si>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</si>
  <si>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</si>
  <si>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</si>
  <si>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</si>
  <si>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</si>
  <si>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</si>
  <si>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</si>
  <si>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</si>
  <si>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</si>
  <si>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</si>
  <si>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</si>
  <si>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</si>
  <si>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</si>
  <si>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</si>
  <si>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</si>
  <si>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</si>
  <si>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</si>
  <si>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</si>
  <si>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</si>
  <si>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</si>
  <si>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</si>
  <si>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</si>
  <si>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</si>
  <si>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</si>
  <si>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</si>
  <si>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</si>
  <si>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</si>
  <si>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</si>
  <si>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</si>
  <si>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</si>
  <si>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</si>
  <si>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</si>
  <si>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 xml:space="preserve"> 4Q 2017</t>
  </si>
  <si>
    <t xml:space="preserve"> 1Q 2018</t>
  </si>
  <si>
    <t>Murat Bılgıç</t>
  </si>
  <si>
    <t>Yavuz Ergın</t>
  </si>
  <si>
    <t>Mehmet Şencan</t>
  </si>
  <si>
    <t>Mehmet Ihsan Akhun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</si>
  <si>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</si>
  <si>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</si>
  <si>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</si>
  <si>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</si>
  <si>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</si>
  <si>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</si>
  <si>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 xml:space="preserve"> 2Q 2018</t>
  </si>
  <si>
    <t>Sezgin Lüle</t>
  </si>
  <si>
    <t>Onur Kütük</t>
  </si>
  <si>
    <t xml:space="preserve"> 3Q 2018</t>
  </si>
  <si>
    <t>Teimuraz Pirmisashvili</t>
  </si>
  <si>
    <t xml:space="preserve"> 4Q 2018</t>
  </si>
  <si>
    <t>Can Yücel</t>
  </si>
  <si>
    <t>Huseyn Serdar Yücel</t>
  </si>
  <si>
    <t>Table 15.1</t>
  </si>
  <si>
    <t>Leverage Ratio</t>
  </si>
  <si>
    <t>On-balance sheet exposures (excluding derivatives and SFTs)</t>
  </si>
  <si>
    <t>On-balance sheet items (excluding derivatives, SFTs and fiduciary assets, but including collateral)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</si>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</sst>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1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="120" zoomScaleNormal="120" workbookViewId="0"/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45"/>
      <c r="B1" s="185" t="s">
        <v>351</v>
      </c>
      <c r="C1" s="145"/>
    </row>
    <row r="2" spans="1:3">
      <c r="A2" s="186">
        <v>1</v>
      </c>
      <c r="B2" s="325" t="s">
        <v>352</v>
      </c>
      <c r="C2" s="335" t="s">
        <v>442</v>
      </c>
    </row>
    <row r="3" spans="1:3">
      <c r="A3" s="186">
        <v>2</v>
      </c>
      <c r="B3" s="326" t="s">
        <v>348</v>
      </c>
      <c r="C3" s="335" t="s">
        <v>443</v>
      </c>
    </row>
    <row r="4" spans="1:3">
      <c r="A4" s="186">
        <v>3</v>
      </c>
      <c r="B4" s="327" t="s">
        <v>353</v>
      </c>
      <c r="C4" s="335" t="s">
        <v>444</v>
      </c>
    </row>
    <row r="5" spans="1:3">
      <c r="A5" s="187">
        <v>4</v>
      </c>
      <c r="B5" s="328" t="s">
        <v>349</v>
      </c>
      <c r="C5" s="336" t="s">
        <v>445</v>
      </c>
    </row>
    <row r="6" spans="1:3" s="188" customFormat="1" ht="45.75" customHeight="1">
      <c r="A6" s="533" t="s">
        <v>430</v>
      </c>
      <c r="B6" s="534"/>
      <c r="C6" s="534"/>
    </row>
    <row r="7" spans="1:3" ht="15">
      <c r="A7" s="189" t="s">
        <v>29</v>
      </c>
      <c r="B7" s="185" t="s">
        <v>350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360</v>
      </c>
    </row>
    <row r="14" spans="1:3">
      <c r="A14" s="145">
        <v>7</v>
      </c>
      <c r="B14" s="232" t="s">
        <v>354</v>
      </c>
    </row>
    <row r="15" spans="1:3">
      <c r="A15" s="145">
        <v>8</v>
      </c>
      <c r="B15" s="232" t="s">
        <v>355</v>
      </c>
    </row>
    <row r="16" spans="1:3">
      <c r="A16" s="145">
        <v>9</v>
      </c>
      <c r="B16" s="232" t="s">
        <v>25</v>
      </c>
    </row>
    <row r="17" spans="1:2">
      <c r="A17" s="324" t="s">
        <v>429</v>
      </c>
      <c r="B17" s="323" t="s">
        <v>413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356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357</v>
      </c>
    </row>
    <row r="22" spans="1:2">
      <c r="A22" s="145">
        <v>14</v>
      </c>
      <c r="B22" s="231" t="s">
        <v>384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71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337" t="s">
        <v>30</v>
      </c>
      <c r="B1" s="338" t="s">
        <v>442</v>
      </c>
    </row>
    <row r="2" spans="1:3" s="59" customFormat="1" ht="15.75" customHeight="1">
      <c r="A2" s="337" t="s">
        <v>31</v>
      </c>
      <c r="B2" s="339">
        <f>'1. key ratios '!B2</f>
        <v>43465</v>
      </c>
    </row>
    <row r="3" spans="1:3" s="59" customFormat="1" ht="15.75" customHeight="1"/>
    <row r="4" spans="1:3" ht="13.5" thickBot="1">
      <c r="A4" s="71" t="s">
        <v>252</v>
      </c>
      <c r="B4" s="130" t="s">
        <v>251</v>
      </c>
    </row>
    <row r="5" spans="1:3">
      <c r="A5" s="72" t="s">
        <v>6</v>
      </c>
      <c r="B5" s="73"/>
      <c r="C5" s="74" t="s">
        <v>73</v>
      </c>
    </row>
    <row r="6" spans="1:3">
      <c r="A6" s="75">
        <v>1</v>
      </c>
      <c r="B6" s="76" t="s">
        <v>250</v>
      </c>
      <c r="C6" s="435">
        <f>SUM(C7:C11)</f>
        <v>74710511.064947739</v>
      </c>
    </row>
    <row r="7" spans="1:3">
      <c r="A7" s="75">
        <v>2</v>
      </c>
      <c r="B7" s="77" t="s">
        <v>249</v>
      </c>
      <c r="C7" s="436">
        <f>'2.RC'!E33</f>
        <v>69161600</v>
      </c>
    </row>
    <row r="8" spans="1:3">
      <c r="A8" s="75">
        <v>3</v>
      </c>
      <c r="B8" s="78" t="s">
        <v>248</v>
      </c>
      <c r="C8" s="436"/>
    </row>
    <row r="9" spans="1:3">
      <c r="A9" s="75">
        <v>4</v>
      </c>
      <c r="B9" s="78" t="s">
        <v>247</v>
      </c>
      <c r="C9" s="436"/>
    </row>
    <row r="10" spans="1:3">
      <c r="A10" s="75">
        <v>5</v>
      </c>
      <c r="B10" s="78" t="s">
        <v>246</v>
      </c>
      <c r="C10" s="436"/>
    </row>
    <row r="11" spans="1:3">
      <c r="A11" s="75">
        <v>6</v>
      </c>
      <c r="B11" s="79" t="s">
        <v>245</v>
      </c>
      <c r="C11" s="436">
        <f>'2.RC'!E38</f>
        <v>5548911.0649477383</v>
      </c>
    </row>
    <row r="12" spans="1:3" s="45" customFormat="1">
      <c r="A12" s="75">
        <v>7</v>
      </c>
      <c r="B12" s="76" t="s">
        <v>244</v>
      </c>
      <c r="C12" s="437">
        <f>SUM(C13:C27)</f>
        <v>220473.06999999995</v>
      </c>
    </row>
    <row r="13" spans="1:3" s="45" customFormat="1">
      <c r="A13" s="75">
        <v>8</v>
      </c>
      <c r="B13" s="80" t="s">
        <v>243</v>
      </c>
      <c r="C13" s="438"/>
    </row>
    <row r="14" spans="1:3" s="45" customFormat="1" ht="25.5">
      <c r="A14" s="75">
        <v>9</v>
      </c>
      <c r="B14" s="81" t="s">
        <v>242</v>
      </c>
      <c r="C14" s="438"/>
    </row>
    <row r="15" spans="1:3" s="45" customFormat="1">
      <c r="A15" s="75">
        <v>10</v>
      </c>
      <c r="B15" s="82" t="s">
        <v>241</v>
      </c>
      <c r="C15" s="438">
        <f>'7. LI1 '!D19</f>
        <v>220473.06999999995</v>
      </c>
    </row>
    <row r="16" spans="1:3" s="45" customFormat="1">
      <c r="A16" s="75">
        <v>11</v>
      </c>
      <c r="B16" s="83" t="s">
        <v>240</v>
      </c>
      <c r="C16" s="438"/>
    </row>
    <row r="17" spans="1:3" s="45" customFormat="1">
      <c r="A17" s="75">
        <v>12</v>
      </c>
      <c r="B17" s="82" t="s">
        <v>239</v>
      </c>
      <c r="C17" s="438"/>
    </row>
    <row r="18" spans="1:3" s="45" customFormat="1">
      <c r="A18" s="75">
        <v>13</v>
      </c>
      <c r="B18" s="82" t="s">
        <v>238</v>
      </c>
      <c r="C18" s="438"/>
    </row>
    <row r="19" spans="1:3" s="45" customFormat="1">
      <c r="A19" s="75">
        <v>14</v>
      </c>
      <c r="B19" s="82" t="s">
        <v>237</v>
      </c>
      <c r="C19" s="438"/>
    </row>
    <row r="20" spans="1:3" s="45" customFormat="1">
      <c r="A20" s="75">
        <v>15</v>
      </c>
      <c r="B20" s="82" t="s">
        <v>236</v>
      </c>
      <c r="C20" s="438"/>
    </row>
    <row r="21" spans="1:3" s="45" customFormat="1" ht="25.5">
      <c r="A21" s="75">
        <v>16</v>
      </c>
      <c r="B21" s="81" t="s">
        <v>235</v>
      </c>
      <c r="C21" s="438"/>
    </row>
    <row r="22" spans="1:3" s="45" customFormat="1">
      <c r="A22" s="75">
        <v>17</v>
      </c>
      <c r="B22" s="84" t="s">
        <v>234</v>
      </c>
      <c r="C22" s="438"/>
    </row>
    <row r="23" spans="1:3" s="45" customFormat="1">
      <c r="A23" s="75">
        <v>18</v>
      </c>
      <c r="B23" s="81" t="s">
        <v>233</v>
      </c>
      <c r="C23" s="438"/>
    </row>
    <row r="24" spans="1:3" s="45" customFormat="1" ht="25.5">
      <c r="A24" s="75">
        <v>19</v>
      </c>
      <c r="B24" s="81" t="s">
        <v>210</v>
      </c>
      <c r="C24" s="438"/>
    </row>
    <row r="25" spans="1:3" s="45" customFormat="1">
      <c r="A25" s="75">
        <v>20</v>
      </c>
      <c r="B25" s="85" t="s">
        <v>232</v>
      </c>
      <c r="C25" s="438"/>
    </row>
    <row r="26" spans="1:3" s="45" customFormat="1">
      <c r="A26" s="75">
        <v>21</v>
      </c>
      <c r="B26" s="85" t="s">
        <v>231</v>
      </c>
      <c r="C26" s="438"/>
    </row>
    <row r="27" spans="1:3" s="45" customFormat="1">
      <c r="A27" s="75">
        <v>22</v>
      </c>
      <c r="B27" s="85" t="s">
        <v>230</v>
      </c>
      <c r="C27" s="438"/>
    </row>
    <row r="28" spans="1:3" s="45" customFormat="1">
      <c r="A28" s="75">
        <v>23</v>
      </c>
      <c r="B28" s="86" t="s">
        <v>229</v>
      </c>
      <c r="C28" s="437">
        <f>C6-C12</f>
        <v>74490037.994947746</v>
      </c>
    </row>
    <row r="29" spans="1:3" s="45" customFormat="1">
      <c r="A29" s="87"/>
      <c r="B29" s="88"/>
      <c r="C29" s="438"/>
    </row>
    <row r="30" spans="1:3" s="45" customFormat="1">
      <c r="A30" s="87">
        <v>24</v>
      </c>
      <c r="B30" s="86" t="s">
        <v>228</v>
      </c>
      <c r="C30" s="437">
        <f>C31+C34</f>
        <v>0</v>
      </c>
    </row>
    <row r="31" spans="1:3" s="45" customFormat="1">
      <c r="A31" s="87">
        <v>25</v>
      </c>
      <c r="B31" s="78" t="s">
        <v>227</v>
      </c>
      <c r="C31" s="439">
        <f>C32+C33</f>
        <v>0</v>
      </c>
    </row>
    <row r="32" spans="1:3" s="45" customFormat="1">
      <c r="A32" s="87">
        <v>26</v>
      </c>
      <c r="B32" s="89" t="s">
        <v>309</v>
      </c>
      <c r="C32" s="438"/>
    </row>
    <row r="33" spans="1:3" s="45" customFormat="1">
      <c r="A33" s="87">
        <v>27</v>
      </c>
      <c r="B33" s="89" t="s">
        <v>226</v>
      </c>
      <c r="C33" s="438"/>
    </row>
    <row r="34" spans="1:3" s="45" customFormat="1">
      <c r="A34" s="87">
        <v>28</v>
      </c>
      <c r="B34" s="78" t="s">
        <v>225</v>
      </c>
      <c r="C34" s="438"/>
    </row>
    <row r="35" spans="1:3" s="45" customFormat="1">
      <c r="A35" s="87">
        <v>29</v>
      </c>
      <c r="B35" s="86" t="s">
        <v>224</v>
      </c>
      <c r="C35" s="437">
        <f>SUM(C36:C40)</f>
        <v>0</v>
      </c>
    </row>
    <row r="36" spans="1:3" s="45" customFormat="1">
      <c r="A36" s="87">
        <v>30</v>
      </c>
      <c r="B36" s="81" t="s">
        <v>223</v>
      </c>
      <c r="C36" s="438"/>
    </row>
    <row r="37" spans="1:3" s="45" customFormat="1">
      <c r="A37" s="87">
        <v>31</v>
      </c>
      <c r="B37" s="82" t="s">
        <v>222</v>
      </c>
      <c r="C37" s="438"/>
    </row>
    <row r="38" spans="1:3" s="45" customFormat="1" ht="25.5">
      <c r="A38" s="87">
        <v>32</v>
      </c>
      <c r="B38" s="81" t="s">
        <v>221</v>
      </c>
      <c r="C38" s="438"/>
    </row>
    <row r="39" spans="1:3" s="45" customFormat="1" ht="25.5">
      <c r="A39" s="87">
        <v>33</v>
      </c>
      <c r="B39" s="81" t="s">
        <v>210</v>
      </c>
      <c r="C39" s="438"/>
    </row>
    <row r="40" spans="1:3" s="45" customFormat="1">
      <c r="A40" s="87">
        <v>34</v>
      </c>
      <c r="B40" s="85" t="s">
        <v>220</v>
      </c>
      <c r="C40" s="438"/>
    </row>
    <row r="41" spans="1:3" s="45" customFormat="1">
      <c r="A41" s="87">
        <v>35</v>
      </c>
      <c r="B41" s="86" t="s">
        <v>219</v>
      </c>
      <c r="C41" s="437">
        <f>C30-C35</f>
        <v>0</v>
      </c>
    </row>
    <row r="42" spans="1:3" s="45" customFormat="1">
      <c r="A42" s="87"/>
      <c r="B42" s="88"/>
      <c r="C42" s="438"/>
    </row>
    <row r="43" spans="1:3" s="45" customFormat="1">
      <c r="A43" s="87">
        <v>36</v>
      </c>
      <c r="B43" s="90" t="s">
        <v>218</v>
      </c>
      <c r="C43" s="437">
        <f>SUM(C44:C46)</f>
        <v>3393593.8586708903</v>
      </c>
    </row>
    <row r="44" spans="1:3" s="45" customFormat="1">
      <c r="A44" s="87">
        <v>37</v>
      </c>
      <c r="B44" s="78" t="s">
        <v>217</v>
      </c>
      <c r="C44" s="438">
        <f>'2.RC'!E30</f>
        <v>0</v>
      </c>
    </row>
    <row r="45" spans="1:3" s="45" customFormat="1">
      <c r="A45" s="87">
        <v>38</v>
      </c>
      <c r="B45" s="78" t="s">
        <v>216</v>
      </c>
      <c r="C45" s="438"/>
    </row>
    <row r="46" spans="1:3" s="45" customFormat="1">
      <c r="A46" s="87">
        <v>39</v>
      </c>
      <c r="B46" s="78" t="s">
        <v>215</v>
      </c>
      <c r="C46" s="438">
        <v>3393593.8586708903</v>
      </c>
    </row>
    <row r="47" spans="1:3" s="45" customFormat="1">
      <c r="A47" s="87">
        <v>40</v>
      </c>
      <c r="B47" s="90" t="s">
        <v>214</v>
      </c>
      <c r="C47" s="437">
        <f>SUM(C48:C51)</f>
        <v>0</v>
      </c>
    </row>
    <row r="48" spans="1:3" s="45" customFormat="1">
      <c r="A48" s="87">
        <v>41</v>
      </c>
      <c r="B48" s="81" t="s">
        <v>213</v>
      </c>
      <c r="C48" s="438"/>
    </row>
    <row r="49" spans="1:3" s="45" customFormat="1">
      <c r="A49" s="87">
        <v>42</v>
      </c>
      <c r="B49" s="82" t="s">
        <v>212</v>
      </c>
      <c r="C49" s="438"/>
    </row>
    <row r="50" spans="1:3" s="45" customFormat="1">
      <c r="A50" s="87">
        <v>43</v>
      </c>
      <c r="B50" s="81" t="s">
        <v>211</v>
      </c>
      <c r="C50" s="438"/>
    </row>
    <row r="51" spans="1:3" s="45" customFormat="1" ht="25.5">
      <c r="A51" s="87">
        <v>44</v>
      </c>
      <c r="B51" s="81" t="s">
        <v>210</v>
      </c>
      <c r="C51" s="438"/>
    </row>
    <row r="52" spans="1:3" s="45" customFormat="1" ht="13.5" thickBot="1">
      <c r="A52" s="91">
        <v>45</v>
      </c>
      <c r="B52" s="92" t="s">
        <v>209</v>
      </c>
      <c r="C52" s="440">
        <f>C43-C47</f>
        <v>3393593.8586708903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/>
  </sheetViews>
  <sheetFormatPr defaultColWidth="9.140625" defaultRowHeight="12.75"/>
  <cols>
    <col min="1" max="1" width="9.42578125" style="246" bestFit="1" customWidth="1"/>
    <col min="2" max="2" width="59" style="246" customWidth="1"/>
    <col min="3" max="3" width="16.7109375" style="246" bestFit="1" customWidth="1"/>
    <col min="4" max="4" width="13.5703125" style="246" bestFit="1" customWidth="1"/>
    <col min="5" max="16384" width="9.140625" style="246"/>
  </cols>
  <sheetData>
    <row r="1" spans="1:4">
      <c r="A1" s="337" t="s">
        <v>30</v>
      </c>
      <c r="B1" s="338" t="s">
        <v>442</v>
      </c>
    </row>
    <row r="2" spans="1:4" s="216" customFormat="1" ht="15.75" customHeight="1">
      <c r="A2" s="337" t="s">
        <v>31</v>
      </c>
      <c r="B2" s="339">
        <f>'1. key ratios '!B2</f>
        <v>43465</v>
      </c>
    </row>
    <row r="3" spans="1:4" s="216" customFormat="1" ht="15.75" customHeight="1"/>
    <row r="4" spans="1:4" ht="13.5" thickBot="1">
      <c r="A4" s="267" t="s">
        <v>412</v>
      </c>
      <c r="B4" s="315" t="s">
        <v>413</v>
      </c>
    </row>
    <row r="5" spans="1:4" s="316" customFormat="1">
      <c r="A5" s="555" t="s">
        <v>416</v>
      </c>
      <c r="B5" s="556"/>
      <c r="C5" s="304" t="s">
        <v>414</v>
      </c>
      <c r="D5" s="305" t="s">
        <v>415</v>
      </c>
    </row>
    <row r="6" spans="1:4" s="317" customFormat="1">
      <c r="A6" s="306">
        <v>1</v>
      </c>
      <c r="B6" s="307" t="s">
        <v>417</v>
      </c>
      <c r="C6" s="307"/>
      <c r="D6" s="308"/>
    </row>
    <row r="7" spans="1:4" s="317" customFormat="1">
      <c r="A7" s="309" t="s">
        <v>403</v>
      </c>
      <c r="B7" s="310" t="s">
        <v>418</v>
      </c>
      <c r="C7" s="497">
        <v>4.4999999999999998E-2</v>
      </c>
      <c r="D7" s="491">
        <f>C7*'5. RWA '!$C$13</f>
        <v>13056210.46858494</v>
      </c>
    </row>
    <row r="8" spans="1:4" s="317" customFormat="1">
      <c r="A8" s="309" t="s">
        <v>404</v>
      </c>
      <c r="B8" s="310" t="s">
        <v>419</v>
      </c>
      <c r="C8" s="498">
        <v>0.06</v>
      </c>
      <c r="D8" s="491">
        <f>C8*'5. RWA '!$C$13</f>
        <v>17408280.624779921</v>
      </c>
    </row>
    <row r="9" spans="1:4" s="317" customFormat="1">
      <c r="A9" s="309" t="s">
        <v>405</v>
      </c>
      <c r="B9" s="310" t="s">
        <v>420</v>
      </c>
      <c r="C9" s="498">
        <v>0.08</v>
      </c>
      <c r="D9" s="491">
        <f>C9*'5. RWA '!$C$13</f>
        <v>23211040.833039895</v>
      </c>
    </row>
    <row r="10" spans="1:4" s="317" customFormat="1">
      <c r="A10" s="306" t="s">
        <v>406</v>
      </c>
      <c r="B10" s="307" t="s">
        <v>421</v>
      </c>
      <c r="C10" s="307"/>
      <c r="D10" s="308"/>
    </row>
    <row r="11" spans="1:4" s="318" customFormat="1">
      <c r="A11" s="311" t="s">
        <v>407</v>
      </c>
      <c r="B11" s="312" t="s">
        <v>422</v>
      </c>
      <c r="C11" s="489">
        <v>2.5000000000000001E-2</v>
      </c>
      <c r="D11" s="492">
        <f>C11*'5. RWA '!$C$13</f>
        <v>7253450.2603249671</v>
      </c>
    </row>
    <row r="12" spans="1:4" s="318" customFormat="1">
      <c r="A12" s="311" t="s">
        <v>408</v>
      </c>
      <c r="B12" s="312" t="s">
        <v>423</v>
      </c>
      <c r="C12" s="489">
        <v>0</v>
      </c>
      <c r="D12" s="492">
        <f>C12*'5. RWA '!$C$13</f>
        <v>0</v>
      </c>
    </row>
    <row r="13" spans="1:4" s="318" customFormat="1">
      <c r="A13" s="311" t="s">
        <v>409</v>
      </c>
      <c r="B13" s="312" t="s">
        <v>424</v>
      </c>
      <c r="C13" s="312"/>
      <c r="D13" s="492">
        <f>C13*'5. RWA '!$C$13</f>
        <v>0</v>
      </c>
    </row>
    <row r="14" spans="1:4" s="318" customFormat="1">
      <c r="A14" s="306" t="s">
        <v>410</v>
      </c>
      <c r="B14" s="307" t="s">
        <v>425</v>
      </c>
      <c r="C14" s="313"/>
      <c r="D14" s="493"/>
    </row>
    <row r="15" spans="1:4" s="318" customFormat="1">
      <c r="A15" s="311">
        <v>3.1</v>
      </c>
      <c r="B15" s="312" t="s">
        <v>431</v>
      </c>
      <c r="C15" s="489">
        <v>2.3116028722738619E-2</v>
      </c>
      <c r="D15" s="492">
        <f>C15*'5. RWA '!$C$13</f>
        <v>6706838.5822651144</v>
      </c>
    </row>
    <row r="16" spans="1:4" s="318" customFormat="1">
      <c r="A16" s="311">
        <v>3.2</v>
      </c>
      <c r="B16" s="312" t="s">
        <v>432</v>
      </c>
      <c r="C16" s="489">
        <v>3.0888783416964185E-2</v>
      </c>
      <c r="D16" s="492">
        <f>C16*'5. RWA '!$C$13</f>
        <v>8962010.1646760162</v>
      </c>
    </row>
    <row r="17" spans="1:6" s="317" customFormat="1">
      <c r="A17" s="311">
        <v>3.3</v>
      </c>
      <c r="B17" s="312" t="s">
        <v>433</v>
      </c>
      <c r="C17" s="531">
        <v>9.8829193101847013E-2</v>
      </c>
      <c r="D17" s="494">
        <f>C17*'5. RWA '!$C$13</f>
        <v>28674105.457291946</v>
      </c>
    </row>
    <row r="18" spans="1:6" s="316" customFormat="1">
      <c r="A18" s="557" t="s">
        <v>428</v>
      </c>
      <c r="B18" s="558"/>
      <c r="C18" s="495" t="s">
        <v>414</v>
      </c>
      <c r="D18" s="496" t="s">
        <v>415</v>
      </c>
    </row>
    <row r="19" spans="1:6" s="317" customFormat="1">
      <c r="A19" s="314">
        <v>4</v>
      </c>
      <c r="B19" s="312" t="s">
        <v>426</v>
      </c>
      <c r="C19" s="489">
        <f>C7+C11+C12+C13+C15</f>
        <v>9.3116028722738622E-2</v>
      </c>
      <c r="D19" s="487">
        <f>C19*'5. RWA '!$C$13</f>
        <v>27016499.311175022</v>
      </c>
    </row>
    <row r="20" spans="1:6" s="317" customFormat="1">
      <c r="A20" s="314">
        <v>5</v>
      </c>
      <c r="B20" s="312" t="s">
        <v>141</v>
      </c>
      <c r="C20" s="489">
        <f>C8+C11+C12+C13+C16</f>
        <v>0.11588878341696418</v>
      </c>
      <c r="D20" s="487">
        <f>C20*'5. RWA '!$C$13</f>
        <v>33623741.049780905</v>
      </c>
    </row>
    <row r="21" spans="1:6" s="317" customFormat="1" ht="13.5" thickBot="1">
      <c r="A21" s="319" t="s">
        <v>411</v>
      </c>
      <c r="B21" s="320" t="s">
        <v>427</v>
      </c>
      <c r="C21" s="490">
        <f>C9+C11+C12+C13+C17</f>
        <v>0.20382919310184702</v>
      </c>
      <c r="D21" s="488">
        <f>C21*'5. RWA '!$C$13</f>
        <v>59138596.55065681</v>
      </c>
    </row>
    <row r="22" spans="1:6">
      <c r="F22" s="267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337" t="s">
        <v>30</v>
      </c>
      <c r="B1" s="338" t="s">
        <v>442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43465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293</v>
      </c>
      <c r="D4" s="31" t="s">
        <v>73</v>
      </c>
    </row>
    <row r="5" spans="1:6" ht="25.5">
      <c r="A5" s="94" t="s">
        <v>6</v>
      </c>
      <c r="B5" s="237" t="s">
        <v>347</v>
      </c>
      <c r="C5" s="95" t="s">
        <v>94</v>
      </c>
      <c r="D5" s="96" t="s">
        <v>95</v>
      </c>
    </row>
    <row r="6" spans="1:6">
      <c r="A6" s="64">
        <v>1</v>
      </c>
      <c r="B6" s="97" t="s">
        <v>35</v>
      </c>
      <c r="C6" s="98">
        <f>'2.RC'!E7</f>
        <v>5109461.49</v>
      </c>
      <c r="D6" s="99"/>
      <c r="E6" s="100"/>
    </row>
    <row r="7" spans="1:6">
      <c r="A7" s="64">
        <v>2</v>
      </c>
      <c r="B7" s="101" t="s">
        <v>36</v>
      </c>
      <c r="C7" s="102">
        <f>'2.RC'!E8</f>
        <v>37437481.490000002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19373315.468148999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33229056.524549056</v>
      </c>
      <c r="D10" s="103"/>
      <c r="E10" s="100"/>
    </row>
    <row r="11" spans="1:6">
      <c r="A11" s="64">
        <v>6.1</v>
      </c>
      <c r="B11" s="208" t="s">
        <v>40</v>
      </c>
      <c r="C11" s="104">
        <f>'2.RC'!E12</f>
        <v>153290585.76999998</v>
      </c>
      <c r="D11" s="105"/>
      <c r="E11" s="106"/>
    </row>
    <row r="12" spans="1:6">
      <c r="A12" s="64">
        <v>6.2</v>
      </c>
      <c r="B12" s="209" t="s">
        <v>41</v>
      </c>
      <c r="C12" s="441">
        <f>'2.RC'!E13</f>
        <v>-5587252.038399999</v>
      </c>
      <c r="D12" s="105"/>
      <c r="E12" s="106"/>
    </row>
    <row r="13" spans="1:6">
      <c r="A13" s="64">
        <v>6</v>
      </c>
      <c r="B13" s="101" t="s">
        <v>42</v>
      </c>
      <c r="C13" s="107">
        <f>C11+C12</f>
        <v>147703333.73159999</v>
      </c>
      <c r="D13" s="105"/>
      <c r="E13" s="100"/>
    </row>
    <row r="14" spans="1:6">
      <c r="A14" s="64">
        <v>7</v>
      </c>
      <c r="B14" s="101" t="s">
        <v>43</v>
      </c>
      <c r="C14" s="102">
        <f>'2.RC'!E15</f>
        <v>1441300.169964001</v>
      </c>
      <c r="D14" s="103"/>
      <c r="E14" s="100"/>
    </row>
    <row r="15" spans="1:6">
      <c r="A15" s="64">
        <v>8</v>
      </c>
      <c r="B15" s="235" t="s">
        <v>205</v>
      </c>
      <c r="C15" s="102">
        <f>'2.RC'!E16</f>
        <v>0</v>
      </c>
      <c r="D15" s="103"/>
      <c r="E15" s="100"/>
    </row>
    <row r="16" spans="1:6">
      <c r="A16" s="64">
        <v>9</v>
      </c>
      <c r="B16" s="101" t="s">
        <v>44</v>
      </c>
      <c r="C16" s="102">
        <f>'2.RC'!E17</f>
        <v>0</v>
      </c>
      <c r="D16" s="103"/>
      <c r="E16" s="100"/>
    </row>
    <row r="17" spans="1:5">
      <c r="A17" s="64">
        <v>9.1</v>
      </c>
      <c r="B17" s="108" t="s">
        <v>89</v>
      </c>
      <c r="C17" s="104"/>
      <c r="D17" s="103"/>
      <c r="E17" s="100"/>
    </row>
    <row r="18" spans="1:5">
      <c r="A18" s="64">
        <v>9.1999999999999993</v>
      </c>
      <c r="B18" s="108" t="s">
        <v>90</v>
      </c>
      <c r="C18" s="104"/>
      <c r="D18" s="103"/>
      <c r="E18" s="100"/>
    </row>
    <row r="19" spans="1:5">
      <c r="A19" s="64">
        <v>9.3000000000000007</v>
      </c>
      <c r="B19" s="210" t="s">
        <v>275</v>
      </c>
      <c r="C19" s="104"/>
      <c r="D19" s="103"/>
      <c r="E19" s="100"/>
    </row>
    <row r="20" spans="1:5">
      <c r="A20" s="64">
        <v>10</v>
      </c>
      <c r="B20" s="101" t="s">
        <v>45</v>
      </c>
      <c r="C20" s="102">
        <f>'2.RC'!E18</f>
        <v>1419828.9299999997</v>
      </c>
      <c r="D20" s="103"/>
      <c r="E20" s="100"/>
    </row>
    <row r="21" spans="1:5">
      <c r="A21" s="64">
        <v>10.1</v>
      </c>
      <c r="B21" s="108" t="s">
        <v>91</v>
      </c>
      <c r="C21" s="102">
        <f>'9.Capital'!C15</f>
        <v>220473.06999999995</v>
      </c>
      <c r="D21" s="109" t="s">
        <v>93</v>
      </c>
      <c r="E21" s="100"/>
    </row>
    <row r="22" spans="1:5">
      <c r="A22" s="64">
        <v>11</v>
      </c>
      <c r="B22" s="110" t="s">
        <v>46</v>
      </c>
      <c r="C22" s="111">
        <f>'2.RC'!E19</f>
        <v>14451405.232944105</v>
      </c>
      <c r="D22" s="112"/>
      <c r="E22" s="100"/>
    </row>
    <row r="23" spans="1:5" ht="15">
      <c r="A23" s="64">
        <v>12</v>
      </c>
      <c r="B23" s="113" t="s">
        <v>47</v>
      </c>
      <c r="C23" s="114">
        <f>SUM(C6:C10,C13:C16,C20,C22)</f>
        <v>260165183.03720617</v>
      </c>
      <c r="D23" s="115"/>
      <c r="E23" s="116"/>
    </row>
    <row r="24" spans="1:5">
      <c r="A24" s="64">
        <v>13</v>
      </c>
      <c r="B24" s="101" t="s">
        <v>49</v>
      </c>
      <c r="C24" s="117">
        <f>'2.RC'!E22</f>
        <v>105883981.34999999</v>
      </c>
      <c r="D24" s="118"/>
      <c r="E24" s="100"/>
    </row>
    <row r="25" spans="1:5">
      <c r="A25" s="64">
        <v>14</v>
      </c>
      <c r="B25" s="101" t="s">
        <v>50</v>
      </c>
      <c r="C25" s="102">
        <f>'2.RC'!E23</f>
        <v>11973141.899999999</v>
      </c>
      <c r="D25" s="103"/>
      <c r="E25" s="100"/>
    </row>
    <row r="26" spans="1:5">
      <c r="A26" s="64">
        <v>15</v>
      </c>
      <c r="B26" s="101" t="s">
        <v>51</v>
      </c>
      <c r="C26" s="102">
        <f>'2.RC'!E24</f>
        <v>0</v>
      </c>
      <c r="D26" s="103"/>
      <c r="E26" s="100"/>
    </row>
    <row r="27" spans="1:5">
      <c r="A27" s="64">
        <v>16</v>
      </c>
      <c r="B27" s="101" t="s">
        <v>52</v>
      </c>
      <c r="C27" s="102">
        <f>'2.RC'!E25</f>
        <v>26123208.899999995</v>
      </c>
      <c r="D27" s="103"/>
      <c r="E27" s="100"/>
    </row>
    <row r="28" spans="1:5">
      <c r="A28" s="64">
        <v>17</v>
      </c>
      <c r="B28" s="101" t="s">
        <v>53</v>
      </c>
      <c r="C28" s="102">
        <f>'2.RC'!E26</f>
        <v>0</v>
      </c>
      <c r="D28" s="103"/>
      <c r="E28" s="100"/>
    </row>
    <row r="29" spans="1:5">
      <c r="A29" s="64">
        <v>18</v>
      </c>
      <c r="B29" s="101" t="s">
        <v>54</v>
      </c>
      <c r="C29" s="102">
        <f>'2.RC'!E27</f>
        <v>31772014.809931003</v>
      </c>
      <c r="D29" s="103"/>
      <c r="E29" s="100"/>
    </row>
    <row r="30" spans="1:5">
      <c r="A30" s="64">
        <v>19</v>
      </c>
      <c r="B30" s="101" t="s">
        <v>55</v>
      </c>
      <c r="C30" s="102">
        <f>'2.RC'!E28</f>
        <v>1024251.6000000001</v>
      </c>
      <c r="D30" s="103"/>
      <c r="E30" s="100"/>
    </row>
    <row r="31" spans="1:5">
      <c r="A31" s="64">
        <v>20</v>
      </c>
      <c r="B31" s="101" t="s">
        <v>56</v>
      </c>
      <c r="C31" s="102">
        <f>'2.RC'!E29</f>
        <v>8678073.4656000007</v>
      </c>
      <c r="D31" s="103"/>
      <c r="E31" s="100"/>
    </row>
    <row r="32" spans="1:5">
      <c r="A32" s="64">
        <v>21</v>
      </c>
      <c r="B32" s="110" t="s">
        <v>57</v>
      </c>
      <c r="C32" s="111">
        <f>'2.RC'!E30</f>
        <v>0</v>
      </c>
      <c r="D32" s="112"/>
      <c r="E32" s="100"/>
    </row>
    <row r="33" spans="1:5">
      <c r="A33" s="64">
        <v>21.1</v>
      </c>
      <c r="B33" s="119" t="s">
        <v>92</v>
      </c>
      <c r="C33" s="120">
        <f>'9.Capital'!C44</f>
        <v>0</v>
      </c>
      <c r="D33" s="109" t="s">
        <v>455</v>
      </c>
      <c r="E33" s="100"/>
    </row>
    <row r="34" spans="1:5" ht="15">
      <c r="A34" s="64">
        <v>22</v>
      </c>
      <c r="B34" s="113" t="s">
        <v>58</v>
      </c>
      <c r="C34" s="114">
        <f>SUM(C24:C32)</f>
        <v>185454672.02553102</v>
      </c>
      <c r="D34" s="115"/>
      <c r="E34" s="116"/>
    </row>
    <row r="35" spans="1:5">
      <c r="A35" s="64">
        <v>23</v>
      </c>
      <c r="B35" s="110" t="s">
        <v>60</v>
      </c>
      <c r="C35" s="102">
        <f>'9.Capital'!C7</f>
        <v>69161600</v>
      </c>
      <c r="D35" s="109" t="s">
        <v>456</v>
      </c>
      <c r="E35" s="100"/>
    </row>
    <row r="36" spans="1:5">
      <c r="A36" s="64">
        <v>24</v>
      </c>
      <c r="B36" s="110" t="s">
        <v>61</v>
      </c>
      <c r="C36" s="102"/>
      <c r="D36" s="103"/>
      <c r="E36" s="100"/>
    </row>
    <row r="37" spans="1:5">
      <c r="A37" s="64">
        <v>25</v>
      </c>
      <c r="B37" s="110" t="s">
        <v>62</v>
      </c>
      <c r="C37" s="102"/>
      <c r="D37" s="103"/>
      <c r="E37" s="100"/>
    </row>
    <row r="38" spans="1:5">
      <c r="A38" s="64">
        <v>26</v>
      </c>
      <c r="B38" s="110" t="s">
        <v>63</v>
      </c>
      <c r="C38" s="102"/>
      <c r="D38" s="103"/>
      <c r="E38" s="100"/>
    </row>
    <row r="39" spans="1:5">
      <c r="A39" s="64">
        <v>27</v>
      </c>
      <c r="B39" s="110" t="s">
        <v>64</v>
      </c>
      <c r="C39" s="102"/>
      <c r="D39" s="103"/>
      <c r="E39" s="100"/>
    </row>
    <row r="40" spans="1:5">
      <c r="A40" s="64">
        <v>28</v>
      </c>
      <c r="B40" s="110" t="s">
        <v>65</v>
      </c>
      <c r="C40" s="102">
        <f>'9.Capital'!C11</f>
        <v>5548911.0649477383</v>
      </c>
      <c r="D40" s="109" t="s">
        <v>457</v>
      </c>
      <c r="E40" s="100"/>
    </row>
    <row r="41" spans="1:5">
      <c r="A41" s="64">
        <v>29</v>
      </c>
      <c r="B41" s="110" t="s">
        <v>66</v>
      </c>
      <c r="C41" s="102"/>
      <c r="D41" s="103"/>
      <c r="E41" s="100"/>
    </row>
    <row r="42" spans="1:5" ht="15.75" thickBot="1">
      <c r="A42" s="121">
        <v>30</v>
      </c>
      <c r="B42" s="122" t="s">
        <v>273</v>
      </c>
      <c r="C42" s="123">
        <f>SUM(C35:C41)</f>
        <v>74710511.064947739</v>
      </c>
      <c r="D42" s="124"/>
      <c r="E42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0" zoomScaleNormal="7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2" width="13" style="29" bestFit="1" customWidth="1"/>
    <col min="13" max="13" width="16.28515625" style="29" bestFit="1" customWidth="1"/>
    <col min="14" max="16" width="13" style="29" bestFit="1" customWidth="1"/>
    <col min="17" max="17" width="14.7109375" style="29" customWidth="1"/>
    <col min="18" max="18" width="13" style="29" bestFit="1" customWidth="1"/>
    <col min="19" max="19" width="34.85546875" style="29" customWidth="1"/>
    <col min="20" max="16384" width="9.140625" style="29"/>
  </cols>
  <sheetData>
    <row r="1" spans="1:19">
      <c r="A1" s="337" t="s">
        <v>30</v>
      </c>
      <c r="B1" s="338" t="s">
        <v>442</v>
      </c>
    </row>
    <row r="2" spans="1:19">
      <c r="A2" s="337" t="s">
        <v>31</v>
      </c>
      <c r="B2" s="339">
        <f>'1. key ratios '!B2</f>
        <v>43465</v>
      </c>
    </row>
    <row r="4" spans="1:19" ht="26.25" thickBot="1">
      <c r="A4" s="4" t="s">
        <v>255</v>
      </c>
      <c r="B4" s="254" t="s">
        <v>382</v>
      </c>
    </row>
    <row r="5" spans="1:19" s="244" customFormat="1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365</v>
      </c>
      <c r="P5" s="241" t="s">
        <v>366</v>
      </c>
      <c r="Q5" s="241" t="s">
        <v>367</v>
      </c>
      <c r="R5" s="242" t="s">
        <v>368</v>
      </c>
      <c r="S5" s="243" t="s">
        <v>369</v>
      </c>
    </row>
    <row r="6" spans="1:19" s="244" customFormat="1" ht="99" customHeight="1">
      <c r="A6" s="245"/>
      <c r="B6" s="563" t="s">
        <v>370</v>
      </c>
      <c r="C6" s="559">
        <v>0</v>
      </c>
      <c r="D6" s="560"/>
      <c r="E6" s="559">
        <v>0.2</v>
      </c>
      <c r="F6" s="560"/>
      <c r="G6" s="559">
        <v>0.35</v>
      </c>
      <c r="H6" s="560"/>
      <c r="I6" s="559">
        <v>0.5</v>
      </c>
      <c r="J6" s="560"/>
      <c r="K6" s="559">
        <v>0.75</v>
      </c>
      <c r="L6" s="560"/>
      <c r="M6" s="559">
        <v>1</v>
      </c>
      <c r="N6" s="560"/>
      <c r="O6" s="559">
        <v>1.5</v>
      </c>
      <c r="P6" s="560"/>
      <c r="Q6" s="559">
        <v>2.5</v>
      </c>
      <c r="R6" s="560"/>
      <c r="S6" s="561" t="s">
        <v>254</v>
      </c>
    </row>
    <row r="7" spans="1:19" s="244" customFormat="1" ht="30.75" customHeight="1">
      <c r="A7" s="245"/>
      <c r="B7" s="564"/>
      <c r="C7" s="236" t="s">
        <v>257</v>
      </c>
      <c r="D7" s="236" t="s">
        <v>256</v>
      </c>
      <c r="E7" s="236" t="s">
        <v>257</v>
      </c>
      <c r="F7" s="236" t="s">
        <v>256</v>
      </c>
      <c r="G7" s="236" t="s">
        <v>257</v>
      </c>
      <c r="H7" s="236" t="s">
        <v>256</v>
      </c>
      <c r="I7" s="236" t="s">
        <v>257</v>
      </c>
      <c r="J7" s="236" t="s">
        <v>256</v>
      </c>
      <c r="K7" s="236" t="s">
        <v>257</v>
      </c>
      <c r="L7" s="236" t="s">
        <v>256</v>
      </c>
      <c r="M7" s="236" t="s">
        <v>257</v>
      </c>
      <c r="N7" s="236" t="s">
        <v>256</v>
      </c>
      <c r="O7" s="236" t="s">
        <v>257</v>
      </c>
      <c r="P7" s="236" t="s">
        <v>256</v>
      </c>
      <c r="Q7" s="236" t="s">
        <v>257</v>
      </c>
      <c r="R7" s="236" t="s">
        <v>256</v>
      </c>
      <c r="S7" s="562"/>
    </row>
    <row r="8" spans="1:19" s="127" customFormat="1">
      <c r="A8" s="125">
        <v>1</v>
      </c>
      <c r="B8" s="1" t="s">
        <v>97</v>
      </c>
      <c r="C8" s="126">
        <v>14863607.366814453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38094570.93017447</v>
      </c>
      <c r="N8" s="126"/>
      <c r="O8" s="126"/>
      <c r="P8" s="126"/>
      <c r="Q8" s="126"/>
      <c r="R8" s="126"/>
      <c r="S8" s="444">
        <f>$C$6*SUM(C8:D8)+$E$6*SUM(E8:F8)+$G$6*SUM(G8:H8)+$I$6*SUM(I8:J8)+$K$6*SUM(K8:L8)+$M$6*SUM(M8:N8)+$O$6*SUM(O8:P8)+$Q$6*SUM(Q8:R8)</f>
        <v>38094570.93017447</v>
      </c>
    </row>
    <row r="9" spans="1:19" s="127" customFormat="1">
      <c r="A9" s="125">
        <v>2</v>
      </c>
      <c r="B9" s="1" t="s">
        <v>98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4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4">
        <f t="shared" si="0"/>
        <v>0</v>
      </c>
    </row>
    <row r="11" spans="1:19" s="127" customFormat="1">
      <c r="A11" s="125">
        <v>4</v>
      </c>
      <c r="B11" s="1" t="s">
        <v>99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4">
        <f t="shared" si="0"/>
        <v>0</v>
      </c>
    </row>
    <row r="12" spans="1:19" s="127" customFormat="1">
      <c r="A12" s="125">
        <v>5</v>
      </c>
      <c r="B12" s="1" t="s">
        <v>100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4">
        <f t="shared" si="0"/>
        <v>0</v>
      </c>
    </row>
    <row r="13" spans="1:19" s="127" customFormat="1">
      <c r="A13" s="125">
        <v>6</v>
      </c>
      <c r="B13" s="1" t="s">
        <v>101</v>
      </c>
      <c r="C13" s="126"/>
      <c r="D13" s="126"/>
      <c r="E13" s="126">
        <v>10617498.57</v>
      </c>
      <c r="F13" s="126"/>
      <c r="G13" s="126"/>
      <c r="H13" s="126"/>
      <c r="I13" s="126"/>
      <c r="J13" s="126"/>
      <c r="K13" s="126"/>
      <c r="L13" s="126"/>
      <c r="M13" s="126">
        <v>24416146.648148999</v>
      </c>
      <c r="N13" s="126"/>
      <c r="O13" s="126"/>
      <c r="P13" s="126"/>
      <c r="Q13" s="126"/>
      <c r="R13" s="126"/>
      <c r="S13" s="444">
        <f t="shared" si="0"/>
        <v>26539646.362149</v>
      </c>
    </row>
    <row r="14" spans="1:19" s="127" customFormat="1">
      <c r="A14" s="125">
        <v>7</v>
      </c>
      <c r="B14" s="1" t="s">
        <v>102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141427242.6290817</v>
      </c>
      <c r="N14" s="126">
        <v>42775888.719999999</v>
      </c>
      <c r="O14" s="126"/>
      <c r="P14" s="126"/>
      <c r="Q14" s="126"/>
      <c r="R14" s="126"/>
      <c r="S14" s="444">
        <f t="shared" si="0"/>
        <v>184203131.3490817</v>
      </c>
    </row>
    <row r="15" spans="1:19" s="127" customFormat="1">
      <c r="A15" s="125">
        <v>8</v>
      </c>
      <c r="B15" s="1" t="s">
        <v>103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>
        <v>3156513.429</v>
      </c>
      <c r="N15" s="126"/>
      <c r="O15" s="126"/>
      <c r="P15" s="126"/>
      <c r="Q15" s="126"/>
      <c r="R15" s="126"/>
      <c r="S15" s="444">
        <f t="shared" si="0"/>
        <v>3156513.429</v>
      </c>
    </row>
    <row r="16" spans="1:19" s="127" customFormat="1">
      <c r="A16" s="125">
        <v>9</v>
      </c>
      <c r="B16" s="1" t="s">
        <v>104</v>
      </c>
      <c r="C16" s="126"/>
      <c r="D16" s="126"/>
      <c r="E16" s="126"/>
      <c r="F16" s="126"/>
      <c r="G16" s="126">
        <v>4581207.3999999994</v>
      </c>
      <c r="H16" s="126"/>
      <c r="I16" s="126"/>
      <c r="J16" s="126"/>
      <c r="K16" s="126"/>
      <c r="L16" s="126"/>
      <c r="M16" s="126">
        <v>4018298.4850000003</v>
      </c>
      <c r="N16" s="126"/>
      <c r="O16" s="126"/>
      <c r="P16" s="126"/>
      <c r="Q16" s="126"/>
      <c r="R16" s="126"/>
      <c r="S16" s="444">
        <f t="shared" si="0"/>
        <v>5621721.0750000002</v>
      </c>
    </row>
    <row r="17" spans="1:19" s="127" customFormat="1">
      <c r="A17" s="125">
        <v>10</v>
      </c>
      <c r="B17" s="1" t="s">
        <v>105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1243664.5379999999</v>
      </c>
      <c r="N17" s="126"/>
      <c r="O17" s="126"/>
      <c r="P17" s="126"/>
      <c r="Q17" s="126"/>
      <c r="R17" s="126"/>
      <c r="S17" s="444">
        <f t="shared" si="0"/>
        <v>1243664.5379999999</v>
      </c>
    </row>
    <row r="18" spans="1:19" s="127" customFormat="1">
      <c r="A18" s="125">
        <v>11</v>
      </c>
      <c r="B18" s="1" t="s">
        <v>106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4">
        <f t="shared" si="0"/>
        <v>0</v>
      </c>
    </row>
    <row r="19" spans="1:19" s="127" customFormat="1">
      <c r="A19" s="125">
        <v>12</v>
      </c>
      <c r="B19" s="1" t="s">
        <v>107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4">
        <f t="shared" si="0"/>
        <v>0</v>
      </c>
    </row>
    <row r="20" spans="1:19" s="127" customFormat="1">
      <c r="A20" s="125">
        <v>13</v>
      </c>
      <c r="B20" s="1" t="s">
        <v>253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4">
        <f t="shared" si="0"/>
        <v>0</v>
      </c>
    </row>
    <row r="21" spans="1:19" s="127" customFormat="1">
      <c r="A21" s="125">
        <v>14</v>
      </c>
      <c r="B21" s="1" t="s">
        <v>109</v>
      </c>
      <c r="C21" s="126">
        <v>5109461.49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15650761.092944104</v>
      </c>
      <c r="N21" s="126"/>
      <c r="O21" s="126">
        <v>0</v>
      </c>
      <c r="P21" s="126"/>
      <c r="Q21" s="126">
        <v>0</v>
      </c>
      <c r="R21" s="126"/>
      <c r="S21" s="444">
        <f t="shared" si="0"/>
        <v>15650761.092944104</v>
      </c>
    </row>
    <row r="22" spans="1:19" ht="13.5" thickBot="1">
      <c r="A22" s="128"/>
      <c r="B22" s="129" t="s">
        <v>110</v>
      </c>
      <c r="C22" s="442">
        <f>SUM(C8:C21)</f>
        <v>19973068.856814452</v>
      </c>
      <c r="D22" s="442">
        <f t="shared" ref="D22:J22" si="1">SUM(D8:D21)</f>
        <v>0</v>
      </c>
      <c r="E22" s="442">
        <f t="shared" si="1"/>
        <v>10617498.57</v>
      </c>
      <c r="F22" s="442">
        <f t="shared" si="1"/>
        <v>0</v>
      </c>
      <c r="G22" s="442">
        <f t="shared" si="1"/>
        <v>4581207.3999999994</v>
      </c>
      <c r="H22" s="442">
        <f t="shared" si="1"/>
        <v>0</v>
      </c>
      <c r="I22" s="442">
        <f t="shared" si="1"/>
        <v>0</v>
      </c>
      <c r="J22" s="442">
        <f t="shared" si="1"/>
        <v>0</v>
      </c>
      <c r="K22" s="442">
        <f t="shared" ref="K22:S22" si="2">SUM(K8:K21)</f>
        <v>0</v>
      </c>
      <c r="L22" s="442">
        <f t="shared" si="2"/>
        <v>0</v>
      </c>
      <c r="M22" s="442">
        <f t="shared" si="2"/>
        <v>228007197.75234926</v>
      </c>
      <c r="N22" s="442">
        <f t="shared" si="2"/>
        <v>42775888.719999999</v>
      </c>
      <c r="O22" s="442">
        <f t="shared" si="2"/>
        <v>0</v>
      </c>
      <c r="P22" s="442">
        <f t="shared" si="2"/>
        <v>0</v>
      </c>
      <c r="Q22" s="442">
        <f t="shared" si="2"/>
        <v>0</v>
      </c>
      <c r="R22" s="442">
        <f t="shared" si="2"/>
        <v>0</v>
      </c>
      <c r="S22" s="443">
        <f t="shared" si="2"/>
        <v>274510008.77634925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29"/>
  </cols>
  <sheetData>
    <row r="1" spans="1:22">
      <c r="A1" s="337" t="s">
        <v>30</v>
      </c>
      <c r="B1" s="338" t="s">
        <v>442</v>
      </c>
    </row>
    <row r="2" spans="1:22">
      <c r="A2" s="337" t="s">
        <v>31</v>
      </c>
      <c r="B2" s="339">
        <f>'1. key ratios '!B2</f>
        <v>43465</v>
      </c>
    </row>
    <row r="4" spans="1:22" ht="13.5" thickBot="1">
      <c r="A4" s="4" t="s">
        <v>373</v>
      </c>
      <c r="B4" s="130" t="s">
        <v>96</v>
      </c>
      <c r="V4" s="31" t="s">
        <v>73</v>
      </c>
    </row>
    <row r="5" spans="1:22" ht="12.75" customHeight="1">
      <c r="A5" s="131"/>
      <c r="B5" s="132"/>
      <c r="C5" s="565" t="s">
        <v>284</v>
      </c>
      <c r="D5" s="566"/>
      <c r="E5" s="566"/>
      <c r="F5" s="566"/>
      <c r="G5" s="566"/>
      <c r="H5" s="566"/>
      <c r="I5" s="566"/>
      <c r="J5" s="566"/>
      <c r="K5" s="566"/>
      <c r="L5" s="567"/>
      <c r="M5" s="568" t="s">
        <v>285</v>
      </c>
      <c r="N5" s="569"/>
      <c r="O5" s="569"/>
      <c r="P5" s="569"/>
      <c r="Q5" s="569"/>
      <c r="R5" s="569"/>
      <c r="S5" s="570"/>
      <c r="T5" s="573" t="s">
        <v>371</v>
      </c>
      <c r="U5" s="573" t="s">
        <v>372</v>
      </c>
      <c r="V5" s="571" t="s">
        <v>122</v>
      </c>
    </row>
    <row r="6" spans="1:22" s="70" customFormat="1" ht="102">
      <c r="A6" s="67"/>
      <c r="B6" s="133"/>
      <c r="C6" s="134" t="s">
        <v>111</v>
      </c>
      <c r="D6" s="213" t="s">
        <v>112</v>
      </c>
      <c r="E6" s="157" t="s">
        <v>287</v>
      </c>
      <c r="F6" s="157" t="s">
        <v>288</v>
      </c>
      <c r="G6" s="213" t="s">
        <v>291</v>
      </c>
      <c r="H6" s="213" t="s">
        <v>286</v>
      </c>
      <c r="I6" s="213" t="s">
        <v>113</v>
      </c>
      <c r="J6" s="213" t="s">
        <v>114</v>
      </c>
      <c r="K6" s="135" t="s">
        <v>115</v>
      </c>
      <c r="L6" s="136" t="s">
        <v>116</v>
      </c>
      <c r="M6" s="134" t="s">
        <v>289</v>
      </c>
      <c r="N6" s="135" t="s">
        <v>117</v>
      </c>
      <c r="O6" s="135" t="s">
        <v>118</v>
      </c>
      <c r="P6" s="135" t="s">
        <v>119</v>
      </c>
      <c r="Q6" s="135" t="s">
        <v>120</v>
      </c>
      <c r="R6" s="135" t="s">
        <v>121</v>
      </c>
      <c r="S6" s="238" t="s">
        <v>290</v>
      </c>
      <c r="T6" s="574"/>
      <c r="U6" s="574"/>
      <c r="V6" s="572"/>
    </row>
    <row r="7" spans="1:22" s="127" customFormat="1">
      <c r="A7" s="137">
        <v>1</v>
      </c>
      <c r="B7" s="1" t="s">
        <v>97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9"/>
      <c r="U7" s="449"/>
      <c r="V7" s="448">
        <f>SUM(C7:S7)</f>
        <v>0</v>
      </c>
    </row>
    <row r="8" spans="1:22" s="127" customFormat="1">
      <c r="A8" s="137">
        <v>2</v>
      </c>
      <c r="B8" s="1" t="s">
        <v>98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9"/>
      <c r="U8" s="449"/>
      <c r="V8" s="448">
        <f t="shared" ref="V8:V20" si="0">SUM(C8:S8)</f>
        <v>0</v>
      </c>
    </row>
    <row r="9" spans="1:22" s="127" customFormat="1">
      <c r="A9" s="137">
        <v>3</v>
      </c>
      <c r="B9" s="1" t="s">
        <v>277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9"/>
      <c r="U9" s="449"/>
      <c r="V9" s="448">
        <f t="shared" si="0"/>
        <v>0</v>
      </c>
    </row>
    <row r="10" spans="1:22" s="127" customFormat="1">
      <c r="A10" s="137">
        <v>4</v>
      </c>
      <c r="B10" s="1" t="s">
        <v>99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9"/>
      <c r="U10" s="449"/>
      <c r="V10" s="448">
        <f t="shared" si="0"/>
        <v>0</v>
      </c>
    </row>
    <row r="11" spans="1:22" s="127" customFormat="1">
      <c r="A11" s="137">
        <v>5</v>
      </c>
      <c r="B11" s="1" t="s">
        <v>100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9"/>
      <c r="U11" s="449"/>
      <c r="V11" s="448">
        <f t="shared" si="0"/>
        <v>0</v>
      </c>
    </row>
    <row r="12" spans="1:22" s="127" customFormat="1">
      <c r="A12" s="137">
        <v>6</v>
      </c>
      <c r="B12" s="1" t="s">
        <v>101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9"/>
      <c r="U12" s="449"/>
      <c r="V12" s="448">
        <f t="shared" si="0"/>
        <v>0</v>
      </c>
    </row>
    <row r="13" spans="1:22" s="127" customFormat="1">
      <c r="A13" s="137">
        <v>7</v>
      </c>
      <c r="B13" s="1" t="s">
        <v>102</v>
      </c>
      <c r="C13" s="138"/>
      <c r="D13" s="126">
        <v>2961009.3946779999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9">
        <v>2507647.3946779999</v>
      </c>
      <c r="U13" s="449">
        <v>453362</v>
      </c>
      <c r="V13" s="448">
        <f t="shared" si="0"/>
        <v>2961009.3946779999</v>
      </c>
    </row>
    <row r="14" spans="1:22" s="127" customFormat="1">
      <c r="A14" s="137">
        <v>8</v>
      </c>
      <c r="B14" s="1" t="s">
        <v>103</v>
      </c>
      <c r="C14" s="138"/>
      <c r="D14" s="126">
        <v>61490.688000000082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9">
        <v>61490.688000000082</v>
      </c>
      <c r="U14" s="449"/>
      <c r="V14" s="448">
        <f t="shared" si="0"/>
        <v>61490.688000000082</v>
      </c>
    </row>
    <row r="15" spans="1:22" s="127" customFormat="1">
      <c r="A15" s="137">
        <v>9</v>
      </c>
      <c r="B15" s="1" t="s">
        <v>104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9"/>
      <c r="U15" s="449"/>
      <c r="V15" s="448">
        <f t="shared" si="0"/>
        <v>0</v>
      </c>
    </row>
    <row r="16" spans="1:22" s="127" customFormat="1">
      <c r="A16" s="137">
        <v>10</v>
      </c>
      <c r="B16" s="1" t="s">
        <v>105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9"/>
      <c r="U16" s="449"/>
      <c r="V16" s="448">
        <f t="shared" si="0"/>
        <v>0</v>
      </c>
    </row>
    <row r="17" spans="1:22" s="127" customFormat="1">
      <c r="A17" s="137">
        <v>11</v>
      </c>
      <c r="B17" s="1" t="s">
        <v>106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9"/>
      <c r="U17" s="449"/>
      <c r="V17" s="448">
        <f t="shared" si="0"/>
        <v>0</v>
      </c>
    </row>
    <row r="18" spans="1:22" s="127" customFormat="1">
      <c r="A18" s="137">
        <v>12</v>
      </c>
      <c r="B18" s="1" t="s">
        <v>107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9"/>
      <c r="U18" s="449"/>
      <c r="V18" s="448">
        <f t="shared" si="0"/>
        <v>0</v>
      </c>
    </row>
    <row r="19" spans="1:22" s="127" customFormat="1">
      <c r="A19" s="137">
        <v>13</v>
      </c>
      <c r="B19" s="1" t="s">
        <v>108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9"/>
      <c r="U19" s="449"/>
      <c r="V19" s="448">
        <f t="shared" si="0"/>
        <v>0</v>
      </c>
    </row>
    <row r="20" spans="1:22" s="127" customFormat="1">
      <c r="A20" s="137">
        <v>14</v>
      </c>
      <c r="B20" s="1" t="s">
        <v>109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9"/>
      <c r="U20" s="449"/>
      <c r="V20" s="448">
        <f t="shared" si="0"/>
        <v>0</v>
      </c>
    </row>
    <row r="21" spans="1:22" ht="13.5" thickBot="1">
      <c r="A21" s="128"/>
      <c r="B21" s="140" t="s">
        <v>110</v>
      </c>
      <c r="C21" s="445">
        <f>SUM(C7:C20)</f>
        <v>0</v>
      </c>
      <c r="D21" s="442">
        <f t="shared" ref="D21:V21" si="1">SUM(D7:D20)</f>
        <v>3022500.082678</v>
      </c>
      <c r="E21" s="442">
        <f t="shared" si="1"/>
        <v>0</v>
      </c>
      <c r="F21" s="442">
        <f t="shared" si="1"/>
        <v>0</v>
      </c>
      <c r="G21" s="442">
        <f t="shared" si="1"/>
        <v>0</v>
      </c>
      <c r="H21" s="442">
        <f t="shared" si="1"/>
        <v>0</v>
      </c>
      <c r="I21" s="442">
        <f t="shared" si="1"/>
        <v>0</v>
      </c>
      <c r="J21" s="442">
        <f t="shared" si="1"/>
        <v>0</v>
      </c>
      <c r="K21" s="442">
        <f t="shared" si="1"/>
        <v>0</v>
      </c>
      <c r="L21" s="446">
        <f t="shared" si="1"/>
        <v>0</v>
      </c>
      <c r="M21" s="445">
        <f t="shared" si="1"/>
        <v>0</v>
      </c>
      <c r="N21" s="442">
        <f t="shared" si="1"/>
        <v>0</v>
      </c>
      <c r="O21" s="442">
        <f t="shared" si="1"/>
        <v>0</v>
      </c>
      <c r="P21" s="442">
        <f t="shared" si="1"/>
        <v>0</v>
      </c>
      <c r="Q21" s="442">
        <f t="shared" si="1"/>
        <v>0</v>
      </c>
      <c r="R21" s="442">
        <f t="shared" si="1"/>
        <v>0</v>
      </c>
      <c r="S21" s="446">
        <f>SUM(S7:S20)</f>
        <v>0</v>
      </c>
      <c r="T21" s="446">
        <f>SUM(T7:T20)</f>
        <v>2569138.082678</v>
      </c>
      <c r="U21" s="446">
        <f t="shared" ref="U21" si="2">SUM(U7:U20)</f>
        <v>453362</v>
      </c>
      <c r="V21" s="447">
        <f t="shared" si="1"/>
        <v>3022500.082678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246" customWidth="1"/>
    <col min="4" max="4" width="14.85546875" style="246" bestFit="1" customWidth="1"/>
    <col min="5" max="5" width="17.7109375" style="246" customWidth="1"/>
    <col min="6" max="6" width="15.85546875" style="246" customWidth="1"/>
    <col min="7" max="7" width="17.42578125" style="246" customWidth="1"/>
    <col min="8" max="8" width="15.28515625" style="246" customWidth="1"/>
    <col min="9" max="16384" width="9.140625" style="29"/>
  </cols>
  <sheetData>
    <row r="1" spans="1:9">
      <c r="A1" s="337" t="s">
        <v>30</v>
      </c>
      <c r="B1" s="338" t="s">
        <v>442</v>
      </c>
    </row>
    <row r="2" spans="1:9">
      <c r="A2" s="337" t="s">
        <v>31</v>
      </c>
      <c r="B2" s="339">
        <f>'1. key ratios '!B2</f>
        <v>43465</v>
      </c>
    </row>
    <row r="4" spans="1:9" ht="13.5" thickBot="1">
      <c r="A4" s="2" t="s">
        <v>259</v>
      </c>
      <c r="B4" s="130" t="s">
        <v>383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77" t="s">
        <v>258</v>
      </c>
      <c r="C6" s="579" t="s">
        <v>375</v>
      </c>
      <c r="D6" s="581" t="s">
        <v>374</v>
      </c>
      <c r="E6" s="582"/>
      <c r="F6" s="579" t="s">
        <v>379</v>
      </c>
      <c r="G6" s="579" t="s">
        <v>380</v>
      </c>
      <c r="H6" s="575" t="s">
        <v>378</v>
      </c>
    </row>
    <row r="7" spans="1:9" ht="38.25">
      <c r="A7" s="146"/>
      <c r="B7" s="578"/>
      <c r="C7" s="580"/>
      <c r="D7" s="250" t="s">
        <v>377</v>
      </c>
      <c r="E7" s="250" t="s">
        <v>376</v>
      </c>
      <c r="F7" s="580"/>
      <c r="G7" s="580"/>
      <c r="H7" s="576"/>
      <c r="I7" s="143"/>
    </row>
    <row r="8" spans="1:9">
      <c r="A8" s="144">
        <v>1</v>
      </c>
      <c r="B8" s="1" t="s">
        <v>97</v>
      </c>
      <c r="C8" s="251">
        <f>'11. CRWA '!C8+'11. CRWA '!E8+'11. CRWA '!G8+'11. CRWA '!I8+'11. CRWA '!K8+'11. CRWA '!M8+'11. CRWA '!O8+'11. CRWA '!Q8</f>
        <v>52958178.296988919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38094570.93017447</v>
      </c>
      <c r="G8" s="253">
        <f>F8-'12. CRM'!V7</f>
        <v>38094570.93017447</v>
      </c>
      <c r="H8" s="451">
        <f>IFERROR(G8/(C8+E8),0)</f>
        <v>0.71933310690070396</v>
      </c>
    </row>
    <row r="9" spans="1:9" ht="15" customHeight="1">
      <c r="A9" s="144">
        <v>2</v>
      </c>
      <c r="B9" s="1" t="s">
        <v>98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51">
        <f t="shared" ref="H9:H21" si="0">IFERROR(G9/(C9+E9),0)</f>
        <v>0</v>
      </c>
    </row>
    <row r="10" spans="1:9">
      <c r="A10" s="144">
        <v>3</v>
      </c>
      <c r="B10" s="1" t="s">
        <v>277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51">
        <f t="shared" si="0"/>
        <v>0</v>
      </c>
    </row>
    <row r="11" spans="1:9">
      <c r="A11" s="144">
        <v>4</v>
      </c>
      <c r="B11" s="1" t="s">
        <v>99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51">
        <f t="shared" si="0"/>
        <v>0</v>
      </c>
    </row>
    <row r="12" spans="1:9">
      <c r="A12" s="144">
        <v>5</v>
      </c>
      <c r="B12" s="1" t="s">
        <v>100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51">
        <f t="shared" si="0"/>
        <v>0</v>
      </c>
    </row>
    <row r="13" spans="1:9">
      <c r="A13" s="144">
        <v>6</v>
      </c>
      <c r="B13" s="1" t="s">
        <v>101</v>
      </c>
      <c r="C13" s="251">
        <f>'11. CRWA '!C13+'11. CRWA '!E13+'11. CRWA '!G13+'11. CRWA '!I13+'11. CRWA '!K13+'11. CRWA '!M13+'11. CRWA '!O13+'11. CRWA '!Q13</f>
        <v>35033645.218148999</v>
      </c>
      <c r="D13" s="252"/>
      <c r="E13" s="251">
        <f>'11. CRWA '!D13+'11. CRWA '!F13+'11. CRWA '!H13+'11. CRWA '!J13+'11. CRWA '!L13+'11. CRWA '!N13+'11. CRWA '!P13+'11. CRWA '!R13</f>
        <v>0</v>
      </c>
      <c r="F13" s="251">
        <f>'11. CRWA '!S13</f>
        <v>26539646.362149</v>
      </c>
      <c r="G13" s="253">
        <f>F13-'12. CRM'!V12</f>
        <v>26539646.362149</v>
      </c>
      <c r="H13" s="451">
        <f t="shared" si="0"/>
        <v>0.75754738614525541</v>
      </c>
    </row>
    <row r="14" spans="1:9">
      <c r="A14" s="144">
        <v>7</v>
      </c>
      <c r="B14" s="1" t="s">
        <v>102</v>
      </c>
      <c r="C14" s="251">
        <f>'11. CRWA '!C14+'11. CRWA '!E14+'11. CRWA '!G14+'11. CRWA '!I14+'11. CRWA '!K14+'11. CRWA '!M14+'11. CRWA '!O14+'11. CRWA '!Q14</f>
        <v>141427242.6290817</v>
      </c>
      <c r="D14" s="252">
        <f>'4. Off-Balance'!E7</f>
        <v>42820314.160000004</v>
      </c>
      <c r="E14" s="251">
        <f>'11. CRWA '!D14+'11. CRWA '!F14+'11. CRWA '!H14+'11. CRWA '!J14+'11. CRWA '!L14+'11. CRWA '!N14+'11. CRWA '!P14+'11. CRWA '!R14</f>
        <v>42775888.719999999</v>
      </c>
      <c r="F14" s="251">
        <f>'11. CRWA '!S14</f>
        <v>184203131.3490817</v>
      </c>
      <c r="G14" s="253">
        <f>F14-'12. CRM'!V13</f>
        <v>181242121.9544037</v>
      </c>
      <c r="H14" s="451">
        <f t="shared" si="0"/>
        <v>0.98392530369602338</v>
      </c>
    </row>
    <row r="15" spans="1:9">
      <c r="A15" s="144">
        <v>8</v>
      </c>
      <c r="B15" s="1" t="s">
        <v>103</v>
      </c>
      <c r="C15" s="251">
        <f>'11. CRWA '!C15+'11. CRWA '!E15+'11. CRWA '!G15+'11. CRWA '!I15+'11. CRWA '!K15+'11. CRWA '!M15+'11. CRWA '!O15+'11. CRWA '!Q15</f>
        <v>3156513.429</v>
      </c>
      <c r="D15" s="252"/>
      <c r="E15" s="251">
        <f>'11. CRWA '!D15+'11. CRWA '!F15+'11. CRWA '!H15+'11. CRWA '!J15+'11. CRWA '!L15+'11. CRWA '!N15+'11. CRWA '!P15+'11. CRWA '!R15</f>
        <v>0</v>
      </c>
      <c r="F15" s="251">
        <f>'11. CRWA '!S15</f>
        <v>3156513.429</v>
      </c>
      <c r="G15" s="253">
        <f>F15-'12. CRM'!V14</f>
        <v>3095022.7409999999</v>
      </c>
      <c r="H15" s="451">
        <f t="shared" si="0"/>
        <v>0.98051942772203549</v>
      </c>
    </row>
    <row r="16" spans="1:9">
      <c r="A16" s="144">
        <v>9</v>
      </c>
      <c r="B16" s="1" t="s">
        <v>104</v>
      </c>
      <c r="C16" s="251">
        <f>'11. CRWA '!C16+'11. CRWA '!E16+'11. CRWA '!G16+'11. CRWA '!I16+'11. CRWA '!K16+'11. CRWA '!M16+'11. CRWA '!O16+'11. CRWA '!Q16</f>
        <v>8599505.8849999998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5621721.0750000002</v>
      </c>
      <c r="G16" s="253">
        <f>F16-'12. CRM'!V15</f>
        <v>5621721.0750000002</v>
      </c>
      <c r="H16" s="451">
        <f t="shared" si="0"/>
        <v>0.65372605707566189</v>
      </c>
    </row>
    <row r="17" spans="1:8">
      <c r="A17" s="144">
        <v>10</v>
      </c>
      <c r="B17" s="1" t="s">
        <v>105</v>
      </c>
      <c r="C17" s="251">
        <f>'11. CRWA '!C17+'11. CRWA '!E17+'11. CRWA '!G17+'11. CRWA '!I17+'11. CRWA '!K17+'11. CRWA '!M17+'11. CRWA '!O17+'11. CRWA '!Q17</f>
        <v>1243664.5379999999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1243664.5379999999</v>
      </c>
      <c r="G17" s="253">
        <f>F17-'12. CRM'!V16</f>
        <v>1243664.5379999999</v>
      </c>
      <c r="H17" s="451">
        <f t="shared" si="0"/>
        <v>1</v>
      </c>
    </row>
    <row r="18" spans="1:8">
      <c r="A18" s="144">
        <v>11</v>
      </c>
      <c r="B18" s="1" t="s">
        <v>106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51">
        <f t="shared" si="0"/>
        <v>0</v>
      </c>
    </row>
    <row r="19" spans="1:8">
      <c r="A19" s="144">
        <v>12</v>
      </c>
      <c r="B19" s="1" t="s">
        <v>107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51">
        <f t="shared" si="0"/>
        <v>0</v>
      </c>
    </row>
    <row r="20" spans="1:8">
      <c r="A20" s="144">
        <v>13</v>
      </c>
      <c r="B20" s="1" t="s">
        <v>253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51">
        <f t="shared" si="0"/>
        <v>0</v>
      </c>
    </row>
    <row r="21" spans="1:8">
      <c r="A21" s="144">
        <v>14</v>
      </c>
      <c r="B21" s="1" t="s">
        <v>109</v>
      </c>
      <c r="C21" s="251">
        <f>'11. CRWA '!C21+'11. CRWA '!E21+'11. CRWA '!G21+'11. CRWA '!I21+'11. CRWA '!K21+'11. CRWA '!M21+'11. CRWA '!O21+'11. CRWA '!Q21</f>
        <v>20760222.582944103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15650761.092944104</v>
      </c>
      <c r="G21" s="253">
        <f>F21-'12. CRM'!V20</f>
        <v>15650761.092944104</v>
      </c>
      <c r="H21" s="451">
        <f t="shared" si="0"/>
        <v>0.75388214314244595</v>
      </c>
    </row>
    <row r="22" spans="1:8" ht="13.5" thickBot="1">
      <c r="A22" s="147"/>
      <c r="B22" s="148" t="s">
        <v>110</v>
      </c>
      <c r="C22" s="450">
        <f>SUM(C8:C21)</f>
        <v>263178972.57916367</v>
      </c>
      <c r="D22" s="450">
        <f>SUM(D8:D21)</f>
        <v>42820314.160000004</v>
      </c>
      <c r="E22" s="450">
        <f>SUM(E8:E21)</f>
        <v>42775888.719999999</v>
      </c>
      <c r="F22" s="450">
        <f>SUM(F8:F21)</f>
        <v>274510008.77634925</v>
      </c>
      <c r="G22" s="450">
        <f>SUM(G8:G21)</f>
        <v>271487508.69367123</v>
      </c>
      <c r="H22" s="452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10.5703125" style="246" bestFit="1" customWidth="1"/>
    <col min="2" max="2" width="104.140625" style="246" customWidth="1"/>
    <col min="3" max="11" width="12.7109375" style="246" customWidth="1"/>
    <col min="12" max="16384" width="9.140625" style="246"/>
  </cols>
  <sheetData>
    <row r="1" spans="1:11">
      <c r="A1" s="337" t="s">
        <v>30</v>
      </c>
      <c r="B1" s="338" t="s">
        <v>442</v>
      </c>
    </row>
    <row r="2" spans="1:11">
      <c r="A2" s="337" t="s">
        <v>31</v>
      </c>
      <c r="B2" s="339">
        <f>'1. key ratios '!B2</f>
        <v>43465</v>
      </c>
      <c r="C2" s="267"/>
      <c r="D2" s="267"/>
    </row>
    <row r="3" spans="1:11">
      <c r="B3" s="267"/>
      <c r="C3" s="267"/>
      <c r="D3" s="267"/>
    </row>
    <row r="4" spans="1:11" ht="13.5" thickBot="1">
      <c r="A4" s="246" t="s">
        <v>255</v>
      </c>
      <c r="B4" s="293" t="s">
        <v>384</v>
      </c>
      <c r="C4" s="267"/>
      <c r="D4" s="267"/>
    </row>
    <row r="5" spans="1:11" ht="30" customHeight="1">
      <c r="A5" s="583"/>
      <c r="B5" s="584"/>
      <c r="C5" s="585" t="s">
        <v>439</v>
      </c>
      <c r="D5" s="586"/>
      <c r="E5" s="587"/>
      <c r="F5" s="585" t="s">
        <v>440</v>
      </c>
      <c r="G5" s="586"/>
      <c r="H5" s="587"/>
      <c r="I5" s="586" t="s">
        <v>441</v>
      </c>
      <c r="J5" s="586"/>
      <c r="K5" s="587"/>
    </row>
    <row r="6" spans="1:11">
      <c r="A6" s="268"/>
      <c r="B6" s="269"/>
      <c r="C6" s="483" t="s">
        <v>69</v>
      </c>
      <c r="D6" s="384" t="s">
        <v>70</v>
      </c>
      <c r="E6" s="397" t="s">
        <v>71</v>
      </c>
      <c r="F6" s="483" t="s">
        <v>69</v>
      </c>
      <c r="G6" s="384" t="s">
        <v>70</v>
      </c>
      <c r="H6" s="397" t="s">
        <v>71</v>
      </c>
      <c r="I6" s="477" t="s">
        <v>69</v>
      </c>
      <c r="J6" s="191" t="s">
        <v>70</v>
      </c>
      <c r="K6" s="191" t="s">
        <v>71</v>
      </c>
    </row>
    <row r="7" spans="1:11">
      <c r="A7" s="270" t="s">
        <v>387</v>
      </c>
      <c r="B7" s="271"/>
      <c r="C7" s="468"/>
      <c r="D7" s="271"/>
      <c r="E7" s="272"/>
      <c r="F7" s="468"/>
      <c r="G7" s="271"/>
      <c r="H7" s="272"/>
      <c r="I7" s="271"/>
      <c r="J7" s="271"/>
      <c r="K7" s="272"/>
    </row>
    <row r="8" spans="1:11">
      <c r="A8" s="273">
        <v>1</v>
      </c>
      <c r="B8" s="275" t="s">
        <v>385</v>
      </c>
      <c r="C8" s="484"/>
      <c r="D8" s="274"/>
      <c r="E8" s="303"/>
      <c r="F8" s="462">
        <v>19687478.68592741</v>
      </c>
      <c r="G8" s="474">
        <v>34112055.013561621</v>
      </c>
      <c r="H8" s="464">
        <f>F8+G8</f>
        <v>53799533.699489027</v>
      </c>
      <c r="I8" s="478">
        <v>15424404.440423565</v>
      </c>
      <c r="J8" s="474">
        <v>25939763.831353523</v>
      </c>
      <c r="K8" s="464">
        <f>I8+J8</f>
        <v>41364168.271777086</v>
      </c>
    </row>
    <row r="9" spans="1:11">
      <c r="A9" s="270" t="s">
        <v>388</v>
      </c>
      <c r="B9" s="271"/>
      <c r="C9" s="468"/>
      <c r="D9" s="271"/>
      <c r="E9" s="272"/>
      <c r="F9" s="468"/>
      <c r="G9" s="271"/>
      <c r="H9" s="272"/>
      <c r="I9" s="271"/>
      <c r="J9" s="271"/>
      <c r="K9" s="272"/>
    </row>
    <row r="10" spans="1:11">
      <c r="A10" s="276">
        <v>2</v>
      </c>
      <c r="B10" s="277" t="s">
        <v>396</v>
      </c>
      <c r="C10" s="462">
        <v>950262.94823204412</v>
      </c>
      <c r="D10" s="463">
        <v>21322048.18118092</v>
      </c>
      <c r="E10" s="464">
        <f>C10+D10</f>
        <v>22272311.129412964</v>
      </c>
      <c r="F10" s="462">
        <v>277113.70668425458</v>
      </c>
      <c r="G10" s="463">
        <v>4267214.139303593</v>
      </c>
      <c r="H10" s="464">
        <f>F10+G10</f>
        <v>4544327.8459878471</v>
      </c>
      <c r="I10" s="478">
        <v>47895.554879461248</v>
      </c>
      <c r="J10" s="463">
        <v>1061761.1393333334</v>
      </c>
      <c r="K10" s="464">
        <f>I10+J10</f>
        <v>1109656.6942127945</v>
      </c>
    </row>
    <row r="11" spans="1:11">
      <c r="A11" s="276">
        <v>3</v>
      </c>
      <c r="B11" s="277" t="s">
        <v>390</v>
      </c>
      <c r="C11" s="462">
        <v>7447161.0092541268</v>
      </c>
      <c r="D11" s="463">
        <v>127285882.23489362</v>
      </c>
      <c r="E11" s="464">
        <f>C11+D11</f>
        <v>134733043.24414775</v>
      </c>
      <c r="F11" s="462">
        <v>3012320.832982732</v>
      </c>
      <c r="G11" s="462">
        <v>16597179.040651226</v>
      </c>
      <c r="H11" s="464">
        <f>F11+G11</f>
        <v>19609499.873633958</v>
      </c>
      <c r="I11" s="478">
        <v>2375651.1361212116</v>
      </c>
      <c r="J11" s="462">
        <v>19167437.514190592</v>
      </c>
      <c r="K11" s="464">
        <f>I11+J11</f>
        <v>21543088.650311805</v>
      </c>
    </row>
    <row r="12" spans="1:11">
      <c r="A12" s="276">
        <v>4</v>
      </c>
      <c r="B12" s="277" t="s">
        <v>391</v>
      </c>
      <c r="C12" s="465"/>
      <c r="D12" s="277"/>
      <c r="E12" s="278"/>
      <c r="F12" s="465"/>
      <c r="G12" s="277"/>
      <c r="H12" s="278"/>
      <c r="I12" s="479"/>
      <c r="J12" s="277"/>
      <c r="K12" s="278"/>
    </row>
    <row r="13" spans="1:11">
      <c r="A13" s="276">
        <v>5</v>
      </c>
      <c r="B13" s="277" t="s">
        <v>399</v>
      </c>
      <c r="C13" s="462">
        <v>10010755.66483425</v>
      </c>
      <c r="D13" s="463">
        <v>14504798.331215464</v>
      </c>
      <c r="E13" s="464">
        <f>C13+D13</f>
        <v>24515553.996049713</v>
      </c>
      <c r="F13" s="462">
        <v>1893400.8625883984</v>
      </c>
      <c r="G13" s="463">
        <v>2337428.7787845298</v>
      </c>
      <c r="H13" s="464">
        <f>F13+G13</f>
        <v>4230829.6413729284</v>
      </c>
      <c r="I13" s="478">
        <v>1017851.6218181815</v>
      </c>
      <c r="J13" s="463">
        <v>1050752.1088569025</v>
      </c>
      <c r="K13" s="464">
        <f>I13+J13</f>
        <v>2068603.7306750841</v>
      </c>
    </row>
    <row r="14" spans="1:11">
      <c r="A14" s="276">
        <v>6</v>
      </c>
      <c r="B14" s="277" t="s">
        <v>434</v>
      </c>
      <c r="C14" s="465"/>
      <c r="D14" s="277"/>
      <c r="E14" s="278"/>
      <c r="F14" s="465"/>
      <c r="G14" s="277"/>
      <c r="H14" s="278"/>
      <c r="I14" s="479"/>
      <c r="J14" s="277"/>
      <c r="K14" s="278"/>
    </row>
    <row r="15" spans="1:11">
      <c r="A15" s="276">
        <v>7</v>
      </c>
      <c r="B15" s="277" t="s">
        <v>435</v>
      </c>
      <c r="C15" s="462">
        <v>26254.069171270741</v>
      </c>
      <c r="D15" s="463">
        <v>2139428.1015193379</v>
      </c>
      <c r="E15" s="464">
        <f>C15+D15</f>
        <v>2165682.1706906087</v>
      </c>
      <c r="F15" s="462">
        <v>0</v>
      </c>
      <c r="G15" s="463">
        <v>0</v>
      </c>
      <c r="H15" s="464">
        <f>F15+G15</f>
        <v>0</v>
      </c>
      <c r="I15" s="478">
        <v>0</v>
      </c>
      <c r="J15" s="463">
        <v>0</v>
      </c>
      <c r="K15" s="464">
        <f>I15+J15</f>
        <v>0</v>
      </c>
    </row>
    <row r="16" spans="1:11">
      <c r="A16" s="276">
        <v>8</v>
      </c>
      <c r="B16" s="475" t="s">
        <v>392</v>
      </c>
      <c r="C16" s="466">
        <f>SUM(C10:C15)</f>
        <v>18434433.691491693</v>
      </c>
      <c r="D16" s="467">
        <f>SUM(D10:D15)</f>
        <v>165252156.84880936</v>
      </c>
      <c r="E16" s="464">
        <f>C16+D16</f>
        <v>183686590.54030105</v>
      </c>
      <c r="F16" s="466">
        <f>SUM(F10:F15)</f>
        <v>5182835.4022553852</v>
      </c>
      <c r="G16" s="467">
        <f>SUM(G10:G15)</f>
        <v>23201821.958739348</v>
      </c>
      <c r="H16" s="464">
        <f>F16+G16</f>
        <v>28384657.360994734</v>
      </c>
      <c r="I16" s="480">
        <f>SUM(I10:I15)</f>
        <v>3441398.3128188546</v>
      </c>
      <c r="J16" s="467">
        <f>SUM(J10:J15)</f>
        <v>21279950.762380827</v>
      </c>
      <c r="K16" s="464">
        <f>I16+J16</f>
        <v>24721349.075199682</v>
      </c>
    </row>
    <row r="17" spans="1:11">
      <c r="A17" s="270" t="s">
        <v>389</v>
      </c>
      <c r="B17" s="271"/>
      <c r="C17" s="468"/>
      <c r="D17" s="271"/>
      <c r="E17" s="272"/>
      <c r="F17" s="468"/>
      <c r="G17" s="271"/>
      <c r="H17" s="272"/>
      <c r="I17" s="271"/>
      <c r="J17" s="271"/>
      <c r="K17" s="272"/>
    </row>
    <row r="18" spans="1:11">
      <c r="A18" s="276">
        <v>9</v>
      </c>
      <c r="B18" s="277" t="s">
        <v>395</v>
      </c>
      <c r="C18" s="465"/>
      <c r="D18" s="277"/>
      <c r="E18" s="464">
        <f>C18+D18</f>
        <v>0</v>
      </c>
      <c r="F18" s="465"/>
      <c r="G18" s="277"/>
      <c r="H18" s="464">
        <f>F18+G18</f>
        <v>0</v>
      </c>
      <c r="I18" s="479"/>
      <c r="J18" s="277"/>
      <c r="K18" s="464">
        <f>I18+J18</f>
        <v>0</v>
      </c>
    </row>
    <row r="19" spans="1:11">
      <c r="A19" s="276">
        <v>10</v>
      </c>
      <c r="B19" s="277" t="s">
        <v>436</v>
      </c>
      <c r="C19" s="462">
        <v>44012899.237762392</v>
      </c>
      <c r="D19" s="463">
        <v>134660541.51693371</v>
      </c>
      <c r="E19" s="464">
        <f>C19+D19</f>
        <v>178673440.7546961</v>
      </c>
      <c r="F19" s="462">
        <v>2199293.4425828722</v>
      </c>
      <c r="G19" s="463">
        <v>3329508.4220303898</v>
      </c>
      <c r="H19" s="464">
        <f>F19+G19</f>
        <v>5528801.864613262</v>
      </c>
      <c r="I19" s="478">
        <v>7227990.0157239046</v>
      </c>
      <c r="J19" s="463">
        <v>23055541.029915825</v>
      </c>
      <c r="K19" s="464">
        <f>I19+J19</f>
        <v>30283531.045639731</v>
      </c>
    </row>
    <row r="20" spans="1:11">
      <c r="A20" s="276">
        <v>11</v>
      </c>
      <c r="B20" s="277" t="s">
        <v>394</v>
      </c>
      <c r="C20" s="469">
        <v>1632003.9364640885</v>
      </c>
      <c r="D20" s="470">
        <v>3262916.5248204409</v>
      </c>
      <c r="E20" s="464">
        <f>C20+D20</f>
        <v>4894920.4612845294</v>
      </c>
      <c r="F20" s="469">
        <v>77929.040055248624</v>
      </c>
      <c r="G20" s="470">
        <v>46748.203370165742</v>
      </c>
      <c r="H20" s="464">
        <f>F20+G20</f>
        <v>124677.24342541437</v>
      </c>
      <c r="I20" s="481">
        <v>80520.412457912462</v>
      </c>
      <c r="J20" s="470">
        <v>41192.193400673408</v>
      </c>
      <c r="K20" s="464">
        <f>I20+J20</f>
        <v>121712.60585858587</v>
      </c>
    </row>
    <row r="21" spans="1:11" ht="13.5" thickBot="1">
      <c r="A21" s="279">
        <v>12</v>
      </c>
      <c r="B21" s="476" t="s">
        <v>393</v>
      </c>
      <c r="C21" s="471">
        <f>SUM(C18:C20)</f>
        <v>45644903.174226478</v>
      </c>
      <c r="D21" s="472">
        <f>SUM(D18:D20)</f>
        <v>137923458.04175416</v>
      </c>
      <c r="E21" s="473">
        <f>C21+D21</f>
        <v>183568361.21598065</v>
      </c>
      <c r="F21" s="471">
        <f>SUM(F18:F20)</f>
        <v>2277222.4826381207</v>
      </c>
      <c r="G21" s="472">
        <f>SUM(G18:G20)</f>
        <v>3376256.6254005553</v>
      </c>
      <c r="H21" s="473">
        <f>F21+G21</f>
        <v>5653479.108038676</v>
      </c>
      <c r="I21" s="482">
        <f>SUM(I18:I20)</f>
        <v>7308510.4281818168</v>
      </c>
      <c r="J21" s="472">
        <f>SUM(J18:J20)</f>
        <v>23096733.223316498</v>
      </c>
      <c r="K21" s="473">
        <f>I21+J21</f>
        <v>30405243.651498314</v>
      </c>
    </row>
    <row r="22" spans="1:11" ht="38.25" customHeight="1" thickBot="1">
      <c r="A22" s="280"/>
      <c r="B22" s="281"/>
      <c r="C22" s="281"/>
      <c r="D22" s="281"/>
      <c r="E22" s="281"/>
      <c r="F22" s="588" t="s">
        <v>438</v>
      </c>
      <c r="G22" s="589"/>
      <c r="H22" s="589"/>
      <c r="I22" s="588" t="s">
        <v>400</v>
      </c>
      <c r="J22" s="589"/>
      <c r="K22" s="590"/>
    </row>
    <row r="23" spans="1:11">
      <c r="A23" s="282">
        <v>13</v>
      </c>
      <c r="B23" s="283" t="s">
        <v>385</v>
      </c>
      <c r="C23" s="284"/>
      <c r="D23" s="284"/>
      <c r="E23" s="284"/>
      <c r="F23" s="453">
        <f>F8</f>
        <v>19687478.68592741</v>
      </c>
      <c r="G23" s="454">
        <f>G8</f>
        <v>34112055.013561621</v>
      </c>
      <c r="H23" s="455">
        <f>F23+G23</f>
        <v>53799533.699489027</v>
      </c>
      <c r="I23" s="453">
        <f>I8</f>
        <v>15424404.440423565</v>
      </c>
      <c r="J23" s="454">
        <f>J8</f>
        <v>25939763.831353523</v>
      </c>
      <c r="K23" s="455">
        <f t="shared" ref="K23" si="0">I23+J23</f>
        <v>41364168.271777086</v>
      </c>
    </row>
    <row r="24" spans="1:11" ht="13.5" thickBot="1">
      <c r="A24" s="285">
        <v>14</v>
      </c>
      <c r="B24" s="286" t="s">
        <v>397</v>
      </c>
      <c r="C24" s="287"/>
      <c r="D24" s="288"/>
      <c r="E24" s="289"/>
      <c r="F24" s="456">
        <f>F16-F21</f>
        <v>2905612.9196172645</v>
      </c>
      <c r="G24" s="457">
        <f>G16-G21</f>
        <v>19825565.333338793</v>
      </c>
      <c r="H24" s="458">
        <f>F24+G24</f>
        <v>22731178.252956059</v>
      </c>
      <c r="I24" s="456">
        <f>I16-I21</f>
        <v>-3867112.1153629622</v>
      </c>
      <c r="J24" s="457">
        <f>J16-J21</f>
        <v>-1816782.4609356709</v>
      </c>
      <c r="K24" s="458">
        <f>I24+J24</f>
        <v>-5683894.5762986336</v>
      </c>
    </row>
    <row r="25" spans="1:11" ht="13.5" thickBot="1">
      <c r="A25" s="290">
        <v>15</v>
      </c>
      <c r="B25" s="291" t="s">
        <v>398</v>
      </c>
      <c r="C25" s="292"/>
      <c r="D25" s="292"/>
      <c r="E25" s="292"/>
      <c r="F25" s="459">
        <f>F23/F24</f>
        <v>6.775671512542937</v>
      </c>
      <c r="G25" s="460">
        <f t="shared" ref="G25:H25" si="1">G23/G24</f>
        <v>1.7206094474490763</v>
      </c>
      <c r="H25" s="461">
        <f t="shared" si="1"/>
        <v>2.3667727691367122</v>
      </c>
      <c r="I25" s="459">
        <f>I23/I24</f>
        <v>-3.9886106169890163</v>
      </c>
      <c r="J25" s="460">
        <f>J23/J24</f>
        <v>-14.277859011251213</v>
      </c>
      <c r="K25" s="461">
        <f>K23/K24</f>
        <v>-7.2774341108053306</v>
      </c>
    </row>
    <row r="27" spans="1:11" ht="25.5">
      <c r="B27" s="266" t="s">
        <v>437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29"/>
  </cols>
  <sheetData>
    <row r="1" spans="1:14">
      <c r="A1" s="337" t="s">
        <v>30</v>
      </c>
      <c r="B1" s="338" t="s">
        <v>442</v>
      </c>
    </row>
    <row r="2" spans="1:14" ht="14.25" customHeight="1">
      <c r="A2" s="337" t="s">
        <v>31</v>
      </c>
      <c r="B2" s="339">
        <f>'1. key ratios '!B2</f>
        <v>43465</v>
      </c>
    </row>
    <row r="3" spans="1:14" ht="14.25" customHeight="1"/>
    <row r="4" spans="1:14" ht="13.5" thickBot="1">
      <c r="A4" s="4" t="s">
        <v>271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5.5">
      <c r="A6" s="155"/>
      <c r="B6" s="156"/>
      <c r="C6" s="157" t="s">
        <v>270</v>
      </c>
      <c r="D6" s="158" t="s">
        <v>269</v>
      </c>
      <c r="E6" s="159" t="s">
        <v>268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283</v>
      </c>
    </row>
    <row r="7" spans="1:14" ht="15">
      <c r="A7" s="161">
        <v>1</v>
      </c>
      <c r="B7" s="162" t="s">
        <v>267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4.25">
      <c r="A8" s="161">
        <v>1.1000000000000001</v>
      </c>
      <c r="B8" s="167" t="s">
        <v>265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/>
      <c r="L8" s="165"/>
      <c r="M8" s="165"/>
      <c r="N8" s="166">
        <f>SUMPRODUCT($F$6:$M$6,F8:M8)</f>
        <v>0</v>
      </c>
    </row>
    <row r="9" spans="1:14" ht="14.25">
      <c r="A9" s="161">
        <v>1.2</v>
      </c>
      <c r="B9" s="167" t="s">
        <v>264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4.25">
      <c r="A10" s="161">
        <v>1.3</v>
      </c>
      <c r="B10" s="167" t="s">
        <v>263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4.25">
      <c r="A11" s="161">
        <v>1.4</v>
      </c>
      <c r="B11" s="167" t="s">
        <v>262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4.25">
      <c r="A12" s="161">
        <v>1.5</v>
      </c>
      <c r="B12" s="167" t="s">
        <v>261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4.25">
      <c r="A13" s="161">
        <v>1.6</v>
      </c>
      <c r="B13" s="169" t="s">
        <v>260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5">
      <c r="A14" s="161">
        <v>2</v>
      </c>
      <c r="B14" s="171" t="s">
        <v>266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4.25">
      <c r="A15" s="161">
        <v>2.1</v>
      </c>
      <c r="B15" s="169" t="s">
        <v>265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4.25">
      <c r="A16" s="161">
        <v>2.2000000000000002</v>
      </c>
      <c r="B16" s="169" t="s">
        <v>264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4.25">
      <c r="A17" s="161">
        <v>2.2999999999999998</v>
      </c>
      <c r="B17" s="169" t="s">
        <v>263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4.25">
      <c r="A18" s="161">
        <v>2.4</v>
      </c>
      <c r="B18" s="169" t="s">
        <v>262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4.25">
      <c r="A19" s="161">
        <v>2.5</v>
      </c>
      <c r="B19" s="169" t="s">
        <v>261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4.25">
      <c r="A20" s="161">
        <v>2.6</v>
      </c>
      <c r="B20" s="169" t="s">
        <v>260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5.75" thickBot="1">
      <c r="A21" s="173"/>
      <c r="B21" s="174" t="s">
        <v>110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zoomScaleNormal="100" workbookViewId="0"/>
  </sheetViews>
  <sheetFormatPr defaultRowHeight="15"/>
  <cols>
    <col min="1" max="1" width="11.42578125" customWidth="1"/>
    <col min="2" max="2" width="76.85546875" style="530" customWidth="1"/>
    <col min="3" max="3" width="22.85546875" customWidth="1"/>
  </cols>
  <sheetData>
    <row r="1" spans="1:3">
      <c r="A1" s="337" t="s">
        <v>30</v>
      </c>
      <c r="B1" s="338" t="s">
        <v>442</v>
      </c>
    </row>
    <row r="2" spans="1:3">
      <c r="A2" s="337" t="s">
        <v>31</v>
      </c>
      <c r="B2" s="339">
        <f>'1. key ratios '!B2</f>
        <v>43465</v>
      </c>
    </row>
    <row r="3" spans="1:3">
      <c r="A3" s="4"/>
      <c r="B3"/>
    </row>
    <row r="4" spans="1:3">
      <c r="A4" s="4" t="s">
        <v>466</v>
      </c>
      <c r="B4" t="s">
        <v>467</v>
      </c>
    </row>
    <row r="5" spans="1:3">
      <c r="A5" s="499" t="s">
        <v>468</v>
      </c>
      <c r="B5" s="500"/>
      <c r="C5" s="501"/>
    </row>
    <row r="6" spans="1:3" ht="24">
      <c r="A6" s="502">
        <v>1</v>
      </c>
      <c r="B6" s="503" t="s">
        <v>469</v>
      </c>
      <c r="C6" s="504">
        <f>'7. LI1 '!C21</f>
        <v>260165183.03720617</v>
      </c>
    </row>
    <row r="7" spans="1:3">
      <c r="A7" s="502">
        <v>2</v>
      </c>
      <c r="B7" s="503" t="s">
        <v>470</v>
      </c>
      <c r="C7" s="504">
        <f>-('9.Capital'!C15)</f>
        <v>-220473.06999999995</v>
      </c>
    </row>
    <row r="8" spans="1:3" ht="24">
      <c r="A8" s="505">
        <v>3</v>
      </c>
      <c r="B8" s="506" t="s">
        <v>471</v>
      </c>
      <c r="C8" s="504">
        <f>C6+C7</f>
        <v>259944709.96720618</v>
      </c>
    </row>
    <row r="9" spans="1:3">
      <c r="A9" s="499" t="s">
        <v>472</v>
      </c>
      <c r="B9" s="500"/>
      <c r="C9" s="507"/>
    </row>
    <row r="10" spans="1:3" ht="24">
      <c r="A10" s="508">
        <v>4</v>
      </c>
      <c r="B10" s="509" t="s">
        <v>473</v>
      </c>
      <c r="C10" s="504"/>
    </row>
    <row r="11" spans="1:3">
      <c r="A11" s="508">
        <v>5</v>
      </c>
      <c r="B11" s="510" t="s">
        <v>474</v>
      </c>
      <c r="C11" s="504"/>
    </row>
    <row r="12" spans="1:3">
      <c r="A12" s="508" t="s">
        <v>475</v>
      </c>
      <c r="B12" s="510" t="s">
        <v>476</v>
      </c>
      <c r="C12" s="504"/>
    </row>
    <row r="13" spans="1:3" ht="24">
      <c r="A13" s="511">
        <v>6</v>
      </c>
      <c r="B13" s="509" t="s">
        <v>477</v>
      </c>
      <c r="C13" s="504"/>
    </row>
    <row r="14" spans="1:3">
      <c r="A14" s="511">
        <v>7</v>
      </c>
      <c r="B14" s="512" t="s">
        <v>478</v>
      </c>
      <c r="C14" s="504"/>
    </row>
    <row r="15" spans="1:3">
      <c r="A15" s="513">
        <v>8</v>
      </c>
      <c r="B15" s="514" t="s">
        <v>479</v>
      </c>
      <c r="C15" s="504"/>
    </row>
    <row r="16" spans="1:3">
      <c r="A16" s="511">
        <v>9</v>
      </c>
      <c r="B16" s="512" t="s">
        <v>480</v>
      </c>
      <c r="C16" s="504"/>
    </row>
    <row r="17" spans="1:3">
      <c r="A17" s="511">
        <v>10</v>
      </c>
      <c r="B17" s="512" t="s">
        <v>481</v>
      </c>
      <c r="C17" s="504"/>
    </row>
    <row r="18" spans="1:3">
      <c r="A18" s="515">
        <v>11</v>
      </c>
      <c r="B18" s="516" t="s">
        <v>482</v>
      </c>
      <c r="C18" s="517">
        <f>SUM(C10:C17)</f>
        <v>0</v>
      </c>
    </row>
    <row r="19" spans="1:3">
      <c r="A19" s="518" t="s">
        <v>483</v>
      </c>
      <c r="B19" s="519"/>
      <c r="C19" s="520"/>
    </row>
    <row r="20" spans="1:3" ht="24">
      <c r="A20" s="521">
        <v>12</v>
      </c>
      <c r="B20" s="509" t="s">
        <v>484</v>
      </c>
      <c r="C20" s="504"/>
    </row>
    <row r="21" spans="1:3">
      <c r="A21" s="521">
        <v>13</v>
      </c>
      <c r="B21" s="509" t="s">
        <v>485</v>
      </c>
      <c r="C21" s="504"/>
    </row>
    <row r="22" spans="1:3">
      <c r="A22" s="521">
        <v>14</v>
      </c>
      <c r="B22" s="509" t="s">
        <v>486</v>
      </c>
      <c r="C22" s="504"/>
    </row>
    <row r="23" spans="1:3" ht="24">
      <c r="A23" s="521" t="s">
        <v>487</v>
      </c>
      <c r="B23" s="509" t="s">
        <v>488</v>
      </c>
      <c r="C23" s="504"/>
    </row>
    <row r="24" spans="1:3">
      <c r="A24" s="521">
        <v>15</v>
      </c>
      <c r="B24" s="509" t="s">
        <v>489</v>
      </c>
      <c r="C24" s="504"/>
    </row>
    <row r="25" spans="1:3">
      <c r="A25" s="521" t="s">
        <v>490</v>
      </c>
      <c r="B25" s="509" t="s">
        <v>491</v>
      </c>
      <c r="C25" s="504"/>
    </row>
    <row r="26" spans="1:3">
      <c r="A26" s="522">
        <v>16</v>
      </c>
      <c r="B26" s="523" t="s">
        <v>492</v>
      </c>
      <c r="C26" s="517">
        <f>SUM(C20:C25)</f>
        <v>0</v>
      </c>
    </row>
    <row r="27" spans="1:3">
      <c r="A27" s="499" t="s">
        <v>493</v>
      </c>
      <c r="B27" s="500"/>
      <c r="C27" s="507"/>
    </row>
    <row r="28" spans="1:3">
      <c r="A28" s="524">
        <v>17</v>
      </c>
      <c r="B28" s="510" t="s">
        <v>494</v>
      </c>
      <c r="C28" s="504">
        <f>'8. LI2'!C6</f>
        <v>42820314.160000004</v>
      </c>
    </row>
    <row r="29" spans="1:3">
      <c r="A29" s="524">
        <v>18</v>
      </c>
      <c r="B29" s="510" t="s">
        <v>495</v>
      </c>
      <c r="C29" s="504">
        <f>'8. LI2'!C10</f>
        <v>-44425.440000005001</v>
      </c>
    </row>
    <row r="30" spans="1:3">
      <c r="A30" s="522">
        <v>19</v>
      </c>
      <c r="B30" s="523" t="s">
        <v>496</v>
      </c>
      <c r="C30" s="517">
        <f>C28+C29</f>
        <v>42775888.719999999</v>
      </c>
    </row>
    <row r="31" spans="1:3">
      <c r="A31" s="499" t="s">
        <v>497</v>
      </c>
      <c r="B31" s="500"/>
      <c r="C31" s="507"/>
    </row>
    <row r="32" spans="1:3" ht="24">
      <c r="A32" s="524" t="s">
        <v>498</v>
      </c>
      <c r="B32" s="509" t="s">
        <v>499</v>
      </c>
      <c r="C32" s="525"/>
    </row>
    <row r="33" spans="1:3">
      <c r="A33" s="524" t="s">
        <v>500</v>
      </c>
      <c r="B33" s="510" t="s">
        <v>501</v>
      </c>
      <c r="C33" s="525"/>
    </row>
    <row r="34" spans="1:3">
      <c r="A34" s="499" t="s">
        <v>502</v>
      </c>
      <c r="B34" s="500"/>
      <c r="C34" s="507"/>
    </row>
    <row r="35" spans="1:3">
      <c r="A35" s="526">
        <v>20</v>
      </c>
      <c r="B35" s="527" t="s">
        <v>503</v>
      </c>
      <c r="C35" s="517">
        <f>'9.Capital'!C28</f>
        <v>74490037.994947746</v>
      </c>
    </row>
    <row r="36" spans="1:3">
      <c r="A36" s="522">
        <v>21</v>
      </c>
      <c r="B36" s="523" t="s">
        <v>504</v>
      </c>
      <c r="C36" s="517">
        <f>C8+C18+C26+C30</f>
        <v>302720598.68720615</v>
      </c>
    </row>
    <row r="37" spans="1:3">
      <c r="A37" s="499" t="s">
        <v>505</v>
      </c>
      <c r="B37" s="500"/>
      <c r="C37" s="507"/>
    </row>
    <row r="38" spans="1:3">
      <c r="A38" s="522">
        <v>22</v>
      </c>
      <c r="B38" s="523" t="s">
        <v>505</v>
      </c>
      <c r="C38" s="532">
        <f t="shared" ref="C38" si="0">C35/C36</f>
        <v>0.2460686134937137</v>
      </c>
    </row>
    <row r="39" spans="1:3">
      <c r="A39" s="499" t="s">
        <v>506</v>
      </c>
      <c r="B39" s="500"/>
      <c r="C39" s="507"/>
    </row>
    <row r="40" spans="1:3">
      <c r="A40" s="528" t="s">
        <v>507</v>
      </c>
      <c r="B40" s="509" t="s">
        <v>508</v>
      </c>
      <c r="C40" s="525"/>
    </row>
    <row r="41" spans="1:3" ht="24">
      <c r="A41" s="529" t="s">
        <v>509</v>
      </c>
      <c r="B41" s="503" t="s">
        <v>510</v>
      </c>
      <c r="C41" s="5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3" bestFit="1" customWidth="1"/>
    <col min="2" max="2" width="60.7109375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v>43465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145</v>
      </c>
      <c r="B4" s="10" t="s">
        <v>144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463</v>
      </c>
      <c r="D5" s="340" t="s">
        <v>461</v>
      </c>
      <c r="E5" s="340" t="s">
        <v>458</v>
      </c>
      <c r="F5" s="340" t="s">
        <v>447</v>
      </c>
      <c r="G5" s="341" t="s">
        <v>446</v>
      </c>
    </row>
    <row r="6" spans="1:8">
      <c r="B6" s="191" t="s">
        <v>143</v>
      </c>
      <c r="C6" s="274"/>
      <c r="D6" s="274"/>
      <c r="E6" s="274"/>
      <c r="F6" s="274"/>
      <c r="G6" s="303"/>
    </row>
    <row r="7" spans="1:8">
      <c r="A7" s="13"/>
      <c r="B7" s="192" t="s">
        <v>137</v>
      </c>
      <c r="C7" s="274"/>
      <c r="D7" s="274"/>
      <c r="E7" s="274"/>
      <c r="F7" s="274"/>
      <c r="G7" s="303"/>
    </row>
    <row r="8" spans="1:8" ht="15">
      <c r="A8" s="329">
        <v>1</v>
      </c>
      <c r="B8" s="14" t="s">
        <v>142</v>
      </c>
      <c r="C8" s="15">
        <v>74490037.994947746</v>
      </c>
      <c r="D8" s="16">
        <v>73144692.474522844</v>
      </c>
      <c r="E8" s="16">
        <v>32841671.052175738</v>
      </c>
      <c r="F8" s="16">
        <v>33805966.12862774</v>
      </c>
      <c r="G8" s="348">
        <v>33798891.000000007</v>
      </c>
    </row>
    <row r="9" spans="1:8" ht="15">
      <c r="A9" s="329">
        <v>2</v>
      </c>
      <c r="B9" s="14" t="s">
        <v>141</v>
      </c>
      <c r="C9" s="15">
        <v>74490037.994947746</v>
      </c>
      <c r="D9" s="16">
        <v>73144692.474522844</v>
      </c>
      <c r="E9" s="16">
        <v>32841671.052175738</v>
      </c>
      <c r="F9" s="16">
        <v>33805966.12862774</v>
      </c>
      <c r="G9" s="348">
        <v>33798891.000000007</v>
      </c>
    </row>
    <row r="10" spans="1:8" ht="15">
      <c r="A10" s="329">
        <v>3</v>
      </c>
      <c r="B10" s="14" t="s">
        <v>140</v>
      </c>
      <c r="C10" s="15">
        <v>77883631.853618637</v>
      </c>
      <c r="D10" s="16">
        <v>76232926.77252017</v>
      </c>
      <c r="E10" s="16">
        <v>74233973.829863176</v>
      </c>
      <c r="F10" s="16">
        <v>74601271.754399866</v>
      </c>
      <c r="G10" s="348">
        <v>77346317.921800017</v>
      </c>
    </row>
    <row r="11" spans="1:8" ht="15">
      <c r="A11" s="330"/>
      <c r="B11" s="191" t="s">
        <v>139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272</v>
      </c>
      <c r="C12" s="263">
        <v>290138010.41299868</v>
      </c>
      <c r="D12" s="16">
        <v>275658386.98848504</v>
      </c>
      <c r="E12" s="16">
        <v>191343902.44679195</v>
      </c>
      <c r="F12" s="16">
        <v>188270221.59022591</v>
      </c>
      <c r="G12" s="348">
        <v>176975779.50913534</v>
      </c>
    </row>
    <row r="13" spans="1:8" ht="15">
      <c r="A13" s="330"/>
      <c r="B13" s="191" t="s">
        <v>138</v>
      </c>
      <c r="C13" s="274"/>
      <c r="D13" s="274"/>
      <c r="E13" s="274"/>
      <c r="F13" s="274"/>
      <c r="G13" s="303"/>
    </row>
    <row r="14" spans="1:8" s="17" customFormat="1" ht="15">
      <c r="A14" s="329"/>
      <c r="B14" s="192" t="s">
        <v>137</v>
      </c>
      <c r="C14" s="264"/>
      <c r="D14" s="16"/>
      <c r="E14" s="16"/>
      <c r="F14" s="16"/>
      <c r="G14" s="348"/>
    </row>
    <row r="15" spans="1:8" ht="15">
      <c r="A15" s="331">
        <v>5</v>
      </c>
      <c r="B15" s="14" t="str">
        <f>"Common equity Tier 1 ratio &gt;="&amp;'9.1. Capital Requirements'!C19*100&amp;"%"</f>
        <v>Common equity Tier 1 ratio &gt;=9.31160287227386%</v>
      </c>
      <c r="C15" s="342">
        <v>0.25674001792772499</v>
      </c>
      <c r="D15" s="342">
        <v>0.265345427264574</v>
      </c>
      <c r="E15" s="343">
        <v>0.17163688328823648</v>
      </c>
      <c r="F15" s="343">
        <v>0.17956087714289271</v>
      </c>
      <c r="G15" s="349">
        <v>0.19098031998359041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&gt;=11.5888783416964%</v>
      </c>
      <c r="C16" s="342">
        <v>0.25674001792772499</v>
      </c>
      <c r="D16" s="342">
        <v>0.265345427264574</v>
      </c>
      <c r="E16" s="343">
        <v>0.17163688328823648</v>
      </c>
      <c r="F16" s="343">
        <v>0.17956087714289271</v>
      </c>
      <c r="G16" s="349">
        <v>0.19098031998359041</v>
      </c>
    </row>
    <row r="17" spans="1:7" ht="15">
      <c r="A17" s="331">
        <v>7</v>
      </c>
      <c r="B17" s="14" t="str">
        <f>"Total Regulatory Capital ratio &gt;="&amp;'9.1. Capital Requirements'!C21*100&amp;"%"</f>
        <v>Total Regulatory Capital ratio &gt;=20.3829193101847%</v>
      </c>
      <c r="C17" s="342">
        <v>0.26843649938439545</v>
      </c>
      <c r="D17" s="342">
        <v>0.27654854838755411</v>
      </c>
      <c r="E17" s="343">
        <v>0.38796101093686969</v>
      </c>
      <c r="F17" s="343">
        <v>0.39624573192871204</v>
      </c>
      <c r="G17" s="349">
        <v>0.43704465173895429</v>
      </c>
    </row>
    <row r="18" spans="1:7" ht="15">
      <c r="A18" s="330"/>
      <c r="B18" s="193" t="s">
        <v>136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135</v>
      </c>
      <c r="C19" s="344">
        <v>6.3702280577331502E-2</v>
      </c>
      <c r="D19" s="344">
        <v>6.4218868891093739E-2</v>
      </c>
      <c r="E19" s="345">
        <v>6.3635653153545732E-2</v>
      </c>
      <c r="F19" s="345">
        <v>6.0972556944248316E-2</v>
      </c>
      <c r="G19" s="350">
        <v>6.8086078929586694E-2</v>
      </c>
    </row>
    <row r="20" spans="1:7" ht="15">
      <c r="A20" s="332">
        <v>9</v>
      </c>
      <c r="B20" s="14" t="s">
        <v>134</v>
      </c>
      <c r="C20" s="344">
        <v>2.7164423559937107E-2</v>
      </c>
      <c r="D20" s="344">
        <v>2.991690987250567E-2</v>
      </c>
      <c r="E20" s="345">
        <v>3.2914691611362436E-2</v>
      </c>
      <c r="F20" s="345">
        <v>3.2811927275777607E-2</v>
      </c>
      <c r="G20" s="350">
        <v>3.7985605874120046E-2</v>
      </c>
    </row>
    <row r="21" spans="1:7" ht="15">
      <c r="A21" s="332">
        <v>10</v>
      </c>
      <c r="B21" s="14" t="s">
        <v>133</v>
      </c>
      <c r="C21" s="344">
        <v>8.9126143021493621E-3</v>
      </c>
      <c r="D21" s="344">
        <v>4.1360402411756208E-3</v>
      </c>
      <c r="E21" s="345">
        <v>-3.5440330369827635E-3</v>
      </c>
      <c r="F21" s="345">
        <v>1.0133530434942031E-3</v>
      </c>
      <c r="G21" s="350">
        <v>8.6098154889238301E-3</v>
      </c>
    </row>
    <row r="22" spans="1:7" ht="15">
      <c r="A22" s="332">
        <v>11</v>
      </c>
      <c r="B22" s="14" t="s">
        <v>132</v>
      </c>
      <c r="C22" s="344">
        <v>3.6537857017394398E-2</v>
      </c>
      <c r="D22" s="344">
        <v>3.4301959018588075E-2</v>
      </c>
      <c r="E22" s="345">
        <v>3.0720961542183296E-2</v>
      </c>
      <c r="F22" s="345">
        <v>2.8160629668470712E-2</v>
      </c>
      <c r="G22" s="350">
        <v>3.0100473055466648E-2</v>
      </c>
    </row>
    <row r="23" spans="1:7" ht="15">
      <c r="A23" s="332">
        <v>12</v>
      </c>
      <c r="B23" s="14" t="s">
        <v>278</v>
      </c>
      <c r="C23" s="344">
        <v>6.3222077179368634E-3</v>
      </c>
      <c r="D23" s="344">
        <v>6.2526787325250404E-4</v>
      </c>
      <c r="E23" s="345">
        <v>-9.7375653955909872E-3</v>
      </c>
      <c r="F23" s="345">
        <v>-3.6322596263122571E-4</v>
      </c>
      <c r="G23" s="350">
        <v>1.1040593903696772E-2</v>
      </c>
    </row>
    <row r="24" spans="1:7" ht="15">
      <c r="A24" s="332">
        <v>13</v>
      </c>
      <c r="B24" s="14" t="s">
        <v>279</v>
      </c>
      <c r="C24" s="344">
        <v>2.7251504788507127E-2</v>
      </c>
      <c r="D24" s="344">
        <v>2.9998869875696413E-3</v>
      </c>
      <c r="E24" s="345">
        <v>-6.0041636568034885E-2</v>
      </c>
      <c r="F24" s="345">
        <v>-2.3722960595315861E-3</v>
      </c>
      <c r="G24" s="350">
        <v>9.738638876474752E-2</v>
      </c>
    </row>
    <row r="25" spans="1:7" ht="15">
      <c r="A25" s="330"/>
      <c r="B25" s="193" t="s">
        <v>358</v>
      </c>
      <c r="C25" s="274"/>
      <c r="D25" s="274"/>
      <c r="E25" s="274"/>
      <c r="F25" s="274"/>
      <c r="G25" s="303"/>
    </row>
    <row r="26" spans="1:7" ht="15">
      <c r="A26" s="332">
        <v>14</v>
      </c>
      <c r="B26" s="14" t="s">
        <v>131</v>
      </c>
      <c r="C26" s="344">
        <v>3.2605588953122579E-2</v>
      </c>
      <c r="D26" s="344">
        <v>3.5213122735325238E-2</v>
      </c>
      <c r="E26" s="345">
        <v>4.0027299029018977E-2</v>
      </c>
      <c r="F26" s="345">
        <v>3.2523287524236742E-2</v>
      </c>
      <c r="G26" s="350">
        <v>3.6879738571800359E-2</v>
      </c>
    </row>
    <row r="27" spans="1:7" ht="15" customHeight="1">
      <c r="A27" s="332">
        <v>15</v>
      </c>
      <c r="B27" s="14" t="s">
        <v>130</v>
      </c>
      <c r="C27" s="344">
        <v>3.6448761744463647E-2</v>
      </c>
      <c r="D27" s="344">
        <v>3.7948358007108822E-2</v>
      </c>
      <c r="E27" s="345">
        <v>3.9990101307030568E-2</v>
      </c>
      <c r="F27" s="345">
        <v>3.1555164562058112E-2</v>
      </c>
      <c r="G27" s="350">
        <v>3.2707862749913601E-2</v>
      </c>
    </row>
    <row r="28" spans="1:7" ht="15">
      <c r="A28" s="332">
        <v>16</v>
      </c>
      <c r="B28" s="14" t="s">
        <v>129</v>
      </c>
      <c r="C28" s="344">
        <v>0.68769813749795805</v>
      </c>
      <c r="D28" s="344">
        <v>0.63898437248043582</v>
      </c>
      <c r="E28" s="345">
        <v>0.75513625235307924</v>
      </c>
      <c r="F28" s="345">
        <v>0.85165065329947731</v>
      </c>
      <c r="G28" s="350">
        <v>0.836136904565148</v>
      </c>
    </row>
    <row r="29" spans="1:7" ht="15" customHeight="1">
      <c r="A29" s="332">
        <v>17</v>
      </c>
      <c r="B29" s="14" t="s">
        <v>128</v>
      </c>
      <c r="C29" s="344">
        <v>0.64905716422515536</v>
      </c>
      <c r="D29" s="344">
        <v>0.66194389285625943</v>
      </c>
      <c r="E29" s="345">
        <v>0.6937326685867109</v>
      </c>
      <c r="F29" s="345">
        <v>0.78593019535798925</v>
      </c>
      <c r="G29" s="350">
        <v>0.80227480704940901</v>
      </c>
    </row>
    <row r="30" spans="1:7" ht="15">
      <c r="A30" s="332">
        <v>18</v>
      </c>
      <c r="B30" s="14" t="s">
        <v>127</v>
      </c>
      <c r="C30" s="344">
        <v>4.7751710664057931E-3</v>
      </c>
      <c r="D30" s="344">
        <v>-6.7956986940251679E-2</v>
      </c>
      <c r="E30" s="345">
        <v>-0.18154964529698675</v>
      </c>
      <c r="F30" s="345">
        <v>3.5225289464820932E-2</v>
      </c>
      <c r="G30" s="350">
        <v>-0.14219729229125894</v>
      </c>
    </row>
    <row r="31" spans="1:7" ht="15" customHeight="1">
      <c r="A31" s="330"/>
      <c r="B31" s="193" t="s">
        <v>359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126</v>
      </c>
      <c r="C32" s="344">
        <v>0.22101157853059816</v>
      </c>
      <c r="D32" s="344">
        <v>0.28179937109153863</v>
      </c>
      <c r="E32" s="344">
        <v>0.15354360870545758</v>
      </c>
      <c r="F32" s="344">
        <v>0.20809607461303309</v>
      </c>
      <c r="G32" s="351">
        <v>0.23702717341608331</v>
      </c>
    </row>
    <row r="33" spans="1:7" ht="15" customHeight="1">
      <c r="A33" s="332">
        <v>20</v>
      </c>
      <c r="B33" s="14" t="s">
        <v>125</v>
      </c>
      <c r="C33" s="344">
        <v>0.92546788533805657</v>
      </c>
      <c r="D33" s="344">
        <v>0.89123039793033998</v>
      </c>
      <c r="E33" s="344">
        <v>0.87321181072404264</v>
      </c>
      <c r="F33" s="344">
        <v>0.94876758861134969</v>
      </c>
      <c r="G33" s="351">
        <v>0.94472390040748155</v>
      </c>
    </row>
    <row r="34" spans="1:7" ht="15" customHeight="1">
      <c r="A34" s="332">
        <v>21</v>
      </c>
      <c r="B34" s="14" t="s">
        <v>124</v>
      </c>
      <c r="C34" s="344">
        <v>4.602130754093918E-2</v>
      </c>
      <c r="D34" s="344">
        <v>6.1812729292215408E-2</v>
      </c>
      <c r="E34" s="344">
        <v>9.6800405159340519E-2</v>
      </c>
      <c r="F34" s="344">
        <v>8.4066099888103901E-2</v>
      </c>
      <c r="G34" s="351">
        <v>6.282863838986201E-2</v>
      </c>
    </row>
    <row r="35" spans="1:7" ht="15" customHeight="1">
      <c r="A35" s="333"/>
      <c r="B35" s="193" t="s">
        <v>402</v>
      </c>
      <c r="C35" s="274"/>
      <c r="D35" s="274"/>
      <c r="E35" s="274"/>
      <c r="F35" s="274"/>
      <c r="G35" s="303"/>
    </row>
    <row r="36" spans="1:7" ht="15">
      <c r="A36" s="332">
        <v>22</v>
      </c>
      <c r="B36" s="14" t="s">
        <v>385</v>
      </c>
      <c r="C36" s="346">
        <v>68091162.08600001</v>
      </c>
      <c r="D36" s="346">
        <v>76019141.317499995</v>
      </c>
      <c r="E36" s="346">
        <v>35068757.776500002</v>
      </c>
      <c r="F36" s="346">
        <v>25897147.377500001</v>
      </c>
      <c r="G36" s="485">
        <v>56246205.127999999</v>
      </c>
    </row>
    <row r="37" spans="1:7" ht="15" customHeight="1">
      <c r="A37" s="332">
        <v>23</v>
      </c>
      <c r="B37" s="14" t="s">
        <v>397</v>
      </c>
      <c r="C37" s="346">
        <v>46919640.222850002</v>
      </c>
      <c r="D37" s="346">
        <v>33833570.308449998</v>
      </c>
      <c r="E37" s="346">
        <v>13822566.529200003</v>
      </c>
      <c r="F37" s="346">
        <v>21806954.133700002</v>
      </c>
      <c r="G37" s="485">
        <v>22317977.258450001</v>
      </c>
    </row>
    <row r="38" spans="1:7" ht="15.75" thickBot="1">
      <c r="A38" s="334">
        <v>24</v>
      </c>
      <c r="B38" s="194" t="s">
        <v>386</v>
      </c>
      <c r="C38" s="347">
        <f>C36/C37</f>
        <v>1.4512294161377524</v>
      </c>
      <c r="D38" s="347">
        <v>2.2468554345420078</v>
      </c>
      <c r="E38" s="347">
        <v>2.5370655805792421</v>
      </c>
      <c r="F38" s="347">
        <v>1.1875637110401907</v>
      </c>
      <c r="G38" s="486">
        <v>2.5202196631284828</v>
      </c>
    </row>
    <row r="39" spans="1:7">
      <c r="A39" s="18"/>
    </row>
    <row r="40" spans="1:7" ht="63.75">
      <c r="B40" s="266" t="s">
        <v>401</v>
      </c>
    </row>
    <row r="42" spans="1:7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43465</v>
      </c>
    </row>
    <row r="3" spans="1:8">
      <c r="A3" s="2"/>
    </row>
    <row r="4" spans="1:8" ht="15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>
      <c r="A7" s="25">
        <v>1</v>
      </c>
      <c r="B7" s="356" t="s">
        <v>35</v>
      </c>
      <c r="C7" s="357">
        <v>1788348.8</v>
      </c>
      <c r="D7" s="357">
        <v>3321112.6900000004</v>
      </c>
      <c r="E7" s="358">
        <f>C7+D7</f>
        <v>5109461.49</v>
      </c>
      <c r="F7" s="359">
        <v>1513832.25</v>
      </c>
      <c r="G7" s="357">
        <v>2735638.8400000003</v>
      </c>
      <c r="H7" s="360">
        <f>F7+G7</f>
        <v>4249471.09</v>
      </c>
    </row>
    <row r="8" spans="1:8">
      <c r="A8" s="25">
        <v>2</v>
      </c>
      <c r="B8" s="356" t="s">
        <v>36</v>
      </c>
      <c r="C8" s="357">
        <v>10867873.57</v>
      </c>
      <c r="D8" s="357">
        <v>26569607.920000002</v>
      </c>
      <c r="E8" s="358">
        <f t="shared" ref="E8:E19" si="0">C8+D8</f>
        <v>37437481.490000002</v>
      </c>
      <c r="F8" s="359">
        <v>519746.16000000015</v>
      </c>
      <c r="G8" s="357">
        <v>28906437.079999998</v>
      </c>
      <c r="H8" s="360">
        <f t="shared" ref="H8:H40" si="1">F8+G8</f>
        <v>29426183.239999998</v>
      </c>
    </row>
    <row r="9" spans="1:8">
      <c r="A9" s="25">
        <v>3</v>
      </c>
      <c r="B9" s="356" t="s">
        <v>37</v>
      </c>
      <c r="C9" s="357">
        <v>115772.54000000001</v>
      </c>
      <c r="D9" s="357">
        <v>19257542.928149</v>
      </c>
      <c r="E9" s="358">
        <f t="shared" si="0"/>
        <v>19373315.468148999</v>
      </c>
      <c r="F9" s="359">
        <v>1501391.1</v>
      </c>
      <c r="G9" s="357">
        <v>15297583.443150001</v>
      </c>
      <c r="H9" s="360">
        <f t="shared" si="1"/>
        <v>16798974.54315</v>
      </c>
    </row>
    <row r="10" spans="1:8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>
      <c r="A11" s="25">
        <v>5</v>
      </c>
      <c r="B11" s="356" t="s">
        <v>39</v>
      </c>
      <c r="C11" s="357">
        <v>22085385.871614486</v>
      </c>
      <c r="D11" s="357">
        <v>11143670.65293457</v>
      </c>
      <c r="E11" s="358">
        <f t="shared" si="0"/>
        <v>33229056.524549056</v>
      </c>
      <c r="F11" s="359">
        <v>14140876.657836581</v>
      </c>
      <c r="G11" s="357">
        <v>10750392.111004001</v>
      </c>
      <c r="H11" s="360">
        <f t="shared" si="1"/>
        <v>24891268.768840581</v>
      </c>
    </row>
    <row r="12" spans="1:8">
      <c r="A12" s="25">
        <v>6.1</v>
      </c>
      <c r="B12" s="361" t="s">
        <v>40</v>
      </c>
      <c r="C12" s="357">
        <v>47872935.439999998</v>
      </c>
      <c r="D12" s="357">
        <v>105417650.32999998</v>
      </c>
      <c r="E12" s="358">
        <f t="shared" si="0"/>
        <v>153290585.76999998</v>
      </c>
      <c r="F12" s="359">
        <v>24999293.979999997</v>
      </c>
      <c r="G12" s="357">
        <v>127562781.78000002</v>
      </c>
      <c r="H12" s="360">
        <f t="shared" si="1"/>
        <v>152562075.76000002</v>
      </c>
    </row>
    <row r="13" spans="1:8">
      <c r="A13" s="25">
        <v>6.2</v>
      </c>
      <c r="B13" s="361" t="s">
        <v>41</v>
      </c>
      <c r="C13" s="362">
        <v>-2506951.4395999992</v>
      </c>
      <c r="D13" s="362">
        <v>-3080300.5987999998</v>
      </c>
      <c r="E13" s="363">
        <f t="shared" si="0"/>
        <v>-5587252.038399999</v>
      </c>
      <c r="F13" s="364">
        <v>-1993674.3524000009</v>
      </c>
      <c r="G13" s="362">
        <v>-2996305.0823999997</v>
      </c>
      <c r="H13" s="365">
        <f t="shared" si="1"/>
        <v>-4989979.4348000009</v>
      </c>
    </row>
    <row r="14" spans="1:8">
      <c r="A14" s="25">
        <v>6</v>
      </c>
      <c r="B14" s="356" t="s">
        <v>42</v>
      </c>
      <c r="C14" s="358">
        <f>C12+C13</f>
        <v>45365984.000399999</v>
      </c>
      <c r="D14" s="358">
        <f>D12+D13</f>
        <v>102337349.73119998</v>
      </c>
      <c r="E14" s="358">
        <f t="shared" si="0"/>
        <v>147703333.73159999</v>
      </c>
      <c r="F14" s="358">
        <f>F12+F13</f>
        <v>23005619.627599996</v>
      </c>
      <c r="G14" s="358">
        <f>G12+G13</f>
        <v>124566476.69760002</v>
      </c>
      <c r="H14" s="360">
        <f t="shared" si="1"/>
        <v>147572096.32520002</v>
      </c>
    </row>
    <row r="15" spans="1:8">
      <c r="A15" s="25">
        <v>7</v>
      </c>
      <c r="B15" s="356" t="s">
        <v>43</v>
      </c>
      <c r="C15" s="357">
        <v>777378.07000000076</v>
      </c>
      <c r="D15" s="357">
        <v>663922.09996400017</v>
      </c>
      <c r="E15" s="358">
        <f t="shared" si="0"/>
        <v>1441300.169964001</v>
      </c>
      <c r="F15" s="359">
        <v>611772.42999999982</v>
      </c>
      <c r="G15" s="357">
        <v>5145439.2917899992</v>
      </c>
      <c r="H15" s="360">
        <f t="shared" si="1"/>
        <v>5757211.7217899989</v>
      </c>
    </row>
    <row r="16" spans="1:8">
      <c r="A16" s="25">
        <v>8</v>
      </c>
      <c r="B16" s="356" t="s">
        <v>205</v>
      </c>
      <c r="C16" s="357">
        <v>0</v>
      </c>
      <c r="D16" s="357">
        <v>0</v>
      </c>
      <c r="E16" s="358">
        <f t="shared" si="0"/>
        <v>0</v>
      </c>
      <c r="F16" s="359">
        <v>0</v>
      </c>
      <c r="G16" s="357">
        <v>0</v>
      </c>
      <c r="H16" s="360">
        <f t="shared" si="1"/>
        <v>0</v>
      </c>
    </row>
    <row r="17" spans="1:8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>
      <c r="A18" s="25">
        <v>10</v>
      </c>
      <c r="B18" s="356" t="s">
        <v>45</v>
      </c>
      <c r="C18" s="357">
        <v>1419828.9299999997</v>
      </c>
      <c r="D18" s="357">
        <v>0</v>
      </c>
      <c r="E18" s="358">
        <f t="shared" si="0"/>
        <v>1419828.9299999997</v>
      </c>
      <c r="F18" s="359">
        <v>1871941.6</v>
      </c>
      <c r="G18" s="357">
        <v>0</v>
      </c>
      <c r="H18" s="360">
        <f t="shared" si="1"/>
        <v>1871941.6</v>
      </c>
    </row>
    <row r="19" spans="1:8">
      <c r="A19" s="25">
        <v>11</v>
      </c>
      <c r="B19" s="356" t="s">
        <v>46</v>
      </c>
      <c r="C19" s="357">
        <v>8882535.3229441047</v>
      </c>
      <c r="D19" s="357">
        <v>5568869.9100000011</v>
      </c>
      <c r="E19" s="358">
        <f t="shared" si="0"/>
        <v>14451405.232944105</v>
      </c>
      <c r="F19" s="359">
        <v>3118184.4711980578</v>
      </c>
      <c r="G19" s="357">
        <v>393915.33</v>
      </c>
      <c r="H19" s="360">
        <f t="shared" si="1"/>
        <v>3512099.8011980578</v>
      </c>
    </row>
    <row r="20" spans="1:8">
      <c r="A20" s="25">
        <v>12</v>
      </c>
      <c r="B20" s="366" t="s">
        <v>47</v>
      </c>
      <c r="C20" s="358">
        <f>SUM(C7:C11)+SUM(C14:C19)</f>
        <v>91303107.104958594</v>
      </c>
      <c r="D20" s="358">
        <f>SUM(D7:D11)+SUM(D14:D19)</f>
        <v>168862075.93224752</v>
      </c>
      <c r="E20" s="358">
        <f>C20+D20</f>
        <v>260165183.03720611</v>
      </c>
      <c r="F20" s="358">
        <f>SUM(F7:F11)+SUM(F14:F19)</f>
        <v>46283364.296634629</v>
      </c>
      <c r="G20" s="358">
        <f>SUM(G7:G11)+SUM(G14:G19)</f>
        <v>187795882.79354402</v>
      </c>
      <c r="H20" s="360">
        <f t="shared" si="1"/>
        <v>234079247.09017867</v>
      </c>
    </row>
    <row r="21" spans="1:8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>
      <c r="A22" s="25">
        <v>13</v>
      </c>
      <c r="B22" s="356" t="s">
        <v>49</v>
      </c>
      <c r="C22" s="357">
        <v>0</v>
      </c>
      <c r="D22" s="357">
        <v>105883981.34999999</v>
      </c>
      <c r="E22" s="358">
        <f>C22+D22</f>
        <v>105883981.34999999</v>
      </c>
      <c r="F22" s="359">
        <v>0</v>
      </c>
      <c r="G22" s="357">
        <v>51351415.719999999</v>
      </c>
      <c r="H22" s="360">
        <f t="shared" si="1"/>
        <v>51351415.719999999</v>
      </c>
    </row>
    <row r="23" spans="1:8">
      <c r="A23" s="25">
        <v>14</v>
      </c>
      <c r="B23" s="356" t="s">
        <v>50</v>
      </c>
      <c r="C23" s="357">
        <v>4893719.379999998</v>
      </c>
      <c r="D23" s="357">
        <v>7079422.5200000014</v>
      </c>
      <c r="E23" s="358">
        <f t="shared" ref="E23:E40" si="2">C23+D23</f>
        <v>11973141.899999999</v>
      </c>
      <c r="F23" s="359">
        <v>5229401.0099999988</v>
      </c>
      <c r="G23" s="357">
        <v>9477479.3599999994</v>
      </c>
      <c r="H23" s="360">
        <f t="shared" si="1"/>
        <v>14706880.369999997</v>
      </c>
    </row>
    <row r="24" spans="1:8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>
      <c r="A25" s="25">
        <v>16</v>
      </c>
      <c r="B25" s="356" t="s">
        <v>52</v>
      </c>
      <c r="C25" s="357">
        <v>612769.38</v>
      </c>
      <c r="D25" s="357">
        <v>25510439.519999996</v>
      </c>
      <c r="E25" s="358">
        <f t="shared" si="2"/>
        <v>26123208.899999995</v>
      </c>
      <c r="F25" s="359">
        <v>244080</v>
      </c>
      <c r="G25" s="357">
        <v>55751453.549999997</v>
      </c>
      <c r="H25" s="360">
        <f t="shared" si="1"/>
        <v>55995533.549999997</v>
      </c>
    </row>
    <row r="26" spans="1:8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>
      <c r="A27" s="25">
        <v>18</v>
      </c>
      <c r="B27" s="356" t="s">
        <v>54</v>
      </c>
      <c r="C27" s="357">
        <v>0</v>
      </c>
      <c r="D27" s="357">
        <v>31772014.809931003</v>
      </c>
      <c r="E27" s="358">
        <f t="shared" si="2"/>
        <v>31772014.809931003</v>
      </c>
      <c r="F27" s="359">
        <v>3000000</v>
      </c>
      <c r="G27" s="357">
        <v>25310512.169436</v>
      </c>
      <c r="H27" s="360">
        <f t="shared" si="1"/>
        <v>28310512.169436</v>
      </c>
    </row>
    <row r="28" spans="1:8">
      <c r="A28" s="25">
        <v>19</v>
      </c>
      <c r="B28" s="356" t="s">
        <v>55</v>
      </c>
      <c r="C28" s="357">
        <v>45059.579999999994</v>
      </c>
      <c r="D28" s="357">
        <v>979192.02000000014</v>
      </c>
      <c r="E28" s="358">
        <f t="shared" si="2"/>
        <v>1024251.6000000001</v>
      </c>
      <c r="F28" s="359">
        <v>12610.570000000003</v>
      </c>
      <c r="G28" s="357">
        <v>5265429.5600000005</v>
      </c>
      <c r="H28" s="360">
        <f t="shared" si="1"/>
        <v>5278040.1300000008</v>
      </c>
    </row>
    <row r="29" spans="1:8">
      <c r="A29" s="25">
        <v>20</v>
      </c>
      <c r="B29" s="356" t="s">
        <v>56</v>
      </c>
      <c r="C29" s="357">
        <v>8270780.540000001</v>
      </c>
      <c r="D29" s="357">
        <v>407292.92559999996</v>
      </c>
      <c r="E29" s="358">
        <f t="shared" si="2"/>
        <v>8678073.4656000007</v>
      </c>
      <c r="F29" s="359">
        <v>2566393.850000001</v>
      </c>
      <c r="G29" s="357">
        <v>266554.57497399999</v>
      </c>
      <c r="H29" s="360">
        <f t="shared" si="1"/>
        <v>2832948.424974001</v>
      </c>
    </row>
    <row r="30" spans="1:8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41475200</v>
      </c>
      <c r="H30" s="360">
        <f t="shared" si="1"/>
        <v>41475200</v>
      </c>
    </row>
    <row r="31" spans="1:8">
      <c r="A31" s="25">
        <v>22</v>
      </c>
      <c r="B31" s="366" t="s">
        <v>58</v>
      </c>
      <c r="C31" s="358">
        <f>SUM(C22:C30)</f>
        <v>13822328.879999999</v>
      </c>
      <c r="D31" s="358">
        <f>SUM(D22:D30)</f>
        <v>171632343.145531</v>
      </c>
      <c r="E31" s="358">
        <f>C31+D31</f>
        <v>185454672.02553099</v>
      </c>
      <c r="F31" s="358">
        <f>SUM(F22:F30)</f>
        <v>11052485.43</v>
      </c>
      <c r="G31" s="358">
        <f>SUM(G22:G30)</f>
        <v>188898044.93441001</v>
      </c>
      <c r="H31" s="360">
        <f t="shared" si="1"/>
        <v>199950530.36441001</v>
      </c>
    </row>
    <row r="32" spans="1:8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30000000</v>
      </c>
      <c r="G33" s="367"/>
      <c r="H33" s="360">
        <f t="shared" si="1"/>
        <v>30000000</v>
      </c>
    </row>
    <row r="34" spans="1:8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>
      <c r="A38" s="25">
        <v>28</v>
      </c>
      <c r="B38" s="356" t="s">
        <v>65</v>
      </c>
      <c r="C38" s="357">
        <v>5548911.0649477383</v>
      </c>
      <c r="D38" s="367"/>
      <c r="E38" s="358">
        <f t="shared" si="2"/>
        <v>5548911.0649477383</v>
      </c>
      <c r="F38" s="359">
        <v>4128716.5966937356</v>
      </c>
      <c r="G38" s="367"/>
      <c r="H38" s="360">
        <f t="shared" si="1"/>
        <v>4128716.5966937356</v>
      </c>
    </row>
    <row r="39" spans="1:8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>
      <c r="A40" s="25">
        <v>30</v>
      </c>
      <c r="B40" s="371" t="s">
        <v>273</v>
      </c>
      <c r="C40" s="372">
        <f>SUM(C33:C39)</f>
        <v>74710511.064947739</v>
      </c>
      <c r="D40" s="367"/>
      <c r="E40" s="358">
        <f t="shared" si="2"/>
        <v>74710511.064947739</v>
      </c>
      <c r="F40" s="372">
        <f>SUM(F33:F39)</f>
        <v>34128716.596693739</v>
      </c>
      <c r="G40" s="367"/>
      <c r="H40" s="360">
        <f t="shared" si="1"/>
        <v>34128716.596693739</v>
      </c>
    </row>
    <row r="41" spans="1:8" ht="15" thickBot="1">
      <c r="A41" s="26">
        <v>31</v>
      </c>
      <c r="B41" s="27" t="s">
        <v>67</v>
      </c>
      <c r="C41" s="373">
        <f>C31+C40</f>
        <v>88532839.944947734</v>
      </c>
      <c r="D41" s="373">
        <f>D31+D40</f>
        <v>171632343.145531</v>
      </c>
      <c r="E41" s="373">
        <f>C41+D41</f>
        <v>260165183.09047872</v>
      </c>
      <c r="F41" s="373">
        <f>F31+F40</f>
        <v>45181202.026693739</v>
      </c>
      <c r="G41" s="373">
        <f>G31+G40</f>
        <v>188898044.93441001</v>
      </c>
      <c r="H41" s="374">
        <f>F41+G41</f>
        <v>234079246.96110374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43465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0" t="s">
        <v>200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199</v>
      </c>
      <c r="C7" s="385"/>
      <c r="D7" s="385"/>
      <c r="E7" s="385"/>
      <c r="F7" s="385"/>
      <c r="G7" s="385"/>
      <c r="H7" s="398"/>
    </row>
    <row r="8" spans="1:8">
      <c r="A8" s="35">
        <v>1</v>
      </c>
      <c r="B8" s="376" t="s">
        <v>198</v>
      </c>
      <c r="C8" s="386">
        <v>624715.96</v>
      </c>
      <c r="D8" s="386">
        <v>11252.340000000002</v>
      </c>
      <c r="E8" s="363">
        <f t="shared" ref="E8:E22" si="0">C8+D8</f>
        <v>635968.29999999993</v>
      </c>
      <c r="F8" s="388">
        <v>620668.02</v>
      </c>
      <c r="G8" s="388">
        <v>407098.22999999992</v>
      </c>
      <c r="H8" s="365">
        <f t="shared" ref="H8:H22" si="1">F8+G8</f>
        <v>1027766.25</v>
      </c>
    </row>
    <row r="9" spans="1:8">
      <c r="A9" s="35">
        <v>2</v>
      </c>
      <c r="B9" s="376" t="s">
        <v>197</v>
      </c>
      <c r="C9" s="387">
        <f>C10+C11+C12+C13+C14+C15+C16+C17+C18</f>
        <v>10387425.680000002</v>
      </c>
      <c r="D9" s="387">
        <f>D10+D11+D12+D13+D14+D15+D16+D17+D18</f>
        <v>1413094.62</v>
      </c>
      <c r="E9" s="363">
        <f t="shared" si="0"/>
        <v>11800520.300000001</v>
      </c>
      <c r="F9" s="387">
        <f>F10+F11+F12+F13+F14+F15+F16+F17+F18</f>
        <v>4036088.83</v>
      </c>
      <c r="G9" s="387">
        <f>G10+G11+G12+G13+G14+G15+G16+G17+G18</f>
        <v>13264473.35</v>
      </c>
      <c r="H9" s="365">
        <f t="shared" si="1"/>
        <v>17300562.18</v>
      </c>
    </row>
    <row r="10" spans="1:8">
      <c r="A10" s="35">
        <v>2.1</v>
      </c>
      <c r="B10" s="377" t="s">
        <v>196</v>
      </c>
      <c r="C10" s="388">
        <v>0</v>
      </c>
      <c r="D10" s="388">
        <v>174563.81</v>
      </c>
      <c r="E10" s="363">
        <f t="shared" si="0"/>
        <v>174563.81</v>
      </c>
      <c r="F10" s="388">
        <v>0</v>
      </c>
      <c r="G10" s="388">
        <v>0</v>
      </c>
      <c r="H10" s="365">
        <f t="shared" si="1"/>
        <v>0</v>
      </c>
    </row>
    <row r="11" spans="1:8">
      <c r="A11" s="35">
        <v>2.2000000000000002</v>
      </c>
      <c r="B11" s="377" t="s">
        <v>195</v>
      </c>
      <c r="C11" s="388">
        <v>9190729.790000001</v>
      </c>
      <c r="D11" s="388">
        <v>486782.06</v>
      </c>
      <c r="E11" s="363">
        <f t="shared" si="0"/>
        <v>9677511.8500000015</v>
      </c>
      <c r="F11" s="388">
        <v>3363154.33</v>
      </c>
      <c r="G11" s="388">
        <v>11101802</v>
      </c>
      <c r="H11" s="365">
        <f t="shared" si="1"/>
        <v>14464956.33</v>
      </c>
    </row>
    <row r="12" spans="1:8">
      <c r="A12" s="35">
        <v>2.2999999999999998</v>
      </c>
      <c r="B12" s="377" t="s">
        <v>194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>
      <c r="A13" s="35">
        <v>2.4</v>
      </c>
      <c r="B13" s="377" t="s">
        <v>193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>
      <c r="A14" s="35">
        <v>2.5</v>
      </c>
      <c r="B14" s="377" t="s">
        <v>192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>
      <c r="A15" s="35">
        <v>2.6</v>
      </c>
      <c r="B15" s="377" t="s">
        <v>191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>
      <c r="A16" s="35">
        <v>2.7</v>
      </c>
      <c r="B16" s="377" t="s">
        <v>190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>
      <c r="A17" s="35">
        <v>2.8</v>
      </c>
      <c r="B17" s="377" t="s">
        <v>189</v>
      </c>
      <c r="C17" s="388">
        <v>1196695.8900000001</v>
      </c>
      <c r="D17" s="388">
        <v>751748.75</v>
      </c>
      <c r="E17" s="363">
        <f t="shared" si="0"/>
        <v>1948444.6400000001</v>
      </c>
      <c r="F17" s="388">
        <v>672934.49999999988</v>
      </c>
      <c r="G17" s="388">
        <v>2162671.35</v>
      </c>
      <c r="H17" s="365">
        <f t="shared" si="1"/>
        <v>2835605.85</v>
      </c>
    </row>
    <row r="18" spans="1:8">
      <c r="A18" s="35">
        <v>2.9</v>
      </c>
      <c r="B18" s="377" t="s">
        <v>188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>
      <c r="A19" s="35">
        <v>3</v>
      </c>
      <c r="B19" s="376" t="s">
        <v>187</v>
      </c>
      <c r="C19" s="388">
        <v>0</v>
      </c>
      <c r="D19" s="388">
        <v>0</v>
      </c>
      <c r="E19" s="363">
        <f t="shared" si="0"/>
        <v>0</v>
      </c>
      <c r="F19" s="388">
        <v>198.09</v>
      </c>
      <c r="G19" s="388">
        <v>0</v>
      </c>
      <c r="H19" s="365">
        <f t="shared" si="1"/>
        <v>198.09</v>
      </c>
    </row>
    <row r="20" spans="1:8">
      <c r="A20" s="35">
        <v>4</v>
      </c>
      <c r="B20" s="376" t="s">
        <v>186</v>
      </c>
      <c r="C20" s="388">
        <v>1105954.7300000002</v>
      </c>
      <c r="D20" s="388">
        <v>767372.24825399998</v>
      </c>
      <c r="E20" s="363">
        <f t="shared" si="0"/>
        <v>1873326.9782540002</v>
      </c>
      <c r="F20" s="388">
        <v>662098.94999999995</v>
      </c>
      <c r="G20" s="388">
        <v>0</v>
      </c>
      <c r="H20" s="365">
        <f t="shared" si="1"/>
        <v>662098.94999999995</v>
      </c>
    </row>
    <row r="21" spans="1:8">
      <c r="A21" s="35">
        <v>5</v>
      </c>
      <c r="B21" s="376" t="s">
        <v>185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>
      <c r="A22" s="35">
        <v>6</v>
      </c>
      <c r="B22" s="378" t="s">
        <v>184</v>
      </c>
      <c r="C22" s="387">
        <f>C8+C9+C19+C20+C21</f>
        <v>12118096.370000001</v>
      </c>
      <c r="D22" s="387">
        <f>D8+D9+D19+D20+D21</f>
        <v>2191719.2082540002</v>
      </c>
      <c r="E22" s="363">
        <f t="shared" si="0"/>
        <v>14309815.578254001</v>
      </c>
      <c r="F22" s="387">
        <f>F8+F9+F19+F20+F21</f>
        <v>5319053.8899999997</v>
      </c>
      <c r="G22" s="387">
        <f>G8+G9+G19+G20+G21</f>
        <v>13671571.58</v>
      </c>
      <c r="H22" s="365">
        <f t="shared" si="1"/>
        <v>18990625.469999999</v>
      </c>
    </row>
    <row r="23" spans="1:8">
      <c r="A23" s="35"/>
      <c r="B23" s="195" t="s">
        <v>183</v>
      </c>
      <c r="C23" s="388"/>
      <c r="D23" s="388"/>
      <c r="E23" s="362"/>
      <c r="F23" s="388"/>
      <c r="G23" s="388"/>
      <c r="H23" s="399"/>
    </row>
    <row r="24" spans="1:8">
      <c r="A24" s="35">
        <v>7</v>
      </c>
      <c r="B24" s="376" t="s">
        <v>182</v>
      </c>
      <c r="C24" s="388">
        <v>107609.41</v>
      </c>
      <c r="D24" s="388">
        <v>0</v>
      </c>
      <c r="E24" s="363">
        <f t="shared" ref="E24:E31" si="2">C24+D24</f>
        <v>107609.41</v>
      </c>
      <c r="F24" s="388">
        <v>42524.700000000004</v>
      </c>
      <c r="G24" s="388">
        <v>0</v>
      </c>
      <c r="H24" s="365">
        <f t="shared" ref="H24:H31" si="3">F24+G24</f>
        <v>42524.700000000004</v>
      </c>
    </row>
    <row r="25" spans="1:8">
      <c r="A25" s="35">
        <v>8</v>
      </c>
      <c r="B25" s="376" t="s">
        <v>181</v>
      </c>
      <c r="C25" s="388">
        <v>982468.33000000007</v>
      </c>
      <c r="D25" s="388">
        <v>0</v>
      </c>
      <c r="E25" s="363">
        <f t="shared" si="2"/>
        <v>982468.33000000007</v>
      </c>
      <c r="F25" s="388">
        <v>1643876.98</v>
      </c>
      <c r="G25" s="388">
        <v>918180</v>
      </c>
      <c r="H25" s="365">
        <f t="shared" si="3"/>
        <v>2562056.98</v>
      </c>
    </row>
    <row r="26" spans="1:8">
      <c r="A26" s="35">
        <v>9</v>
      </c>
      <c r="B26" s="376" t="s">
        <v>180</v>
      </c>
      <c r="C26" s="388">
        <v>265481.52999999997</v>
      </c>
      <c r="D26" s="388">
        <v>1572188.7499999998</v>
      </c>
      <c r="E26" s="363">
        <f t="shared" si="2"/>
        <v>1837670.2799999998</v>
      </c>
      <c r="F26" s="388">
        <v>4259.890000000004</v>
      </c>
      <c r="G26" s="388">
        <v>4470994.0199999996</v>
      </c>
      <c r="H26" s="365">
        <f t="shared" si="3"/>
        <v>4475253.9099999992</v>
      </c>
    </row>
    <row r="27" spans="1:8">
      <c r="A27" s="35">
        <v>10</v>
      </c>
      <c r="B27" s="376" t="s">
        <v>179</v>
      </c>
      <c r="C27" s="388">
        <v>0</v>
      </c>
      <c r="D27" s="388">
        <v>0</v>
      </c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>
      <c r="A28" s="35">
        <v>11</v>
      </c>
      <c r="B28" s="376" t="s">
        <v>178</v>
      </c>
      <c r="C28" s="388">
        <v>199084.75999999998</v>
      </c>
      <c r="D28" s="388">
        <v>2975270.44</v>
      </c>
      <c r="E28" s="363">
        <f t="shared" si="2"/>
        <v>3174355.1999999997</v>
      </c>
      <c r="F28" s="388">
        <v>28415.41</v>
      </c>
      <c r="G28" s="388">
        <v>3486725.62</v>
      </c>
      <c r="H28" s="365">
        <f t="shared" si="3"/>
        <v>3515141.0300000003</v>
      </c>
    </row>
    <row r="29" spans="1:8">
      <c r="A29" s="35">
        <v>12</v>
      </c>
      <c r="B29" s="376" t="s">
        <v>177</v>
      </c>
      <c r="C29" s="388">
        <v>0</v>
      </c>
      <c r="D29" s="388"/>
      <c r="E29" s="363">
        <f t="shared" si="2"/>
        <v>0</v>
      </c>
      <c r="F29" s="388">
        <v>0</v>
      </c>
      <c r="G29" s="388"/>
      <c r="H29" s="365">
        <f t="shared" si="3"/>
        <v>0</v>
      </c>
    </row>
    <row r="30" spans="1:8">
      <c r="A30" s="35">
        <v>13</v>
      </c>
      <c r="B30" s="379" t="s">
        <v>176</v>
      </c>
      <c r="C30" s="387">
        <f>C24+C25+C26+C27+C28+C29</f>
        <v>1554644.03</v>
      </c>
      <c r="D30" s="387">
        <f>D24+D25+D26+D27+D28+D29</f>
        <v>4547459.1899999995</v>
      </c>
      <c r="E30" s="363">
        <f t="shared" si="2"/>
        <v>6102103.2199999997</v>
      </c>
      <c r="F30" s="387">
        <f>F24+F25+F26+F27+F28+F29</f>
        <v>1719076.9799999997</v>
      </c>
      <c r="G30" s="387">
        <f>G24+G25+G26+G27+G28+G29</f>
        <v>8875899.6400000006</v>
      </c>
      <c r="H30" s="365">
        <f t="shared" si="3"/>
        <v>10594976.620000001</v>
      </c>
    </row>
    <row r="31" spans="1:8">
      <c r="A31" s="35">
        <v>14</v>
      </c>
      <c r="B31" s="379" t="s">
        <v>175</v>
      </c>
      <c r="C31" s="387">
        <f>C22-C30</f>
        <v>10563452.340000002</v>
      </c>
      <c r="D31" s="387">
        <f>D22-D30</f>
        <v>-2355739.9817459993</v>
      </c>
      <c r="E31" s="363">
        <f t="shared" si="2"/>
        <v>8207712.3582540024</v>
      </c>
      <c r="F31" s="387">
        <f>F22-F30</f>
        <v>3599976.91</v>
      </c>
      <c r="G31" s="387">
        <f>G22-G30</f>
        <v>4795671.9399999995</v>
      </c>
      <c r="H31" s="365">
        <f t="shared" si="3"/>
        <v>8395648.8499999996</v>
      </c>
    </row>
    <row r="32" spans="1:8">
      <c r="A32" s="35"/>
      <c r="B32" s="380"/>
      <c r="C32" s="389"/>
      <c r="D32" s="389"/>
      <c r="E32" s="389"/>
      <c r="F32" s="389"/>
      <c r="G32" s="389"/>
      <c r="H32" s="400"/>
    </row>
    <row r="33" spans="1:8">
      <c r="A33" s="35"/>
      <c r="B33" s="380" t="s">
        <v>174</v>
      </c>
      <c r="C33" s="388"/>
      <c r="D33" s="388"/>
      <c r="E33" s="362"/>
      <c r="F33" s="388"/>
      <c r="G33" s="388"/>
      <c r="H33" s="399"/>
    </row>
    <row r="34" spans="1:8">
      <c r="A34" s="35">
        <v>15</v>
      </c>
      <c r="B34" s="381" t="s">
        <v>173</v>
      </c>
      <c r="C34" s="390">
        <f>C35-C36</f>
        <v>-83491.709999999963</v>
      </c>
      <c r="D34" s="390">
        <f>D35-D36</f>
        <v>0</v>
      </c>
      <c r="E34" s="363">
        <f t="shared" ref="E34:E45" si="4">C34+D34</f>
        <v>-83491.709999999963</v>
      </c>
      <c r="F34" s="390">
        <f>F35-F36</f>
        <v>830427.32000000041</v>
      </c>
      <c r="G34" s="390">
        <f>G35-G36</f>
        <v>0</v>
      </c>
      <c r="H34" s="365">
        <f t="shared" ref="H34:H45" si="5">F34+G34</f>
        <v>830427.32000000041</v>
      </c>
    </row>
    <row r="35" spans="1:8">
      <c r="A35" s="35">
        <v>15.1</v>
      </c>
      <c r="B35" s="377" t="s">
        <v>172</v>
      </c>
      <c r="C35" s="388">
        <v>1282115.9600000002</v>
      </c>
      <c r="D35" s="388"/>
      <c r="E35" s="363">
        <f t="shared" si="4"/>
        <v>1282115.9600000002</v>
      </c>
      <c r="F35" s="388">
        <v>1708279.5400000003</v>
      </c>
      <c r="G35" s="388">
        <v>0</v>
      </c>
      <c r="H35" s="365">
        <f t="shared" si="5"/>
        <v>1708279.5400000003</v>
      </c>
    </row>
    <row r="36" spans="1:8">
      <c r="A36" s="35">
        <v>15.2</v>
      </c>
      <c r="B36" s="377" t="s">
        <v>171</v>
      </c>
      <c r="C36" s="388">
        <v>1365607.6700000002</v>
      </c>
      <c r="D36" s="388"/>
      <c r="E36" s="363">
        <f t="shared" si="4"/>
        <v>1365607.6700000002</v>
      </c>
      <c r="F36" s="388">
        <v>877852.21999999986</v>
      </c>
      <c r="G36" s="388">
        <v>0</v>
      </c>
      <c r="H36" s="365">
        <f t="shared" si="5"/>
        <v>877852.21999999986</v>
      </c>
    </row>
    <row r="37" spans="1:8">
      <c r="A37" s="35">
        <v>16</v>
      </c>
      <c r="B37" s="376" t="s">
        <v>170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>
      <c r="A38" s="35">
        <v>17</v>
      </c>
      <c r="B38" s="376" t="s">
        <v>169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>
      <c r="A39" s="35">
        <v>18</v>
      </c>
      <c r="B39" s="376" t="s">
        <v>168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>
      <c r="A40" s="35">
        <v>19</v>
      </c>
      <c r="B40" s="376" t="s">
        <v>167</v>
      </c>
      <c r="C40" s="388">
        <v>705712.47</v>
      </c>
      <c r="D40" s="388"/>
      <c r="E40" s="363">
        <f t="shared" si="4"/>
        <v>705712.47</v>
      </c>
      <c r="F40" s="388">
        <v>718857.3</v>
      </c>
      <c r="G40" s="388"/>
      <c r="H40" s="365">
        <f t="shared" si="5"/>
        <v>718857.3</v>
      </c>
    </row>
    <row r="41" spans="1:8">
      <c r="A41" s="35">
        <v>20</v>
      </c>
      <c r="B41" s="376" t="s">
        <v>166</v>
      </c>
      <c r="C41" s="388">
        <v>948504.94999999972</v>
      </c>
      <c r="D41" s="388"/>
      <c r="E41" s="363">
        <f t="shared" si="4"/>
        <v>948504.94999999972</v>
      </c>
      <c r="F41" s="388">
        <v>89089.570000000298</v>
      </c>
      <c r="G41" s="388"/>
      <c r="H41" s="365">
        <f t="shared" si="5"/>
        <v>89089.570000000298</v>
      </c>
    </row>
    <row r="42" spans="1:8">
      <c r="A42" s="35">
        <v>21</v>
      </c>
      <c r="B42" s="376" t="s">
        <v>165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>
      <c r="A43" s="35">
        <v>22</v>
      </c>
      <c r="B43" s="376" t="s">
        <v>164</v>
      </c>
      <c r="C43" s="388">
        <v>596130.07999999996</v>
      </c>
      <c r="D43" s="388"/>
      <c r="E43" s="363">
        <f t="shared" si="4"/>
        <v>596130.07999999996</v>
      </c>
      <c r="F43" s="388">
        <v>38052.39</v>
      </c>
      <c r="G43" s="388">
        <v>212079.39</v>
      </c>
      <c r="H43" s="365">
        <f t="shared" si="5"/>
        <v>250131.78000000003</v>
      </c>
    </row>
    <row r="44" spans="1:8">
      <c r="A44" s="35">
        <v>23</v>
      </c>
      <c r="B44" s="376" t="s">
        <v>163</v>
      </c>
      <c r="C44" s="388">
        <v>0</v>
      </c>
      <c r="D44" s="388"/>
      <c r="E44" s="363">
        <f t="shared" si="4"/>
        <v>0</v>
      </c>
      <c r="F44" s="388">
        <v>4988.4399999999996</v>
      </c>
      <c r="G44" s="388">
        <v>0</v>
      </c>
      <c r="H44" s="365">
        <f t="shared" si="5"/>
        <v>4988.4399999999996</v>
      </c>
    </row>
    <row r="45" spans="1:8">
      <c r="A45" s="35">
        <v>24</v>
      </c>
      <c r="B45" s="379" t="s">
        <v>280</v>
      </c>
      <c r="C45" s="387">
        <f>C34+C37+C38+C39+C40+C41+C42+C43+C44</f>
        <v>2166855.7899999996</v>
      </c>
      <c r="D45" s="387">
        <f>D34+D37+D38+D39+D40+D41+D42+D43+D44</f>
        <v>0</v>
      </c>
      <c r="E45" s="363">
        <f t="shared" si="4"/>
        <v>2166855.7899999996</v>
      </c>
      <c r="F45" s="387">
        <f>F34+F37+F38+F39+F40+F41+F42+F43+F44</f>
        <v>1681415.0200000007</v>
      </c>
      <c r="G45" s="387">
        <f>G34+G37+G38+G39+G40+G41+G42+G43+G44</f>
        <v>212079.39</v>
      </c>
      <c r="H45" s="365">
        <f t="shared" si="5"/>
        <v>1893494.4100000006</v>
      </c>
    </row>
    <row r="46" spans="1:8">
      <c r="A46" s="35"/>
      <c r="B46" s="195" t="s">
        <v>162</v>
      </c>
      <c r="C46" s="388"/>
      <c r="D46" s="388"/>
      <c r="E46" s="388"/>
      <c r="F46" s="388"/>
      <c r="G46" s="388"/>
      <c r="H46" s="401"/>
    </row>
    <row r="47" spans="1:8">
      <c r="A47" s="35">
        <v>25</v>
      </c>
      <c r="B47" s="376" t="s">
        <v>161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>
      <c r="A48" s="35">
        <v>26</v>
      </c>
      <c r="B48" s="376" t="s">
        <v>160</v>
      </c>
      <c r="C48" s="388">
        <v>177211.33000000002</v>
      </c>
      <c r="D48" s="388"/>
      <c r="E48" s="363">
        <f t="shared" si="6"/>
        <v>177211.33000000002</v>
      </c>
      <c r="F48" s="388">
        <v>275210.98</v>
      </c>
      <c r="G48" s="388"/>
      <c r="H48" s="365">
        <f t="shared" si="7"/>
        <v>275210.98</v>
      </c>
    </row>
    <row r="49" spans="1:8">
      <c r="A49" s="35">
        <v>27</v>
      </c>
      <c r="B49" s="376" t="s">
        <v>159</v>
      </c>
      <c r="C49" s="388">
        <v>4635462.4799999995</v>
      </c>
      <c r="D49" s="388"/>
      <c r="E49" s="363">
        <f t="shared" si="6"/>
        <v>4635462.4799999995</v>
      </c>
      <c r="F49" s="388">
        <v>4568170.07</v>
      </c>
      <c r="G49" s="388"/>
      <c r="H49" s="365">
        <f t="shared" si="7"/>
        <v>4568170.07</v>
      </c>
    </row>
    <row r="50" spans="1:8">
      <c r="A50" s="35">
        <v>28</v>
      </c>
      <c r="B50" s="376" t="s">
        <v>158</v>
      </c>
      <c r="C50" s="388">
        <v>19371.96</v>
      </c>
      <c r="D50" s="388"/>
      <c r="E50" s="363">
        <f t="shared" si="6"/>
        <v>19371.96</v>
      </c>
      <c r="F50" s="388">
        <v>23476.38</v>
      </c>
      <c r="G50" s="388"/>
      <c r="H50" s="365">
        <f t="shared" si="7"/>
        <v>23476.38</v>
      </c>
    </row>
    <row r="51" spans="1:8">
      <c r="A51" s="35">
        <v>29</v>
      </c>
      <c r="B51" s="376" t="s">
        <v>157</v>
      </c>
      <c r="C51" s="388">
        <v>721321.4</v>
      </c>
      <c r="D51" s="388"/>
      <c r="E51" s="363">
        <f t="shared" si="6"/>
        <v>721321.4</v>
      </c>
      <c r="F51" s="388">
        <v>666467.92000000004</v>
      </c>
      <c r="G51" s="388"/>
      <c r="H51" s="365">
        <f t="shared" si="7"/>
        <v>666467.92000000004</v>
      </c>
    </row>
    <row r="52" spans="1:8">
      <c r="A52" s="35">
        <v>30</v>
      </c>
      <c r="B52" s="376" t="s">
        <v>156</v>
      </c>
      <c r="C52" s="388">
        <v>1870603.3899999997</v>
      </c>
      <c r="D52" s="388"/>
      <c r="E52" s="363">
        <f t="shared" si="6"/>
        <v>1870603.3899999997</v>
      </c>
      <c r="F52" s="388">
        <v>2265271.48</v>
      </c>
      <c r="G52" s="388"/>
      <c r="H52" s="365">
        <f t="shared" si="7"/>
        <v>2265271.48</v>
      </c>
    </row>
    <row r="53" spans="1:8">
      <c r="A53" s="35">
        <v>31</v>
      </c>
      <c r="B53" s="379" t="s">
        <v>281</v>
      </c>
      <c r="C53" s="387">
        <f>C47+C48+C49+C50+C51+C52</f>
        <v>7423970.5599999996</v>
      </c>
      <c r="D53" s="387">
        <f>D47+D48+D49+D50+D51+D52</f>
        <v>0</v>
      </c>
      <c r="E53" s="363">
        <f t="shared" si="6"/>
        <v>7423970.5599999996</v>
      </c>
      <c r="F53" s="387">
        <f>F47+F48+F49+F50+F51+F52</f>
        <v>7798596.8300000001</v>
      </c>
      <c r="G53" s="387">
        <f>G47+G48+G49+G50+G51+G52</f>
        <v>0</v>
      </c>
      <c r="H53" s="365">
        <f t="shared" si="7"/>
        <v>7798596.8300000001</v>
      </c>
    </row>
    <row r="54" spans="1:8">
      <c r="A54" s="35">
        <v>32</v>
      </c>
      <c r="B54" s="379" t="s">
        <v>282</v>
      </c>
      <c r="C54" s="387">
        <f>C45-C53</f>
        <v>-5257114.7699999996</v>
      </c>
      <c r="D54" s="387">
        <f>D45-D53</f>
        <v>0</v>
      </c>
      <c r="E54" s="363">
        <f t="shared" si="6"/>
        <v>-5257114.7699999996</v>
      </c>
      <c r="F54" s="387">
        <f>F45-F53</f>
        <v>-6117181.8099999996</v>
      </c>
      <c r="G54" s="387">
        <f>G45-G53</f>
        <v>212079.39</v>
      </c>
      <c r="H54" s="365">
        <f t="shared" si="7"/>
        <v>-5905102.4199999999</v>
      </c>
    </row>
    <row r="55" spans="1:8">
      <c r="A55" s="35"/>
      <c r="B55" s="380"/>
      <c r="C55" s="389"/>
      <c r="D55" s="389"/>
      <c r="E55" s="389"/>
      <c r="F55" s="389"/>
      <c r="G55" s="389"/>
      <c r="H55" s="400"/>
    </row>
    <row r="56" spans="1:8">
      <c r="A56" s="35">
        <v>33</v>
      </c>
      <c r="B56" s="379" t="s">
        <v>155</v>
      </c>
      <c r="C56" s="387">
        <f>C31+C54</f>
        <v>5306337.5700000022</v>
      </c>
      <c r="D56" s="387">
        <f>D31+D54</f>
        <v>-2355739.9817459993</v>
      </c>
      <c r="E56" s="363">
        <f>C56+D56</f>
        <v>2950597.5882540029</v>
      </c>
      <c r="F56" s="387">
        <f>F31+F54</f>
        <v>-2517204.8999999994</v>
      </c>
      <c r="G56" s="387">
        <f>G31+G54</f>
        <v>5007751.3299999991</v>
      </c>
      <c r="H56" s="365">
        <f>F56+G56</f>
        <v>2490546.4299999997</v>
      </c>
    </row>
    <row r="57" spans="1:8">
      <c r="A57" s="35"/>
      <c r="B57" s="380"/>
      <c r="C57" s="389"/>
      <c r="D57" s="389"/>
      <c r="E57" s="389"/>
      <c r="F57" s="389"/>
      <c r="G57" s="389"/>
      <c r="H57" s="400"/>
    </row>
    <row r="58" spans="1:8">
      <c r="A58" s="35">
        <v>34</v>
      </c>
      <c r="B58" s="376" t="s">
        <v>154</v>
      </c>
      <c r="C58" s="388">
        <v>597272.59</v>
      </c>
      <c r="D58" s="388"/>
      <c r="E58" s="363">
        <f>C58+D58</f>
        <v>597272.59</v>
      </c>
      <c r="F58" s="388">
        <v>-925059.99</v>
      </c>
      <c r="G58" s="388"/>
      <c r="H58" s="365">
        <f>F58+G58</f>
        <v>-925059.99</v>
      </c>
    </row>
    <row r="59" spans="1:8" s="196" customFormat="1">
      <c r="A59" s="35">
        <v>35</v>
      </c>
      <c r="B59" s="376" t="s">
        <v>153</v>
      </c>
      <c r="C59" s="388">
        <v>147996.48308352201</v>
      </c>
      <c r="D59" s="388"/>
      <c r="E59" s="393">
        <f>C59+D59</f>
        <v>147996.48308352201</v>
      </c>
      <c r="F59" s="395">
        <v>242395.806258</v>
      </c>
      <c r="G59" s="395"/>
      <c r="H59" s="402">
        <f>F59+G59</f>
        <v>242395.806258</v>
      </c>
    </row>
    <row r="60" spans="1:8">
      <c r="A60" s="35">
        <v>36</v>
      </c>
      <c r="B60" s="376" t="s">
        <v>152</v>
      </c>
      <c r="C60" s="388">
        <v>192012.03691647801</v>
      </c>
      <c r="D60" s="388"/>
      <c r="E60" s="363">
        <f>C60+D60</f>
        <v>192012.03691647801</v>
      </c>
      <c r="F60" s="388">
        <v>-8963.6062579999852</v>
      </c>
      <c r="G60" s="388"/>
      <c r="H60" s="365">
        <f>F60+G60</f>
        <v>-8963.6062579999852</v>
      </c>
    </row>
    <row r="61" spans="1:8">
      <c r="A61" s="35">
        <v>37</v>
      </c>
      <c r="B61" s="379" t="s">
        <v>151</v>
      </c>
      <c r="C61" s="387">
        <f>C58+C59+C60</f>
        <v>937281.1100000001</v>
      </c>
      <c r="D61" s="387">
        <f>D58+D59+D60</f>
        <v>0</v>
      </c>
      <c r="E61" s="363">
        <f>C61+D61</f>
        <v>937281.1100000001</v>
      </c>
      <c r="F61" s="387">
        <f>F58+F59+F60</f>
        <v>-691627.79</v>
      </c>
      <c r="G61" s="387">
        <f>G58+G59+G60</f>
        <v>0</v>
      </c>
      <c r="H61" s="365">
        <f>F61+G61</f>
        <v>-691627.79</v>
      </c>
    </row>
    <row r="62" spans="1:8">
      <c r="A62" s="35"/>
      <c r="B62" s="382"/>
      <c r="C62" s="388"/>
      <c r="D62" s="388"/>
      <c r="E62" s="388"/>
      <c r="F62" s="388"/>
      <c r="G62" s="388"/>
      <c r="H62" s="401"/>
    </row>
    <row r="63" spans="1:8">
      <c r="A63" s="35">
        <v>38</v>
      </c>
      <c r="B63" s="383" t="s">
        <v>150</v>
      </c>
      <c r="C63" s="387">
        <f>C56-C61</f>
        <v>4369056.4600000018</v>
      </c>
      <c r="D63" s="387">
        <f>D56-D61</f>
        <v>-2355739.9817459993</v>
      </c>
      <c r="E63" s="363">
        <f>C63+D63</f>
        <v>2013316.4782540025</v>
      </c>
      <c r="F63" s="387">
        <f>F56-F61</f>
        <v>-1825577.1099999994</v>
      </c>
      <c r="G63" s="387">
        <f>G56-G61</f>
        <v>5007751.3299999991</v>
      </c>
      <c r="H63" s="365">
        <f>F63+G63</f>
        <v>3182174.2199999997</v>
      </c>
    </row>
    <row r="64" spans="1:8">
      <c r="A64" s="34">
        <v>39</v>
      </c>
      <c r="B64" s="376" t="s">
        <v>149</v>
      </c>
      <c r="C64" s="391">
        <v>593122.01</v>
      </c>
      <c r="D64" s="391"/>
      <c r="E64" s="363">
        <f>C64+D64</f>
        <v>593122.01</v>
      </c>
      <c r="F64" s="391">
        <v>102722.63330626488</v>
      </c>
      <c r="G64" s="391"/>
      <c r="H64" s="365">
        <f>F64+G64</f>
        <v>102722.63330626488</v>
      </c>
    </row>
    <row r="65" spans="1:8">
      <c r="A65" s="35">
        <v>40</v>
      </c>
      <c r="B65" s="379" t="s">
        <v>148</v>
      </c>
      <c r="C65" s="387">
        <f>C63-C64</f>
        <v>3775934.450000002</v>
      </c>
      <c r="D65" s="387">
        <f>D63-D64</f>
        <v>-2355739.9817459993</v>
      </c>
      <c r="E65" s="363">
        <f>C65+D65</f>
        <v>1420194.4682540027</v>
      </c>
      <c r="F65" s="387">
        <f>F63-F64</f>
        <v>-1928299.7433062643</v>
      </c>
      <c r="G65" s="387">
        <f>G63-G64</f>
        <v>5007751.3299999991</v>
      </c>
      <c r="H65" s="365">
        <f>F65+G65</f>
        <v>3079451.5866937349</v>
      </c>
    </row>
    <row r="66" spans="1:8">
      <c r="A66" s="34">
        <v>41</v>
      </c>
      <c r="B66" s="376" t="s">
        <v>147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3.5" thickBot="1">
      <c r="A67" s="36">
        <v>42</v>
      </c>
      <c r="B67" s="37" t="s">
        <v>146</v>
      </c>
      <c r="C67" s="392">
        <f>C65+C66</f>
        <v>3775934.450000002</v>
      </c>
      <c r="D67" s="392">
        <f>D65+D66</f>
        <v>-2355739.9817459993</v>
      </c>
      <c r="E67" s="394">
        <f>C67+D67</f>
        <v>1420194.4682540027</v>
      </c>
      <c r="F67" s="392">
        <f>F65+F66</f>
        <v>-1928299.7433062643</v>
      </c>
      <c r="G67" s="392">
        <f>G65+G66</f>
        <v>5007751.3299999991</v>
      </c>
      <c r="H67" s="403">
        <f>F67+G67</f>
        <v>3079451.5866937349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/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43465</v>
      </c>
    </row>
    <row r="3" spans="1:8">
      <c r="A3" s="4"/>
    </row>
    <row r="4" spans="1:8" ht="15" thickBot="1">
      <c r="A4" s="4" t="s">
        <v>74</v>
      </c>
      <c r="B4" s="4"/>
      <c r="C4" s="404"/>
      <c r="D4" s="404"/>
      <c r="E4" s="404"/>
      <c r="F4" s="405"/>
      <c r="G4" s="405"/>
      <c r="H4" s="406" t="s">
        <v>73</v>
      </c>
    </row>
    <row r="5" spans="1:8">
      <c r="A5" s="539" t="s">
        <v>6</v>
      </c>
      <c r="B5" s="541" t="s">
        <v>347</v>
      </c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540"/>
      <c r="B6" s="542"/>
      <c r="C6" s="354" t="s">
        <v>294</v>
      </c>
      <c r="D6" s="354" t="s">
        <v>123</v>
      </c>
      <c r="E6" s="354" t="s">
        <v>110</v>
      </c>
      <c r="F6" s="354" t="s">
        <v>294</v>
      </c>
      <c r="G6" s="354" t="s">
        <v>123</v>
      </c>
      <c r="H6" s="355" t="s">
        <v>110</v>
      </c>
    </row>
    <row r="7" spans="1:8" s="17" customFormat="1">
      <c r="A7" s="180">
        <v>1</v>
      </c>
      <c r="B7" s="407" t="s">
        <v>381</v>
      </c>
      <c r="C7" s="390">
        <f>SUM(C8:C11)</f>
        <v>34808673.880000003</v>
      </c>
      <c r="D7" s="390">
        <f>SUM(D8:D11)</f>
        <v>8011640.2800000003</v>
      </c>
      <c r="E7" s="390">
        <f>C7+D7</f>
        <v>42820314.160000004</v>
      </c>
      <c r="F7" s="390">
        <f>SUM(F8:F11)</f>
        <v>1176339.76</v>
      </c>
      <c r="G7" s="390">
        <f>SUM(G8:G11)</f>
        <v>8475883.9199999999</v>
      </c>
      <c r="H7" s="365">
        <f t="shared" ref="H7:H53" si="0">F7+G7</f>
        <v>9652223.6799999997</v>
      </c>
    </row>
    <row r="8" spans="1:8" s="17" customFormat="1">
      <c r="A8" s="180">
        <v>1.1000000000000001</v>
      </c>
      <c r="B8" s="408" t="s">
        <v>312</v>
      </c>
      <c r="C8" s="409">
        <v>34733206</v>
      </c>
      <c r="D8" s="409">
        <v>7998257.2800000003</v>
      </c>
      <c r="E8" s="390">
        <f t="shared" ref="E8:E53" si="1">C8+D8</f>
        <v>42731463.280000001</v>
      </c>
      <c r="F8" s="409">
        <v>1081100</v>
      </c>
      <c r="G8" s="409">
        <v>8462922.9199999999</v>
      </c>
      <c r="H8" s="365">
        <f t="shared" si="0"/>
        <v>9544022.9199999999</v>
      </c>
    </row>
    <row r="9" spans="1:8" s="17" customFormat="1">
      <c r="A9" s="180">
        <v>1.2</v>
      </c>
      <c r="B9" s="408" t="s">
        <v>313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>
      <c r="A10" s="180">
        <v>1.3</v>
      </c>
      <c r="B10" s="408" t="s">
        <v>314</v>
      </c>
      <c r="C10" s="409">
        <v>75467.88</v>
      </c>
      <c r="D10" s="409">
        <v>13383</v>
      </c>
      <c r="E10" s="390">
        <f t="shared" si="1"/>
        <v>88850.880000000005</v>
      </c>
      <c r="F10" s="409">
        <v>95239.760000000009</v>
      </c>
      <c r="G10" s="409">
        <v>12961.000000000004</v>
      </c>
      <c r="H10" s="365">
        <f t="shared" si="0"/>
        <v>108200.76000000001</v>
      </c>
    </row>
    <row r="11" spans="1:8" s="17" customFormat="1">
      <c r="A11" s="180">
        <v>1.4</v>
      </c>
      <c r="B11" s="408" t="s">
        <v>295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316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899999999999999" customHeight="1">
      <c r="A13" s="180">
        <v>3</v>
      </c>
      <c r="B13" s="182" t="s">
        <v>315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>
      <c r="A14" s="180">
        <v>3.1</v>
      </c>
      <c r="B14" s="228" t="s">
        <v>296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>
      <c r="A15" s="180">
        <v>3.2</v>
      </c>
      <c r="B15" s="228" t="s">
        <v>297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>
      <c r="A16" s="180">
        <v>4</v>
      </c>
      <c r="B16" s="230" t="s">
        <v>326</v>
      </c>
      <c r="C16" s="390">
        <f>C17+C18</f>
        <v>0</v>
      </c>
      <c r="D16" s="390">
        <f>D17+D18</f>
        <v>127576445.71702717</v>
      </c>
      <c r="E16" s="390">
        <f t="shared" si="1"/>
        <v>127576445.71702717</v>
      </c>
      <c r="F16" s="390">
        <f>F17+F18</f>
        <v>0</v>
      </c>
      <c r="G16" s="390">
        <f>G17+G18</f>
        <v>67140974.015699998</v>
      </c>
      <c r="H16" s="365">
        <f t="shared" si="0"/>
        <v>67140974.015699998</v>
      </c>
    </row>
    <row r="17" spans="1:8" s="17" customFormat="1">
      <c r="A17" s="180">
        <v>4.0999999999999996</v>
      </c>
      <c r="B17" s="228" t="s">
        <v>317</v>
      </c>
      <c r="C17" s="409"/>
      <c r="D17" s="409">
        <v>103908640.71702717</v>
      </c>
      <c r="E17" s="390">
        <f t="shared" si="1"/>
        <v>103908640.71702717</v>
      </c>
      <c r="F17" s="409"/>
      <c r="G17" s="409">
        <v>65994396</v>
      </c>
      <c r="H17" s="365">
        <f t="shared" si="0"/>
        <v>65994396</v>
      </c>
    </row>
    <row r="18" spans="1:8" s="17" customFormat="1">
      <c r="A18" s="180">
        <v>4.2</v>
      </c>
      <c r="B18" s="228" t="s">
        <v>311</v>
      </c>
      <c r="C18" s="409"/>
      <c r="D18" s="409">
        <v>23667805</v>
      </c>
      <c r="E18" s="390">
        <f t="shared" si="1"/>
        <v>23667805</v>
      </c>
      <c r="F18" s="409"/>
      <c r="G18" s="409">
        <v>1146578.0157000001</v>
      </c>
      <c r="H18" s="365">
        <f t="shared" si="0"/>
        <v>1146578.0157000001</v>
      </c>
    </row>
    <row r="19" spans="1:8" s="17" customFormat="1">
      <c r="A19" s="180">
        <v>5</v>
      </c>
      <c r="B19" s="182" t="s">
        <v>325</v>
      </c>
      <c r="C19" s="390">
        <f>C20+C21+C22+SUM(C28:C31)</f>
        <v>0</v>
      </c>
      <c r="D19" s="390">
        <f>D20+D21+D22+SUM(D28:D31)</f>
        <v>529772078.752774</v>
      </c>
      <c r="E19" s="390">
        <f t="shared" si="1"/>
        <v>529772078.752774</v>
      </c>
      <c r="F19" s="390">
        <f>F20+F21+F22+SUM(F28:F31)</f>
        <v>11128610</v>
      </c>
      <c r="G19" s="390">
        <f>G20+G21+G22+SUM(G28:G31)</f>
        <v>469832518.33981562</v>
      </c>
      <c r="H19" s="365">
        <f t="shared" si="0"/>
        <v>480961128.33981562</v>
      </c>
    </row>
    <row r="20" spans="1:8" s="17" customFormat="1">
      <c r="A20" s="180">
        <v>5.0999999999999996</v>
      </c>
      <c r="B20" s="410" t="s">
        <v>300</v>
      </c>
      <c r="C20" s="409"/>
      <c r="D20" s="409">
        <v>3675702.7756779999</v>
      </c>
      <c r="E20" s="390">
        <f t="shared" si="1"/>
        <v>3675702.7756779999</v>
      </c>
      <c r="F20" s="409">
        <v>33600</v>
      </c>
      <c r="G20" s="409">
        <v>50173517.885919988</v>
      </c>
      <c r="H20" s="365">
        <f t="shared" si="0"/>
        <v>50207117.885919988</v>
      </c>
    </row>
    <row r="21" spans="1:8" s="17" customFormat="1">
      <c r="A21" s="180">
        <v>5.2</v>
      </c>
      <c r="B21" s="410" t="s">
        <v>299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>
      <c r="A22" s="180">
        <v>5.3</v>
      </c>
      <c r="B22" s="410" t="s">
        <v>298</v>
      </c>
      <c r="C22" s="411">
        <f>SUM(C23:C27)</f>
        <v>0</v>
      </c>
      <c r="D22" s="411">
        <f>SUM(D23:D27)</f>
        <v>270134561.73041528</v>
      </c>
      <c r="E22" s="390">
        <f t="shared" si="1"/>
        <v>270134561.73041528</v>
      </c>
      <c r="F22" s="411">
        <f>SUM(F23:F27)</f>
        <v>0</v>
      </c>
      <c r="G22" s="411">
        <f>SUM(G23:G27)</f>
        <v>230092073.71927634</v>
      </c>
      <c r="H22" s="365">
        <f t="shared" si="0"/>
        <v>230092073.71927634</v>
      </c>
    </row>
    <row r="23" spans="1:8" s="17" customFormat="1">
      <c r="A23" s="180" t="s">
        <v>15</v>
      </c>
      <c r="B23" s="412" t="s">
        <v>75</v>
      </c>
      <c r="C23" s="409"/>
      <c r="D23" s="409">
        <v>21621544.088970423</v>
      </c>
      <c r="E23" s="390">
        <f t="shared" si="1"/>
        <v>21621544.088970423</v>
      </c>
      <c r="F23" s="409"/>
      <c r="G23" s="409">
        <v>18416547.236961063</v>
      </c>
      <c r="H23" s="365">
        <f t="shared" si="0"/>
        <v>18416547.236961063</v>
      </c>
    </row>
    <row r="24" spans="1:8" s="17" customFormat="1">
      <c r="A24" s="180" t="s">
        <v>16</v>
      </c>
      <c r="B24" s="412" t="s">
        <v>76</v>
      </c>
      <c r="C24" s="409"/>
      <c r="D24" s="409">
        <v>214648450.21619791</v>
      </c>
      <c r="E24" s="390">
        <f t="shared" si="1"/>
        <v>214648450.21619791</v>
      </c>
      <c r="F24" s="409"/>
      <c r="G24" s="409">
        <v>182830759.28715187</v>
      </c>
      <c r="H24" s="365">
        <f t="shared" si="0"/>
        <v>182830759.28715187</v>
      </c>
    </row>
    <row r="25" spans="1:8" s="17" customFormat="1">
      <c r="A25" s="180" t="s">
        <v>17</v>
      </c>
      <c r="B25" s="412" t="s">
        <v>77</v>
      </c>
      <c r="C25" s="409"/>
      <c r="D25" s="409">
        <v>1765389.7494002411</v>
      </c>
      <c r="E25" s="390">
        <f t="shared" si="1"/>
        <v>1765389.7494002411</v>
      </c>
      <c r="F25" s="409"/>
      <c r="G25" s="409">
        <v>1503703.1387624899</v>
      </c>
      <c r="H25" s="365">
        <f t="shared" si="0"/>
        <v>1503703.1387624899</v>
      </c>
    </row>
    <row r="26" spans="1:8" s="17" customFormat="1">
      <c r="A26" s="180" t="s">
        <v>18</v>
      </c>
      <c r="B26" s="412" t="s">
        <v>78</v>
      </c>
      <c r="C26" s="409"/>
      <c r="D26" s="409">
        <v>31968157.602774322</v>
      </c>
      <c r="E26" s="390">
        <f t="shared" si="1"/>
        <v>31968157.602774322</v>
      </c>
      <c r="F26" s="409"/>
      <c r="G26" s="409">
        <v>27229465.303101946</v>
      </c>
      <c r="H26" s="365">
        <f t="shared" si="0"/>
        <v>27229465.303101946</v>
      </c>
    </row>
    <row r="27" spans="1:8" s="17" customFormat="1">
      <c r="A27" s="180" t="s">
        <v>19</v>
      </c>
      <c r="B27" s="412" t="s">
        <v>79</v>
      </c>
      <c r="C27" s="409"/>
      <c r="D27" s="409">
        <v>131020.07307237147</v>
      </c>
      <c r="E27" s="390">
        <f t="shared" si="1"/>
        <v>131020.07307237147</v>
      </c>
      <c r="F27" s="409"/>
      <c r="G27" s="409">
        <v>111598.75329895178</v>
      </c>
      <c r="H27" s="365">
        <f t="shared" si="0"/>
        <v>111598.75329895178</v>
      </c>
    </row>
    <row r="28" spans="1:8" s="17" customFormat="1">
      <c r="A28" s="180">
        <v>5.4</v>
      </c>
      <c r="B28" s="410" t="s">
        <v>301</v>
      </c>
      <c r="C28" s="409"/>
      <c r="D28" s="409">
        <v>2948901.9216543119</v>
      </c>
      <c r="E28" s="390">
        <f t="shared" si="1"/>
        <v>2948901.9216543119</v>
      </c>
      <c r="F28" s="409"/>
      <c r="G28" s="409">
        <v>675941.71068373695</v>
      </c>
      <c r="H28" s="365">
        <f t="shared" si="0"/>
        <v>675941.71068373695</v>
      </c>
    </row>
    <row r="29" spans="1:8" s="17" customFormat="1">
      <c r="A29" s="180">
        <v>5.5</v>
      </c>
      <c r="B29" s="410" t="s">
        <v>302</v>
      </c>
      <c r="C29" s="409"/>
      <c r="D29" s="409">
        <v>15769570.809497315</v>
      </c>
      <c r="E29" s="390">
        <f t="shared" si="1"/>
        <v>15769570.809497315</v>
      </c>
      <c r="F29" s="409"/>
      <c r="G29" s="409">
        <v>9032980.4914344084</v>
      </c>
      <c r="H29" s="365">
        <f t="shared" si="0"/>
        <v>9032980.4914344084</v>
      </c>
    </row>
    <row r="30" spans="1:8" s="17" customFormat="1">
      <c r="A30" s="180">
        <v>5.6</v>
      </c>
      <c r="B30" s="410" t="s">
        <v>303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>
      <c r="A31" s="180">
        <v>5.7</v>
      </c>
      <c r="B31" s="410" t="s">
        <v>79</v>
      </c>
      <c r="C31" s="409"/>
      <c r="D31" s="409">
        <v>237243341.5155291</v>
      </c>
      <c r="E31" s="390">
        <f t="shared" si="1"/>
        <v>237243341.5155291</v>
      </c>
      <c r="F31" s="409">
        <v>11095010</v>
      </c>
      <c r="G31" s="409">
        <v>179858004.53250107</v>
      </c>
      <c r="H31" s="365">
        <f t="shared" si="0"/>
        <v>190953014.53250107</v>
      </c>
    </row>
    <row r="32" spans="1:8" s="17" customFormat="1">
      <c r="A32" s="180">
        <v>6</v>
      </c>
      <c r="B32" s="182" t="s">
        <v>331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>
      <c r="A33" s="180">
        <v>6.1</v>
      </c>
      <c r="B33" s="229" t="s">
        <v>321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>
      <c r="A34" s="180">
        <v>6.2</v>
      </c>
      <c r="B34" s="229" t="s">
        <v>322</v>
      </c>
      <c r="C34" s="409"/>
      <c r="D34" s="409"/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>
      <c r="A35" s="180">
        <v>6.3</v>
      </c>
      <c r="B35" s="229" t="s">
        <v>318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>
      <c r="A36" s="180">
        <v>6.4</v>
      </c>
      <c r="B36" s="229" t="s">
        <v>319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>
      <c r="A37" s="180">
        <v>6.5</v>
      </c>
      <c r="B37" s="229" t="s">
        <v>320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>
      <c r="A38" s="180">
        <v>6.6</v>
      </c>
      <c r="B38" s="229" t="s">
        <v>323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>
      <c r="A39" s="180">
        <v>6.7</v>
      </c>
      <c r="B39" s="229" t="s">
        <v>324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>
      <c r="A40" s="180">
        <v>7</v>
      </c>
      <c r="B40" s="182" t="s">
        <v>327</v>
      </c>
      <c r="C40" s="390">
        <f>SUM(C41:C44)</f>
        <v>73295.770000000106</v>
      </c>
      <c r="D40" s="390">
        <f>SUM(D41:D44)</f>
        <v>5654.1600000000008</v>
      </c>
      <c r="E40" s="390">
        <f t="shared" si="1"/>
        <v>78949.930000000109</v>
      </c>
      <c r="F40" s="390">
        <f>SUM(F41:F44)</f>
        <v>22922.921176470583</v>
      </c>
      <c r="G40" s="390">
        <f>SUM(G41:G44)</f>
        <v>42387.639999999992</v>
      </c>
      <c r="H40" s="365">
        <f t="shared" si="0"/>
        <v>65310.561176470575</v>
      </c>
    </row>
    <row r="41" spans="1:8" s="17" customFormat="1">
      <c r="A41" s="180">
        <v>7.1</v>
      </c>
      <c r="B41" s="181" t="s">
        <v>328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5.5">
      <c r="A42" s="180">
        <v>7.2</v>
      </c>
      <c r="B42" s="181" t="s">
        <v>329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5.5">
      <c r="A43" s="180">
        <v>7.3</v>
      </c>
      <c r="B43" s="181" t="s">
        <v>332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5.5">
      <c r="A44" s="180">
        <v>7.4</v>
      </c>
      <c r="B44" s="181" t="s">
        <v>333</v>
      </c>
      <c r="C44" s="409">
        <v>73295.770000000106</v>
      </c>
      <c r="D44" s="409">
        <v>5654.1600000000008</v>
      </c>
      <c r="E44" s="390">
        <f t="shared" si="1"/>
        <v>78949.930000000109</v>
      </c>
      <c r="F44" s="409">
        <v>22922.921176470583</v>
      </c>
      <c r="G44" s="409">
        <v>42387.639999999992</v>
      </c>
      <c r="H44" s="365">
        <f t="shared" si="0"/>
        <v>65310.561176470575</v>
      </c>
    </row>
    <row r="45" spans="1:8" s="17" customFormat="1">
      <c r="A45" s="180">
        <v>8</v>
      </c>
      <c r="B45" s="182" t="s">
        <v>310</v>
      </c>
      <c r="C45" s="390">
        <f>SUM(C46:C52)</f>
        <v>6200</v>
      </c>
      <c r="D45" s="390">
        <f>SUM(D46:D52)</f>
        <v>1151818.5424194001</v>
      </c>
      <c r="E45" s="390">
        <f t="shared" si="1"/>
        <v>1158018.5424194001</v>
      </c>
      <c r="F45" s="390">
        <f>SUM(F46:F52)</f>
        <v>21950</v>
      </c>
      <c r="G45" s="390">
        <f>SUM(G46:G52)</f>
        <v>2288520.9419889981</v>
      </c>
      <c r="H45" s="365">
        <f t="shared" si="0"/>
        <v>2310470.9419889981</v>
      </c>
    </row>
    <row r="46" spans="1:8" s="17" customFormat="1">
      <c r="A46" s="180">
        <v>8.1</v>
      </c>
      <c r="B46" s="228" t="s">
        <v>334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>
      <c r="A47" s="180">
        <v>8.1999999999999993</v>
      </c>
      <c r="B47" s="228" t="s">
        <v>335</v>
      </c>
      <c r="C47" s="409">
        <v>4700</v>
      </c>
      <c r="D47" s="409">
        <v>580554.0531894</v>
      </c>
      <c r="E47" s="390">
        <f t="shared" si="1"/>
        <v>585254.0531894</v>
      </c>
      <c r="F47" s="409">
        <v>17000</v>
      </c>
      <c r="G47" s="409">
        <v>1084206.3956293126</v>
      </c>
      <c r="H47" s="365">
        <f t="shared" si="0"/>
        <v>1101206.3956293126</v>
      </c>
    </row>
    <row r="48" spans="1:8" s="17" customFormat="1">
      <c r="A48" s="180">
        <v>8.3000000000000007</v>
      </c>
      <c r="B48" s="228" t="s">
        <v>336</v>
      </c>
      <c r="C48" s="409">
        <v>1200</v>
      </c>
      <c r="D48" s="409">
        <v>302100.58922999998</v>
      </c>
      <c r="E48" s="390">
        <f t="shared" si="1"/>
        <v>303300.58922999998</v>
      </c>
      <c r="F48" s="409">
        <v>3450</v>
      </c>
      <c r="G48" s="409">
        <v>617590.1098494539</v>
      </c>
      <c r="H48" s="365">
        <f t="shared" si="0"/>
        <v>621040.1098494539</v>
      </c>
    </row>
    <row r="49" spans="1:8" s="17" customFormat="1">
      <c r="A49" s="180">
        <v>8.4</v>
      </c>
      <c r="B49" s="228" t="s">
        <v>337</v>
      </c>
      <c r="C49" s="409">
        <v>300</v>
      </c>
      <c r="D49" s="409">
        <v>179442.6</v>
      </c>
      <c r="E49" s="390">
        <f t="shared" si="1"/>
        <v>179742.6</v>
      </c>
      <c r="F49" s="409">
        <v>1200</v>
      </c>
      <c r="G49" s="409">
        <v>319326.11151023157</v>
      </c>
      <c r="H49" s="365">
        <f t="shared" si="0"/>
        <v>320526.11151023157</v>
      </c>
    </row>
    <row r="50" spans="1:8" s="17" customFormat="1">
      <c r="A50" s="180">
        <v>8.5</v>
      </c>
      <c r="B50" s="228" t="s">
        <v>338</v>
      </c>
      <c r="C50" s="409">
        <v>0</v>
      </c>
      <c r="D50" s="409">
        <v>89721.3</v>
      </c>
      <c r="E50" s="390">
        <f t="shared" si="1"/>
        <v>89721.3</v>
      </c>
      <c r="F50" s="409">
        <v>300</v>
      </c>
      <c r="G50" s="409">
        <v>178265.55000000002</v>
      </c>
      <c r="H50" s="365">
        <f t="shared" si="0"/>
        <v>178565.55000000002</v>
      </c>
    </row>
    <row r="51" spans="1:8" s="17" customFormat="1">
      <c r="A51" s="180">
        <v>8.6</v>
      </c>
      <c r="B51" s="228" t="s">
        <v>339</v>
      </c>
      <c r="C51" s="409"/>
      <c r="D51" s="409">
        <v>0</v>
      </c>
      <c r="E51" s="390">
        <f t="shared" si="1"/>
        <v>0</v>
      </c>
      <c r="F51" s="409"/>
      <c r="G51" s="409">
        <v>89132.775000000009</v>
      </c>
      <c r="H51" s="365">
        <f t="shared" si="0"/>
        <v>89132.775000000009</v>
      </c>
    </row>
    <row r="52" spans="1:8" s="17" customFormat="1">
      <c r="A52" s="180">
        <v>8.6999999999999993</v>
      </c>
      <c r="B52" s="228" t="s">
        <v>340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330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29" customWidth="1"/>
    <col min="12" max="16384" width="9.140625" style="29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43465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204</v>
      </c>
      <c r="B4" s="130" t="s">
        <v>304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4Q 2018</v>
      </c>
      <c r="D5" s="416" t="str">
        <f>'1. key ratios '!D5</f>
        <v xml:space="preserve"> 3Q 2018</v>
      </c>
    </row>
    <row r="6" spans="1:8" ht="15" customHeight="1">
      <c r="A6" s="39">
        <v>1</v>
      </c>
      <c r="B6" s="321" t="s">
        <v>308</v>
      </c>
      <c r="C6" s="417">
        <f>C7+C9+C10</f>
        <v>271487508.69367123</v>
      </c>
      <c r="D6" s="418">
        <f>D7+D9+D10</f>
        <v>247058743.83978641</v>
      </c>
    </row>
    <row r="7" spans="1:8" ht="15" customHeight="1">
      <c r="A7" s="39">
        <v>1.1000000000000001</v>
      </c>
      <c r="B7" s="321" t="s">
        <v>203</v>
      </c>
      <c r="C7" s="419">
        <v>229164981.97367126</v>
      </c>
      <c r="D7" s="420">
        <v>217646426.25978643</v>
      </c>
    </row>
    <row r="8" spans="1:8">
      <c r="A8" s="39" t="s">
        <v>14</v>
      </c>
      <c r="B8" s="321" t="s">
        <v>202</v>
      </c>
      <c r="C8" s="419"/>
      <c r="D8" s="420"/>
    </row>
    <row r="9" spans="1:8" ht="15" customHeight="1">
      <c r="A9" s="39">
        <v>1.2</v>
      </c>
      <c r="B9" s="322" t="s">
        <v>201</v>
      </c>
      <c r="C9" s="419">
        <v>42322526.719999999</v>
      </c>
      <c r="D9" s="420">
        <v>29412317.579999998</v>
      </c>
    </row>
    <row r="10" spans="1:8" ht="15" customHeight="1">
      <c r="A10" s="39">
        <v>1.3</v>
      </c>
      <c r="B10" s="421" t="s">
        <v>28</v>
      </c>
      <c r="C10" s="419"/>
      <c r="D10" s="420"/>
    </row>
    <row r="11" spans="1:8" ht="15" customHeight="1">
      <c r="A11" s="39">
        <v>2</v>
      </c>
      <c r="B11" s="321" t="s">
        <v>305</v>
      </c>
      <c r="C11" s="422">
        <v>346493.44297001208</v>
      </c>
      <c r="D11" s="420">
        <v>11600665.02812502</v>
      </c>
    </row>
    <row r="12" spans="1:8" ht="15" customHeight="1">
      <c r="A12" s="39">
        <v>3</v>
      </c>
      <c r="B12" s="321" t="s">
        <v>306</v>
      </c>
      <c r="C12" s="419">
        <v>18304008.276357383</v>
      </c>
      <c r="D12" s="420">
        <v>16998978.120573629</v>
      </c>
    </row>
    <row r="13" spans="1:8" ht="15" customHeight="1" thickBot="1">
      <c r="A13" s="41">
        <v>4</v>
      </c>
      <c r="B13" s="42" t="s">
        <v>307</v>
      </c>
      <c r="C13" s="423">
        <f>C6+C11+C12</f>
        <v>290138010.41299868</v>
      </c>
      <c r="D13" s="424">
        <f>D6+D11+D12</f>
        <v>275658386.98848504</v>
      </c>
    </row>
    <row r="14" spans="1:8">
      <c r="A14" s="425"/>
      <c r="B14" s="426"/>
      <c r="C14" s="426"/>
      <c r="D14" s="426"/>
    </row>
    <row r="15" spans="1:8">
      <c r="B15" s="46"/>
    </row>
    <row r="16" spans="1:8">
      <c r="B16" s="46"/>
    </row>
    <row r="17" spans="1:4" ht="11.25">
      <c r="A17" s="29"/>
      <c r="B17" s="29"/>
      <c r="C17" s="29"/>
      <c r="D17" s="29"/>
    </row>
    <row r="18" spans="1:4" ht="11.25">
      <c r="A18" s="29"/>
      <c r="B18" s="29"/>
      <c r="C18" s="29"/>
      <c r="D18" s="29"/>
    </row>
    <row r="19" spans="1:4" ht="11.25">
      <c r="A19" s="29"/>
      <c r="B19" s="29"/>
      <c r="C19" s="29"/>
      <c r="D19" s="29"/>
    </row>
    <row r="20" spans="1:4" ht="11.25">
      <c r="A20" s="29"/>
      <c r="B20" s="29"/>
      <c r="C20" s="29"/>
      <c r="D20" s="29"/>
    </row>
    <row r="21" spans="1:4" ht="11.25">
      <c r="A21" s="29"/>
      <c r="B21" s="29"/>
      <c r="C21" s="29"/>
      <c r="D21" s="29"/>
    </row>
    <row r="22" spans="1:4" ht="11.25">
      <c r="A22" s="29"/>
      <c r="B22" s="29"/>
      <c r="C22" s="29"/>
      <c r="D22" s="29"/>
    </row>
    <row r="23" spans="1:4" ht="11.25">
      <c r="A23" s="29"/>
      <c r="B23" s="29"/>
      <c r="C23" s="29"/>
      <c r="D23" s="29"/>
    </row>
    <row r="24" spans="1:4" ht="11.25">
      <c r="A24" s="29"/>
      <c r="B24" s="29"/>
      <c r="C24" s="29"/>
      <c r="D24" s="29"/>
    </row>
    <row r="25" spans="1:4" ht="11.25">
      <c r="A25" s="29"/>
      <c r="B25" s="29"/>
      <c r="C25" s="29"/>
      <c r="D25" s="29"/>
    </row>
    <row r="26" spans="1:4" ht="11.25">
      <c r="A26" s="29"/>
      <c r="B26" s="29"/>
      <c r="C26" s="29"/>
      <c r="D26" s="29"/>
    </row>
    <row r="27" spans="1:4" ht="11.25">
      <c r="A27" s="29"/>
      <c r="B27" s="29"/>
      <c r="C27" s="29"/>
      <c r="D27" s="29"/>
    </row>
    <row r="28" spans="1:4" ht="11.25">
      <c r="A28" s="29"/>
      <c r="B28" s="29"/>
      <c r="C28" s="29"/>
      <c r="D28" s="29"/>
    </row>
    <row r="29" spans="1:4" ht="11.25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43465</v>
      </c>
    </row>
    <row r="4" spans="1:8" ht="16.5" customHeight="1" thickBot="1">
      <c r="A4" s="47" t="s">
        <v>80</v>
      </c>
      <c r="B4" s="48" t="s">
        <v>274</v>
      </c>
      <c r="C4" s="49"/>
    </row>
    <row r="5" spans="1:8">
      <c r="A5" s="50"/>
      <c r="B5" s="543" t="s">
        <v>81</v>
      </c>
      <c r="C5" s="544"/>
    </row>
    <row r="6" spans="1:8">
      <c r="A6" s="51">
        <v>1</v>
      </c>
      <c r="B6" s="427" t="s">
        <v>448</v>
      </c>
      <c r="C6" s="53"/>
    </row>
    <row r="7" spans="1:8">
      <c r="A7" s="51">
        <v>2</v>
      </c>
      <c r="B7" s="427" t="s">
        <v>450</v>
      </c>
      <c r="C7" s="53"/>
    </row>
    <row r="8" spans="1:8">
      <c r="A8" s="51">
        <v>3</v>
      </c>
      <c r="B8" s="427" t="s">
        <v>464</v>
      </c>
      <c r="C8" s="53"/>
    </row>
    <row r="9" spans="1:8">
      <c r="A9" s="51">
        <v>4</v>
      </c>
      <c r="B9" s="427" t="s">
        <v>459</v>
      </c>
      <c r="C9" s="53"/>
    </row>
    <row r="10" spans="1:8">
      <c r="A10" s="51">
        <v>5</v>
      </c>
      <c r="B10" s="427" t="s">
        <v>460</v>
      </c>
      <c r="C10" s="53"/>
    </row>
    <row r="11" spans="1:8">
      <c r="A11" s="51">
        <v>6</v>
      </c>
      <c r="B11" s="427" t="s">
        <v>465</v>
      </c>
      <c r="C11" s="53"/>
    </row>
    <row r="12" spans="1:8">
      <c r="A12" s="51">
        <v>7</v>
      </c>
      <c r="B12" s="52" t="s">
        <v>449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5"/>
      <c r="C16" s="546"/>
    </row>
    <row r="17" spans="1:3">
      <c r="A17" s="51"/>
      <c r="B17" s="547" t="s">
        <v>82</v>
      </c>
      <c r="C17" s="548"/>
    </row>
    <row r="18" spans="1:3">
      <c r="A18" s="51">
        <v>1</v>
      </c>
      <c r="B18" s="427" t="s">
        <v>444</v>
      </c>
      <c r="C18" s="55"/>
    </row>
    <row r="19" spans="1:3">
      <c r="A19" s="51">
        <v>2</v>
      </c>
      <c r="B19" s="427" t="s">
        <v>451</v>
      </c>
      <c r="C19" s="55"/>
    </row>
    <row r="20" spans="1:3">
      <c r="A20" s="51">
        <v>3</v>
      </c>
      <c r="B20" s="427" t="s">
        <v>462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47" t="s">
        <v>83</v>
      </c>
      <c r="C29" s="548"/>
    </row>
    <row r="30" spans="1:3">
      <c r="A30" s="51">
        <v>1</v>
      </c>
      <c r="B30" s="427" t="s">
        <v>452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47" t="s">
        <v>84</v>
      </c>
      <c r="C32" s="548"/>
    </row>
    <row r="33" spans="1:3">
      <c r="A33" s="51">
        <v>1</v>
      </c>
      <c r="B33" s="52" t="s">
        <v>453</v>
      </c>
      <c r="C33" s="429">
        <v>0.4047</v>
      </c>
    </row>
    <row r="34" spans="1:3" ht="15" thickBot="1">
      <c r="A34" s="57">
        <v>2</v>
      </c>
      <c r="B34" s="58" t="s">
        <v>454</v>
      </c>
      <c r="C34" s="430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7" t="s">
        <v>30</v>
      </c>
      <c r="B1" s="338" t="s">
        <v>442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43465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208</v>
      </c>
      <c r="B4" s="553" t="s">
        <v>354</v>
      </c>
      <c r="C4" s="554"/>
      <c r="D4" s="554"/>
      <c r="E4" s="554"/>
    </row>
    <row r="5" spans="1:7" s="63" customFormat="1" ht="17.45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5" customHeight="1">
      <c r="A6" s="257"/>
      <c r="B6" s="549" t="s">
        <v>361</v>
      </c>
      <c r="C6" s="549" t="s">
        <v>94</v>
      </c>
      <c r="D6" s="551" t="s">
        <v>207</v>
      </c>
      <c r="E6" s="552"/>
      <c r="G6" s="5"/>
    </row>
    <row r="7" spans="1:7" s="17" customFormat="1" ht="99.6" customHeight="1">
      <c r="A7" s="257"/>
      <c r="B7" s="550"/>
      <c r="C7" s="549"/>
      <c r="D7" s="294" t="s">
        <v>206</v>
      </c>
      <c r="E7" s="295" t="s">
        <v>362</v>
      </c>
      <c r="G7" s="5"/>
    </row>
    <row r="8" spans="1:7">
      <c r="A8" s="258">
        <v>1</v>
      </c>
      <c r="B8" s="296" t="s">
        <v>35</v>
      </c>
      <c r="C8" s="297">
        <f>'2.RC'!E7</f>
        <v>5109461.49</v>
      </c>
      <c r="D8" s="297"/>
      <c r="E8" s="298">
        <f>C8-D8</f>
        <v>5109461.49</v>
      </c>
      <c r="F8" s="17"/>
    </row>
    <row r="9" spans="1:7">
      <c r="A9" s="258">
        <v>2</v>
      </c>
      <c r="B9" s="296" t="s">
        <v>36</v>
      </c>
      <c r="C9" s="297">
        <f>'2.RC'!E8</f>
        <v>37437481.490000002</v>
      </c>
      <c r="D9" s="297"/>
      <c r="E9" s="298">
        <f t="shared" ref="E9:E20" si="0">C9-D9</f>
        <v>37437481.490000002</v>
      </c>
      <c r="F9" s="17"/>
    </row>
    <row r="10" spans="1:7">
      <c r="A10" s="258">
        <v>3</v>
      </c>
      <c r="B10" s="296" t="s">
        <v>37</v>
      </c>
      <c r="C10" s="297">
        <f>'2.RC'!E9</f>
        <v>19373315.468148999</v>
      </c>
      <c r="D10" s="297"/>
      <c r="E10" s="298">
        <f t="shared" si="0"/>
        <v>19373315.468148999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33229056.524549056</v>
      </c>
      <c r="D12" s="297"/>
      <c r="E12" s="298">
        <f t="shared" si="0"/>
        <v>33229056.524549056</v>
      </c>
      <c r="F12" s="17"/>
    </row>
    <row r="13" spans="1:7">
      <c r="A13" s="258">
        <v>6.1</v>
      </c>
      <c r="B13" s="299" t="s">
        <v>40</v>
      </c>
      <c r="C13" s="300">
        <f>'2.RC'!E12</f>
        <v>153290585.76999998</v>
      </c>
      <c r="D13" s="297"/>
      <c r="E13" s="298">
        <f t="shared" si="0"/>
        <v>153290585.76999998</v>
      </c>
      <c r="F13" s="17"/>
    </row>
    <row r="14" spans="1:7">
      <c r="A14" s="258">
        <v>6.2</v>
      </c>
      <c r="B14" s="301" t="s">
        <v>41</v>
      </c>
      <c r="C14" s="300">
        <f>'2.RC'!E13</f>
        <v>-5587252.038399999</v>
      </c>
      <c r="D14" s="297"/>
      <c r="E14" s="298">
        <f t="shared" si="0"/>
        <v>-5587252.038399999</v>
      </c>
      <c r="F14" s="17"/>
    </row>
    <row r="15" spans="1:7">
      <c r="A15" s="258">
        <v>6</v>
      </c>
      <c r="B15" s="296" t="s">
        <v>42</v>
      </c>
      <c r="C15" s="297">
        <f>'2.RC'!E14</f>
        <v>147703333.73159999</v>
      </c>
      <c r="D15" s="297"/>
      <c r="E15" s="298">
        <f t="shared" si="0"/>
        <v>147703333.73159999</v>
      </c>
      <c r="F15" s="17"/>
    </row>
    <row r="16" spans="1:7">
      <c r="A16" s="258">
        <v>7</v>
      </c>
      <c r="B16" s="296" t="s">
        <v>43</v>
      </c>
      <c r="C16" s="297">
        <f>'2.RC'!E15</f>
        <v>1441300.169964001</v>
      </c>
      <c r="D16" s="297"/>
      <c r="E16" s="298">
        <f t="shared" si="0"/>
        <v>1441300.169964001</v>
      </c>
      <c r="F16" s="17"/>
    </row>
    <row r="17" spans="1:7">
      <c r="A17" s="258">
        <v>8</v>
      </c>
      <c r="B17" s="296" t="s">
        <v>205</v>
      </c>
      <c r="C17" s="297">
        <f>'2.RC'!E16</f>
        <v>0</v>
      </c>
      <c r="D17" s="297"/>
      <c r="E17" s="298">
        <f t="shared" si="0"/>
        <v>0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1419828.9299999997</v>
      </c>
      <c r="D19" s="297">
        <v>220473.06999999995</v>
      </c>
      <c r="E19" s="298">
        <f t="shared" si="0"/>
        <v>1199355.8599999999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14451405.232944105</v>
      </c>
      <c r="D20" s="297"/>
      <c r="E20" s="298">
        <f t="shared" si="0"/>
        <v>14451405.232944105</v>
      </c>
      <c r="F20" s="17"/>
    </row>
    <row r="21" spans="1:7" ht="26.25" thickBot="1">
      <c r="A21" s="147"/>
      <c r="B21" s="260" t="s">
        <v>364</v>
      </c>
      <c r="C21" s="199">
        <f>SUM(C8:C12, C15:C20)</f>
        <v>260165183.03720617</v>
      </c>
      <c r="D21" s="199">
        <f>SUM(D8:D12, D15:D20)</f>
        <v>220473.06999999995</v>
      </c>
      <c r="E21" s="302">
        <f>SUM(E8:E12, E15:E20)</f>
        <v>259944709.96720618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337" t="s">
        <v>30</v>
      </c>
      <c r="B1" s="338" t="s">
        <v>442</v>
      </c>
    </row>
    <row r="2" spans="1:6" s="59" customFormat="1" ht="15.75" customHeight="1">
      <c r="A2" s="337" t="s">
        <v>31</v>
      </c>
      <c r="B2" s="339">
        <f>'1. key ratios '!B2</f>
        <v>43465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5" thickBot="1">
      <c r="A4" s="59" t="s">
        <v>85</v>
      </c>
      <c r="B4" s="261" t="s">
        <v>341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363</v>
      </c>
      <c r="C5" s="431">
        <f>'7. LI1 '!E21</f>
        <v>259944709.96720618</v>
      </c>
    </row>
    <row r="6" spans="1:6" s="205" customFormat="1">
      <c r="A6" s="67">
        <v>2.1</v>
      </c>
      <c r="B6" s="201" t="s">
        <v>342</v>
      </c>
      <c r="C6" s="139">
        <f>'4. Off-Balance'!E8+'4. Off-Balance'!E10</f>
        <v>42820314.160000004</v>
      </c>
    </row>
    <row r="7" spans="1:6" s="45" customFormat="1" outlineLevel="1">
      <c r="A7" s="39">
        <v>2.2000000000000002</v>
      </c>
      <c r="B7" s="40" t="s">
        <v>343</v>
      </c>
      <c r="C7" s="206"/>
    </row>
    <row r="8" spans="1:6" s="45" customFormat="1" ht="25.5">
      <c r="A8" s="39">
        <v>3</v>
      </c>
      <c r="B8" s="202" t="s">
        <v>344</v>
      </c>
      <c r="C8" s="432">
        <f>SUM(C5:C7)</f>
        <v>302765024.12720621</v>
      </c>
    </row>
    <row r="9" spans="1:6" s="205" customFormat="1">
      <c r="A9" s="67">
        <v>4</v>
      </c>
      <c r="B9" s="69" t="s">
        <v>88</v>
      </c>
      <c r="C9" s="139">
        <v>3234262.38474152</v>
      </c>
    </row>
    <row r="10" spans="1:6" s="45" customFormat="1" outlineLevel="1">
      <c r="A10" s="39">
        <v>5.0999999999999996</v>
      </c>
      <c r="B10" s="40" t="s">
        <v>345</v>
      </c>
      <c r="C10" s="434">
        <v>-44425.440000005001</v>
      </c>
    </row>
    <row r="11" spans="1:6" s="45" customFormat="1" outlineLevel="1">
      <c r="A11" s="39">
        <v>5.2</v>
      </c>
      <c r="B11" s="40" t="s">
        <v>346</v>
      </c>
      <c r="C11" s="206"/>
    </row>
    <row r="12" spans="1:6" s="45" customFormat="1">
      <c r="A12" s="39">
        <v>6</v>
      </c>
      <c r="B12" s="200" t="s">
        <v>87</v>
      </c>
      <c r="C12" s="206"/>
    </row>
    <row r="13" spans="1:6" s="45" customFormat="1" ht="13.5" thickBot="1">
      <c r="A13" s="41">
        <v>7</v>
      </c>
      <c r="B13" s="203" t="s">
        <v>292</v>
      </c>
      <c r="C13" s="433">
        <f>SUM(C8:C12)</f>
        <v>305954861.07194775</v>
      </c>
    </row>
    <row r="15" spans="1:6">
      <c r="A15" s="221"/>
      <c r="B15" s="221"/>
    </row>
    <row r="16" spans="1:6">
      <c r="A16" s="221"/>
      <c r="B16" s="221"/>
    </row>
    <row r="17" spans="1:5" ht="15">
      <c r="A17" s="216"/>
      <c r="B17" s="217"/>
      <c r="C17" s="221"/>
      <c r="D17" s="221"/>
      <c r="E17" s="221"/>
    </row>
    <row r="18" spans="1:5" ht="15">
      <c r="A18" s="222"/>
      <c r="B18" s="223"/>
      <c r="C18" s="221"/>
      <c r="D18" s="221"/>
      <c r="E18" s="221"/>
    </row>
    <row r="19" spans="1:5">
      <c r="A19" s="224"/>
      <c r="B19" s="218"/>
      <c r="C19" s="221"/>
      <c r="D19" s="221"/>
      <c r="E19" s="221"/>
    </row>
    <row r="20" spans="1:5">
      <c r="A20" s="225"/>
      <c r="B20" s="219"/>
      <c r="C20" s="221"/>
      <c r="D20" s="221"/>
      <c r="E20" s="221"/>
    </row>
    <row r="21" spans="1:5">
      <c r="A21" s="225"/>
      <c r="B21" s="223"/>
      <c r="C21" s="221"/>
      <c r="D21" s="221"/>
      <c r="E21" s="221"/>
    </row>
    <row r="22" spans="1:5">
      <c r="A22" s="224"/>
      <c r="B22" s="220"/>
      <c r="C22" s="221"/>
      <c r="D22" s="221"/>
      <c r="E22" s="221"/>
    </row>
    <row r="23" spans="1:5">
      <c r="A23" s="225"/>
      <c r="B23" s="219"/>
      <c r="C23" s="221"/>
      <c r="D23" s="221"/>
      <c r="E23" s="221"/>
    </row>
    <row r="24" spans="1:5">
      <c r="A24" s="225"/>
      <c r="B24" s="219"/>
      <c r="C24" s="221"/>
      <c r="D24" s="221"/>
      <c r="E24" s="221"/>
    </row>
    <row r="25" spans="1:5">
      <c r="A25" s="225"/>
      <c r="B25" s="226"/>
      <c r="C25" s="221"/>
      <c r="D25" s="221"/>
      <c r="E25" s="221"/>
    </row>
    <row r="26" spans="1:5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CR1H4fydwhYr0Joh8ra/6uOls8g=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sbaSpDYyB57UByzRCeBsqKfA7N0=</DigestValue>
    </Reference>
  </SignedInfo>
  <SignatureValue>hrY5u2PcynwENDSGM3tPiY9OzKdgJQaqKpew1DB4j4mUuCTS5ABE7tRQcK4ySUGCduKXNjlr9Y23
24wqT11be/Dra4w1SlEyMRyy3uszP3EVbe80BtVE28wGUn2SQtPh8b4e85/Mp94vR+jmo3kEjybU
gHgkQUa87R2UivoXWY+ogLO3oTCQv+BKiPNXtdkOL5uYuylyvPPzz+UJsme34bP5NsEUUnK8vZO5
N8Q6eN0eCN8FrDZwPUzBt/Brz5u99w19mLo12dFCSGV4uPOh93+F17TygSsPxcGtPsIm37+Q6rXf
G7O43EalvZujRYrjAoSFka6oEXoqILsIW/VY9g==</SignatureValue>
  <KeyInfo>
    <X509Data>
      <X509Certificate>MIIGODCCBSCgAwIBAgIKZheImAACAAAeGjANBgkqhkiG9w0BAQsFADBKMRIwEAYKCZImiZPyLGQB
GRYCZ2UxEzARBgoJkiaJk/IsZAEZFgNuYmcxHzAdBgNVBAMTFk5CRyBDbGFzcyAyIElOVCBTdWIg
Q0EwHhcNMTcwMzE1MDkyNTE5WhcNMTkwMzE1MDkyNTE5WjA2MRswGQYDVQQKExJKU0MgSXNiYW5r
IEdlb3JnaWExFzAVBgNVBAMTDkJJUyAtIE96YW4gR3VyMIIBIjANBgkqhkiG9w0BAQEFAAOCAQ8A
MIIBCgKCAQEA0yWO1VpujVwBzStttKj9um9Xu0MrlWe+F34rXK+mxDWmD9o/Ui2kmqYKBp/6Zso/
IJKVqHID/Ce+FMfayOfuM8xUekAD3KTRB5bvqgaw6ZP6vXSdWFUOJ0tGWe3uKING2Gm93WctC9Ab
pb0eYZDHwOhjzNG3pCbCdLrYg5wZBZHGahGnxwaqfkdIHwVPrtl+YgUXm+y6MVlcKCMkwX3Ricrh
0vK2vTxIBAt9VTj/kqlZfILXE6QJhG07rPq8uJx49fCGPoF21hlE4mMXVQACyK4BqOVbLsdhLY3j
KEC84FlDxMKoZkIavDZAl2pwRYsVqne5QmMdhteg+FRQ/4HpZwIDAQABo4IDMjCCAy4wPAYJKwYB
BAGCNxUHBC8wLQYlKwYBBAGCNxUI5rJgg431RIaBmQmDuKFKg76EcQSDxJEzhIOIXQIBZAIBHTAd
BgNVHSUEFjAUBggrBgEFBQcDAgYIKwYBBQUHAwQwCwYDVR0PBAQDAgeAMCcGCSsGAQQBgjcVCgQa
MBgwCgYIKwYBBQUHAwIwCgYIKwYBBQUHAwQwHQYDVR0OBBYEFCCGVDZui2isHYYouSFDxVeN9OxV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Q0EoMikuY3J0MA0GCSqGSIb3DQEBCwUAA4IBAQAT8BGeaBacUj5lpV5TyUqqO8xRpjdFNvL3BDJX
oRuEFAPmLNDaNEfzznR66M0cB66WPhTJR1PA31AHaEsKm3ijYzaHH2YetUAs48yDHTvaLv3+ifja
7W4F+0EGUCErOhoX/cuWFbteXPsDrFuDew9T/6j9iUTzWxHOmtz+QVFq+XS40TosAXfhWx5z9F/B
nF0l02aUf1tMLAfbsHpos4GUMA1q4uMUioFTC+zP8vEfZLZjTrqFvTVXmTsFmV4yQi3y3UZD4/Q/
d3u2ZXmjUto1rTvtBtG+qvAmUvsselhriU1U8iIHRmAiWAs8ytqZBKsUahFAXZZTM9LyAPDRR6nW
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udWIqR9lnOq2P2Trm9MSm1lNrTA=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pD4sT3zEiVXrHr3Ru4aw+Rm45lg=</DigestValue>
      </Reference>
      <Reference URI="/xl/worksheets/sheet9.xml?ContentType=application/vnd.openxmlformats-officedocument.spreadsheetml.worksheet+xml">
        <DigestMethod Algorithm="http://www.w3.org/2000/09/xmldsig#sha1"/>
        <DigestValue>F0DB1FLwMIVtL4Mdivpw0Jy7M40=</DigestValue>
      </Reference>
      <Reference URI="/xl/worksheets/sheet5.xml?ContentType=application/vnd.openxmlformats-officedocument.spreadsheetml.worksheet+xml">
        <DigestMethod Algorithm="http://www.w3.org/2000/09/xmldsig#sha1"/>
        <DigestValue>6XKZ54gJxx401PAnm0mhyEeSBoM=</DigestValue>
      </Reference>
      <Reference URI="/xl/worksheets/sheet8.xml?ContentType=application/vnd.openxmlformats-officedocument.spreadsheetml.worksheet+xml">
        <DigestMethod Algorithm="http://www.w3.org/2000/09/xmldsig#sha1"/>
        <DigestValue>ZyS9YzVAH7IXaIFfcResRwjrbAo=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1qN7aCn1ZxO/KUNvvrfRn0N3gU8=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6lb2d/crTeYP7Mj9tEverJrajs0=</DigestValue>
      </Reference>
      <Reference URI="/xl/worksheets/sheet10.xml?ContentType=application/vnd.openxmlformats-officedocument.spreadsheetml.worksheet+xml">
        <DigestMethod Algorithm="http://www.w3.org/2000/09/xmldsig#sha1"/>
        <DigestValue>s8cZ2Orpx2cl2HcXKSBJskyVc/A=</DigestValue>
      </Reference>
      <Reference URI="/xl/styles.xml?ContentType=application/vnd.openxmlformats-officedocument.spreadsheetml.styles+xml">
        <DigestMethod Algorithm="http://www.w3.org/2000/09/xmldsig#sha1"/>
        <DigestValue>3Vc+7B5US8gvgeAdVbpFEm2tEhc=</DigestValue>
      </Reference>
      <Reference URI="/xl/sharedStrings.xml?ContentType=application/vnd.openxmlformats-officedocument.spreadsheetml.sharedStrings+xml">
        <DigestMethod Algorithm="http://www.w3.org/2000/09/xmldsig#sha1"/>
        <DigestValue>ms+jVnLE2c2sJp53zHiuATc8IJw=</DigestValue>
      </Reference>
      <Reference URI="/xl/worksheets/sheet3.xml?ContentType=application/vnd.openxmlformats-officedocument.spreadsheetml.worksheet+xml">
        <DigestMethod Algorithm="http://www.w3.org/2000/09/xmldsig#sha1"/>
        <DigestValue>wnxDzsaFRIeETash8JqR3S0skf0=</DigestValue>
      </Reference>
      <Reference URI="/xl/worksheets/sheet11.xml?ContentType=application/vnd.openxmlformats-officedocument.spreadsheetml.worksheet+xml">
        <DigestMethod Algorithm="http://www.w3.org/2000/09/xmldsig#sha1"/>
        <DigestValue>EU4T6lf3HPyMrFmRxS9MueXhMBs=</DigestValue>
      </Reference>
      <Reference URI="/xl/worksheets/sheet18.xml?ContentType=application/vnd.openxmlformats-officedocument.spreadsheetml.worksheet+xml">
        <DigestMethod Algorithm="http://www.w3.org/2000/09/xmldsig#sha1"/>
        <DigestValue>jOy2T+cScbtW2aRIRoybsUwigxc=</DigestValue>
      </Reference>
      <Reference URI="/xl/worksheets/sheet16.xml?ContentType=application/vnd.openxmlformats-officedocument.spreadsheetml.worksheet+xml">
        <DigestMethod Algorithm="http://www.w3.org/2000/09/xmldsig#sha1"/>
        <DigestValue>kS1nX4mL9TIKkNXDrwZhnquuHBE=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hudtC5EqR+Q0YSwtVXa7qsPRIQM=</DigestValue>
      </Reference>
      <Reference URI="/xl/worksheets/sheet2.xml?ContentType=application/vnd.openxmlformats-officedocument.spreadsheetml.worksheet+xml">
        <DigestMethod Algorithm="http://www.w3.org/2000/09/xmldsig#sha1"/>
        <DigestValue>FalVA8+4HIuQTXRQLeTLZU49AyE=</DigestValue>
      </Reference>
      <Reference URI="/xl/worksheets/sheet12.xml?ContentType=application/vnd.openxmlformats-officedocument.spreadsheetml.worksheet+xml">
        <DigestMethod Algorithm="http://www.w3.org/2000/09/xmldsig#sha1"/>
        <DigestValue>me5l70W+KEE0oq/R78VeXdpbFlk=</DigestValue>
      </Reference>
      <Reference URI="/xl/worksheets/sheet4.xml?ContentType=application/vnd.openxmlformats-officedocument.spreadsheetml.worksheet+xml">
        <DigestMethod Algorithm="http://www.w3.org/2000/09/xmldsig#sha1"/>
        <DigestValue>vs0j4mLuZQik9j+c093Fagz7yds=</DigestValue>
      </Reference>
      <Reference URI="/xl/worksheets/sheet15.xml?ContentType=application/vnd.openxmlformats-officedocument.spreadsheetml.worksheet+xml">
        <DigestMethod Algorithm="http://www.w3.org/2000/09/xmldsig#sha1"/>
        <DigestValue>syzrReiTfDflZBnX3r08KjNtA+A=</DigestValue>
      </Reference>
      <Reference URI="/xl/worksheets/sheet14.xml?ContentType=application/vnd.openxmlformats-officedocument.spreadsheetml.worksheet+xml">
        <DigestMethod Algorithm="http://www.w3.org/2000/09/xmldsig#sha1"/>
        <DigestValue>kvO1CH0SOqjGKoxgbPBTtI8hU28=</DigestValue>
      </Reference>
      <Reference URI="/xl/workbook.xml?ContentType=application/vnd.openxmlformats-officedocument.spreadsheetml.sheet.main+xml">
        <DigestMethod Algorithm="http://www.w3.org/2000/09/xmldsig#sha1"/>
        <DigestValue>3KD5axH0Nl0F0zQh7UyLesRQtFE=</DigestValue>
      </Reference>
      <Reference URI="/xl/worksheets/sheet13.xml?ContentType=application/vnd.openxmlformats-officedocument.spreadsheetml.worksheet+xml">
        <DigestMethod Algorithm="http://www.w3.org/2000/09/xmldsig#sha1"/>
        <DigestValue>XcsdXpM93xkDybNCBwoUBW2IV/g=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2019-01-21T10:52:42Z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2019-01-21T10:52:42Z</xd:SigningTime>
          <xd:SigningCertificate>
            <xd:Cert>
              <xd:CertDigest>
                <DigestMethod Algorithm="http://www.w3.org/2000/09/xmldsig#sha1"/>
                <DigestValue>HBqITbk2Z7lxE61ReaqUCiz9V4w=</DigestValue>
              </xd:CertDigest>
              <xd:IssuerSerial>
                <X509IssuerName>CN=NBG Class 2 INT Sub CA, DC=nbg, DC=ge</X509IssuerName>
                <X509SerialNumber>482115498983393339645466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YFxb85JjDhyprZlmGPtG3GuJVL8=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EvRu0lU+T3WqeM1V00Qn9UFwBaI=</DigestValue>
    </Reference>
  </SignedInfo>
  <SignatureValue>uFzS7Znft5VdNhj0fhHDLdXKDf2hGkxYjZKKpPXFT4GWlDQcfxD4bSb/s/gi5K8EtnHL5XyGNQGQ
B/ikzK21NaEZ+CXBTCC5Jvz7I5fo8R7dQ3GgrFNxrZdftbFADbx0AbuFuZ12l1aaa0U3Dh4iZe1i
+d3UBrZFE/fuO0wETamvxeuLhzlQf+jcf0ThLxki5895XP63RxFJnGj5IWmsRffSF3HEjHveb8EF
uL21BTJvX8yasU1cZNH2FPY4XFpBP97KcSZviW3Hgjv4nE8JOehyURGXooxIQAc4nXsGJNKQ2Rvu
jHNDRTl7wnJ/1pQ5eg1ekHUdUMRvNP5hGIvhrQ==</SignatureValue>
  <KeyInfo>
    <X509Data>
      <X509Certificate>MIIGPjCCBSagAwIBAgIKYUdLOQACAAAc/TANBgkqhkiG9w0BAQsFADBKMRIwEAYKCZImiZPyLGQB
GRYCZ2UxEzARBgoJkiaJk/IsZAEZFgNuYmcxHzAdBgNVBAMTFk5CRyBDbGFzcyAyIElOVCBTdWIg
Q0EwHhcNMTcwMjE2MDg1ODA2WhcNMTkwMjE2MDg1ODA2WjA8MRswGQYDVQQKExJKU0MgSXNiYW5r
IEdlb3JnaWExHTAbBgNVBAMTFEJJUyAtIFVjaGEgU2FyYWxpZHplMIIBIjANBgkqhkiG9w0BAQEF
AAOCAQ8AMIIBCgKCAQEA4qXmr0vzY9SlWAMYUsuOIAekVVLwfRBulGgJlGhUF0zSFYvbEq9LNaDW
6+nCmzCYwKz9x3+41cKh38QEuFmc9CvjP3s7YvnQbelUgPaam1Mni2PPTlmTyYFWWgSAjnVeTrcr
7/2yNDyxW5YlzqeGjuZGkuC3gFnBBoFBICXT4u2sRaTRlXF/E0ABdJF7fenzKHKqGvi6LuuF3t0x
OaG+0DInDG7sU7oEC5+CaZde7BHbjrc4IYqzjAFfE9oXyyAlE9OArYeWjUe+L2elMqry6FXms9NG
cGaw+OBXDq8KkoWqQcKc857ExAw12pZP4mJoJJ/6NS/hUyP38wy31nkmFQIDAQABo4IDMjCCAy4w
PAYJKwYBBAGCNxUHBC8wLQYlKwYBBAGCNxUI5rJgg431RIaBmQmDuKFKg76EcQSDxJEzhIOIXQIB
ZAIBHTAdBgNVHSUEFjAUBggrBgEFBQcDAgYIKwYBBQUHAwQwCwYDVR0PBAQDAgeAMCcGCSsGAQQB
gjcVCgQaMBgwCgYIKwYBBQUHAwIwCgYIKwYBBQUHAwQwHQYDVR0OBBYEFIqpim4Emt0pXFIuD3ME
zfIhnZTaMB8GA1UdIwQYMBaAFMMu0i/wTC8ZwieC/PYurGqwSc/BMIIBJQYDVR0fBIIBHDCCARgw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U3ViJTIwQ0EoMikuY3J0MA0GCSqGSIb3DQEBCwUAA4IBAQAsBk0Lnxh+wW5yeWkeGxn00XjTYYal
LVjXlQ/QtJ7I9/RIp/oRcUf3Da6kQrQUNgzRNUds2jlofn+bxwqmasmHfPzncfyoUMNDZjDV10qa
dBuM/9MOh9wcEe0zifhW0a48K5v0GrpFbFUptqOxJrs9vMPxzCZ/vyBlLNhZQp4Jpma8ynN9bcxF
N0LW+qsFNXDrfgFSFJsy82DXWfTImpjytqSP2gZf4AVmzBZYyCgtV670tlI71yAa+vsBa6dzbEaM
h1qVA6FeyBQ5+AmJntz23/chjvsCUgltcek9l67wrJuYCUGQnt4+HY2OLLinGgA9xCPx+h26CaFc
XMcwoUCL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udWIqR9lnOq2P2Trm9MSm1lNrTA=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pD4sT3zEiVXrHr3Ru4aw+Rm45lg=</DigestValue>
      </Reference>
      <Reference URI="/xl/worksheets/sheet9.xml?ContentType=application/vnd.openxmlformats-officedocument.spreadsheetml.worksheet+xml">
        <DigestMethod Algorithm="http://www.w3.org/2000/09/xmldsig#sha1"/>
        <DigestValue>F0DB1FLwMIVtL4Mdivpw0Jy7M40=</DigestValue>
      </Reference>
      <Reference URI="/xl/worksheets/sheet5.xml?ContentType=application/vnd.openxmlformats-officedocument.spreadsheetml.worksheet+xml">
        <DigestMethod Algorithm="http://www.w3.org/2000/09/xmldsig#sha1"/>
        <DigestValue>6XKZ54gJxx401PAnm0mhyEeSBoM=</DigestValue>
      </Reference>
      <Reference URI="/xl/worksheets/sheet8.xml?ContentType=application/vnd.openxmlformats-officedocument.spreadsheetml.worksheet+xml">
        <DigestMethod Algorithm="http://www.w3.org/2000/09/xmldsig#sha1"/>
        <DigestValue>ZyS9YzVAH7IXaIFfcResRwjrbAo=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1qN7aCn1ZxO/KUNvvrfRn0N3gU8=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6lb2d/crTeYP7Mj9tEverJrajs0=</DigestValue>
      </Reference>
      <Reference URI="/xl/worksheets/sheet10.xml?ContentType=application/vnd.openxmlformats-officedocument.spreadsheetml.worksheet+xml">
        <DigestMethod Algorithm="http://www.w3.org/2000/09/xmldsig#sha1"/>
        <DigestValue>s8cZ2Orpx2cl2HcXKSBJskyVc/A=</DigestValue>
      </Reference>
      <Reference URI="/xl/styles.xml?ContentType=application/vnd.openxmlformats-officedocument.spreadsheetml.styles+xml">
        <DigestMethod Algorithm="http://www.w3.org/2000/09/xmldsig#sha1"/>
        <DigestValue>3Vc+7B5US8gvgeAdVbpFEm2tEhc=</DigestValue>
      </Reference>
      <Reference URI="/xl/sharedStrings.xml?ContentType=application/vnd.openxmlformats-officedocument.spreadsheetml.sharedStrings+xml">
        <DigestMethod Algorithm="http://www.w3.org/2000/09/xmldsig#sha1"/>
        <DigestValue>ms+jVnLE2c2sJp53zHiuATc8IJw=</DigestValue>
      </Reference>
      <Reference URI="/xl/worksheets/sheet3.xml?ContentType=application/vnd.openxmlformats-officedocument.spreadsheetml.worksheet+xml">
        <DigestMethod Algorithm="http://www.w3.org/2000/09/xmldsig#sha1"/>
        <DigestValue>wnxDzsaFRIeETash8JqR3S0skf0=</DigestValue>
      </Reference>
      <Reference URI="/xl/worksheets/sheet11.xml?ContentType=application/vnd.openxmlformats-officedocument.spreadsheetml.worksheet+xml">
        <DigestMethod Algorithm="http://www.w3.org/2000/09/xmldsig#sha1"/>
        <DigestValue>EU4T6lf3HPyMrFmRxS9MueXhMBs=</DigestValue>
      </Reference>
      <Reference URI="/xl/worksheets/sheet18.xml?ContentType=application/vnd.openxmlformats-officedocument.spreadsheetml.worksheet+xml">
        <DigestMethod Algorithm="http://www.w3.org/2000/09/xmldsig#sha1"/>
        <DigestValue>jOy2T+cScbtW2aRIRoybsUwigxc=</DigestValue>
      </Reference>
      <Reference URI="/xl/worksheets/sheet16.xml?ContentType=application/vnd.openxmlformats-officedocument.spreadsheetml.worksheet+xml">
        <DigestMethod Algorithm="http://www.w3.org/2000/09/xmldsig#sha1"/>
        <DigestValue>kS1nX4mL9TIKkNXDrwZhnquuHBE=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hudtC5EqR+Q0YSwtVXa7qsPRIQM=</DigestValue>
      </Reference>
      <Reference URI="/xl/worksheets/sheet2.xml?ContentType=application/vnd.openxmlformats-officedocument.spreadsheetml.worksheet+xml">
        <DigestMethod Algorithm="http://www.w3.org/2000/09/xmldsig#sha1"/>
        <DigestValue>FalVA8+4HIuQTXRQLeTLZU49AyE=</DigestValue>
      </Reference>
      <Reference URI="/xl/worksheets/sheet12.xml?ContentType=application/vnd.openxmlformats-officedocument.spreadsheetml.worksheet+xml">
        <DigestMethod Algorithm="http://www.w3.org/2000/09/xmldsig#sha1"/>
        <DigestValue>me5l70W+KEE0oq/R78VeXdpbFlk=</DigestValue>
      </Reference>
      <Reference URI="/xl/worksheets/sheet4.xml?ContentType=application/vnd.openxmlformats-officedocument.spreadsheetml.worksheet+xml">
        <DigestMethod Algorithm="http://www.w3.org/2000/09/xmldsig#sha1"/>
        <DigestValue>vs0j4mLuZQik9j+c093Fagz7yds=</DigestValue>
      </Reference>
      <Reference URI="/xl/worksheets/sheet15.xml?ContentType=application/vnd.openxmlformats-officedocument.spreadsheetml.worksheet+xml">
        <DigestMethod Algorithm="http://www.w3.org/2000/09/xmldsig#sha1"/>
        <DigestValue>syzrReiTfDflZBnX3r08KjNtA+A=</DigestValue>
      </Reference>
      <Reference URI="/xl/worksheets/sheet14.xml?ContentType=application/vnd.openxmlformats-officedocument.spreadsheetml.worksheet+xml">
        <DigestMethod Algorithm="http://www.w3.org/2000/09/xmldsig#sha1"/>
        <DigestValue>kvO1CH0SOqjGKoxgbPBTtI8hU28=</DigestValue>
      </Reference>
      <Reference URI="/xl/workbook.xml?ContentType=application/vnd.openxmlformats-officedocument.spreadsheetml.sheet.main+xml">
        <DigestMethod Algorithm="http://www.w3.org/2000/09/xmldsig#sha1"/>
        <DigestValue>3KD5axH0Nl0F0zQh7UyLesRQtFE=</DigestValue>
      </Reference>
      <Reference URI="/xl/worksheets/sheet13.xml?ContentType=application/vnd.openxmlformats-officedocument.spreadsheetml.worksheet+xml">
        <DigestMethod Algorithm="http://www.w3.org/2000/09/xmldsig#sha1"/>
        <DigestValue>XcsdXpM93xkDybNCBwoUBW2IV/g=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2019-01-21T10:53:30Z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2019-01-21T10:53:30Z</xd:SigningTime>
          <xd:SigningCertificate>
            <xd:Cert>
              <xd:CertDigest>
                <DigestMethod Algorithm="http://www.w3.org/2000/09/xmldsig#sha1"/>
                <DigestValue>As+OQ8RpwZbrgIkrx4aQnzKdR3Y=</DigestValue>
              </xd:CertDigest>
              <xd:IssuerSerial>
                <X509IssuerName>CN=NBG Class 2 INT Sub CA, DC=nbg, DC=ge</X509IssuerName>
                <X509SerialNumber>459384688031224070937853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2019-01-21T10:52:29Z</dcterms:modified>
</cp:coreProperties>
</file>