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995" windowWidth="23250" windowHeight="6930" tabRatio="76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 calcOnSave="0"/>
</workbook>
</file>

<file path=xl/calcChain.xml><?xml version="1.0" encoding="utf-8"?>
<calcChain xmlns="http://schemas.openxmlformats.org/spreadsheetml/2006/main">
  <c r="C20" i="83" l="1"/>
  <c r="D20" i="83"/>
  <c r="C22" i="90" l="1"/>
  <c r="C46" i="89"/>
  <c r="D32" i="75" l="1"/>
  <c r="G32" i="75"/>
  <c r="D13" i="91" l="1"/>
  <c r="C29" i="95" l="1"/>
  <c r="B2" i="95" l="1"/>
  <c r="C26" i="95"/>
  <c r="C18" i="95"/>
  <c r="C21" i="94" l="1"/>
  <c r="B17" i="84" s="1"/>
  <c r="C20" i="94"/>
  <c r="B16" i="84" s="1"/>
  <c r="C19" i="94"/>
  <c r="B15" i="84" s="1"/>
  <c r="F40" i="83" l="1"/>
  <c r="C40" i="83"/>
  <c r="C15" i="89" l="1"/>
  <c r="C7" i="95" s="1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K10" i="93"/>
  <c r="H21" i="93"/>
  <c r="F23" i="93"/>
  <c r="H23" i="93" s="1"/>
  <c r="H19" i="93"/>
  <c r="H11" i="93"/>
  <c r="G16" i="93"/>
  <c r="H10" i="93"/>
  <c r="E21" i="93"/>
  <c r="D16" i="93"/>
  <c r="E19" i="93"/>
  <c r="E11" i="93"/>
  <c r="E10" i="93"/>
  <c r="C5" i="86"/>
  <c r="G24" i="93" l="1"/>
  <c r="G25" i="93" s="1"/>
  <c r="J24" i="93"/>
  <c r="J25" i="93" s="1"/>
  <c r="I16" i="93"/>
  <c r="I24" i="93" s="1"/>
  <c r="F16" i="93"/>
  <c r="F24" i="93" s="1"/>
  <c r="C16" i="93"/>
  <c r="E16" i="93" s="1"/>
  <c r="K16" i="93" l="1"/>
  <c r="H24" i="93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S9" i="90"/>
  <c r="F9" i="91" s="1"/>
  <c r="S10" i="90"/>
  <c r="F10" i="91" s="1"/>
  <c r="S11" i="90"/>
  <c r="F11" i="91" s="1"/>
  <c r="S12" i="90"/>
  <c r="F12" i="91" s="1"/>
  <c r="S13" i="90"/>
  <c r="F13" i="91" s="1"/>
  <c r="S14" i="90"/>
  <c r="F14" i="91" s="1"/>
  <c r="S15" i="90"/>
  <c r="F15" i="91" s="1"/>
  <c r="S16" i="90"/>
  <c r="F16" i="91" s="1"/>
  <c r="S17" i="90"/>
  <c r="F17" i="91" s="1"/>
  <c r="S18" i="90"/>
  <c r="F18" i="91" s="1"/>
  <c r="S19" i="90"/>
  <c r="F19" i="91" s="1"/>
  <c r="S20" i="90"/>
  <c r="F20" i="91" s="1"/>
  <c r="S21" i="90"/>
  <c r="F21" i="91" s="1"/>
  <c r="B2" i="90"/>
  <c r="C21" i="69"/>
  <c r="B2" i="69"/>
  <c r="B2" i="94"/>
  <c r="B2" i="89"/>
  <c r="I25" i="93" l="1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F32" i="75"/>
  <c r="C32" i="75"/>
  <c r="G40" i="75"/>
  <c r="F40" i="75"/>
  <c r="D40" i="75"/>
  <c r="C40" i="75"/>
  <c r="G22" i="75"/>
  <c r="F22" i="75"/>
  <c r="D22" i="75"/>
  <c r="D19" i="75" s="1"/>
  <c r="C22" i="75"/>
  <c r="G19" i="75"/>
  <c r="F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F34" i="85"/>
  <c r="D34" i="85"/>
  <c r="D45" i="85" s="1"/>
  <c r="C34" i="85"/>
  <c r="E8" i="85"/>
  <c r="H8" i="85"/>
  <c r="C9" i="85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D53" i="85"/>
  <c r="F53" i="85"/>
  <c r="G53" i="85"/>
  <c r="E58" i="85"/>
  <c r="H58" i="85"/>
  <c r="E59" i="85"/>
  <c r="H59" i="85"/>
  <c r="E60" i="85"/>
  <c r="H60" i="85"/>
  <c r="C61" i="85"/>
  <c r="D61" i="85"/>
  <c r="F61" i="85"/>
  <c r="G61" i="85"/>
  <c r="E64" i="85"/>
  <c r="H64" i="85"/>
  <c r="E66" i="85"/>
  <c r="H66" i="85"/>
  <c r="B2" i="85"/>
  <c r="G14" i="83"/>
  <c r="F14" i="83"/>
  <c r="D14" i="83"/>
  <c r="C14" i="83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E15" i="83"/>
  <c r="C14" i="69" s="1"/>
  <c r="H15" i="83"/>
  <c r="E16" i="83"/>
  <c r="C15" i="69" s="1"/>
  <c r="H16" i="83"/>
  <c r="E17" i="83"/>
  <c r="C16" i="69" s="1"/>
  <c r="H17" i="83"/>
  <c r="E18" i="83"/>
  <c r="C20" i="69" s="1"/>
  <c r="H18" i="83"/>
  <c r="E19" i="83"/>
  <c r="C22" i="69" s="1"/>
  <c r="H19" i="83"/>
  <c r="F20" i="83"/>
  <c r="E22" i="83"/>
  <c r="C24" i="69" s="1"/>
  <c r="H22" i="83"/>
  <c r="E23" i="83"/>
  <c r="C25" i="69" s="1"/>
  <c r="H23" i="83"/>
  <c r="E24" i="83"/>
  <c r="C26" i="69" s="1"/>
  <c r="H24" i="83"/>
  <c r="E25" i="83"/>
  <c r="C27" i="69" s="1"/>
  <c r="H25" i="83"/>
  <c r="E26" i="83"/>
  <c r="C28" i="69" s="1"/>
  <c r="H26" i="83"/>
  <c r="E27" i="83"/>
  <c r="C29" i="69" s="1"/>
  <c r="H27" i="83"/>
  <c r="E28" i="83"/>
  <c r="C30" i="69" s="1"/>
  <c r="H28" i="83"/>
  <c r="E29" i="83"/>
  <c r="C31" i="69" s="1"/>
  <c r="H29" i="83"/>
  <c r="E30" i="83"/>
  <c r="H30" i="83"/>
  <c r="C31" i="83"/>
  <c r="D31" i="83"/>
  <c r="D41" i="83" s="1"/>
  <c r="F31" i="83"/>
  <c r="G31" i="83"/>
  <c r="G41" i="83" s="1"/>
  <c r="E33" i="83"/>
  <c r="C7" i="89" s="1"/>
  <c r="C35" i="69" s="1"/>
  <c r="H33" i="83"/>
  <c r="E34" i="83"/>
  <c r="H34" i="83"/>
  <c r="E35" i="83"/>
  <c r="H35" i="83"/>
  <c r="E36" i="83"/>
  <c r="H36" i="83"/>
  <c r="E37" i="83"/>
  <c r="H37" i="83"/>
  <c r="E38" i="83"/>
  <c r="C11" i="89" s="1"/>
  <c r="C40" i="69" s="1"/>
  <c r="H38" i="83"/>
  <c r="E39" i="83"/>
  <c r="H39" i="83"/>
  <c r="E40" i="83"/>
  <c r="H40" i="83"/>
  <c r="B2" i="83"/>
  <c r="D54" i="85" l="1"/>
  <c r="H61" i="85"/>
  <c r="E31" i="83"/>
  <c r="E53" i="85"/>
  <c r="E61" i="85"/>
  <c r="H53" i="85"/>
  <c r="G54" i="85"/>
  <c r="E30" i="85"/>
  <c r="E9" i="85"/>
  <c r="H31" i="83"/>
  <c r="H14" i="83"/>
  <c r="H30" i="85"/>
  <c r="H9" i="85"/>
  <c r="H22" i="85"/>
  <c r="D31" i="85"/>
  <c r="C14" i="88"/>
  <c r="E14" i="88" s="1"/>
  <c r="C44" i="89"/>
  <c r="C33" i="69" s="1"/>
  <c r="C32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E20" i="83"/>
  <c r="C41" i="83"/>
  <c r="E41" i="83" s="1"/>
  <c r="D56" i="85" l="1"/>
  <c r="D63" i="85" s="1"/>
  <c r="D65" i="85" s="1"/>
  <c r="D67" i="85" s="1"/>
  <c r="H31" i="85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D9" i="94" l="1"/>
  <c r="D12" i="94"/>
  <c r="D15" i="94"/>
  <c r="D8" i="94"/>
  <c r="D11" i="94"/>
  <c r="D7" i="94"/>
  <c r="D17" i="94"/>
  <c r="D13" i="94"/>
  <c r="D16" i="94"/>
  <c r="D21" i="94"/>
  <c r="D20" i="94"/>
  <c r="D19" i="94"/>
  <c r="N20" i="92"/>
  <c r="N19" i="92"/>
  <c r="E19" i="92"/>
  <c r="N18" i="92"/>
  <c r="E18" i="92"/>
  <c r="N17" i="92"/>
  <c r="E17" i="92"/>
  <c r="N16" i="92"/>
  <c r="E16" i="92"/>
  <c r="N15" i="92"/>
  <c r="E15" i="92"/>
  <c r="M14" i="92"/>
  <c r="L14" i="92"/>
  <c r="K14" i="92"/>
  <c r="J14" i="92"/>
  <c r="I14" i="92"/>
  <c r="H14" i="92"/>
  <c r="G14" i="92"/>
  <c r="F14" i="92"/>
  <c r="E14" i="92"/>
  <c r="C14" i="92"/>
  <c r="N13" i="92"/>
  <c r="N12" i="92"/>
  <c r="E12" i="92"/>
  <c r="N11" i="92"/>
  <c r="E11" i="92"/>
  <c r="N10" i="92"/>
  <c r="E10" i="92"/>
  <c r="N9" i="92"/>
  <c r="E9" i="92"/>
  <c r="N8" i="92"/>
  <c r="N7" i="92" s="1"/>
  <c r="E8" i="92"/>
  <c r="E7" i="92" s="1"/>
  <c r="M7" i="92"/>
  <c r="L7" i="92"/>
  <c r="L21" i="92" s="1"/>
  <c r="K7" i="92"/>
  <c r="K21" i="92" s="1"/>
  <c r="J7" i="92"/>
  <c r="J21" i="92" s="1"/>
  <c r="I7" i="92"/>
  <c r="H7" i="92"/>
  <c r="H21" i="92" s="1"/>
  <c r="G7" i="92"/>
  <c r="G21" i="92" s="1"/>
  <c r="F7" i="92"/>
  <c r="F21" i="92" s="1"/>
  <c r="C7" i="92"/>
  <c r="E21" i="92" l="1"/>
  <c r="N14" i="92"/>
  <c r="N21" i="92" s="1"/>
  <c r="I21" i="92"/>
  <c r="M21" i="92"/>
  <c r="C21" i="92"/>
  <c r="C21" i="88"/>
  <c r="C6" i="95" s="1"/>
  <c r="C8" i="95" s="1"/>
  <c r="T21" i="64" l="1"/>
  <c r="U21" i="64"/>
  <c r="S21" i="64"/>
  <c r="C21" i="64"/>
  <c r="F22" i="91"/>
  <c r="E22" i="91"/>
  <c r="C22" i="91"/>
  <c r="K22" i="90" l="1"/>
  <c r="L22" i="90"/>
  <c r="M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5" i="95" s="1"/>
  <c r="C31" i="89"/>
  <c r="C30" i="89" s="1"/>
  <c r="C35" i="89"/>
  <c r="C43" i="89"/>
  <c r="C47" i="89"/>
  <c r="C41" i="89" l="1"/>
  <c r="C52" i="89"/>
  <c r="C13" i="69" l="1"/>
  <c r="C23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14" i="91" l="1"/>
  <c r="D22" i="91" s="1"/>
  <c r="C6" i="73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8" i="73" l="1"/>
  <c r="C13" i="73" s="1"/>
  <c r="C28" i="95"/>
  <c r="C30" i="95" s="1"/>
  <c r="C36" i="95" s="1"/>
  <c r="C38" i="95" s="1"/>
  <c r="V8" i="64"/>
  <c r="G9" i="91" s="1"/>
  <c r="H9" i="91" s="1"/>
  <c r="V9" i="64"/>
  <c r="G10" i="91" s="1"/>
  <c r="H10" i="91" s="1"/>
  <c r="V10" i="64"/>
  <c r="G11" i="91" s="1"/>
  <c r="H11" i="91" s="1"/>
  <c r="V11" i="64"/>
  <c r="G12" i="91" s="1"/>
  <c r="H12" i="91" s="1"/>
  <c r="V12" i="64"/>
  <c r="G13" i="91" s="1"/>
  <c r="H13" i="91" s="1"/>
  <c r="V13" i="64"/>
  <c r="G14" i="91" s="1"/>
  <c r="V14" i="64"/>
  <c r="G15" i="91" s="1"/>
  <c r="H15" i="91" s="1"/>
  <c r="V15" i="64"/>
  <c r="G16" i="91" s="1"/>
  <c r="H16" i="91" s="1"/>
  <c r="V16" i="64"/>
  <c r="G17" i="91" s="1"/>
  <c r="H17" i="91" s="1"/>
  <c r="V17" i="64"/>
  <c r="G18" i="91" s="1"/>
  <c r="H18" i="91" s="1"/>
  <c r="V18" i="64"/>
  <c r="G19" i="91" s="1"/>
  <c r="H19" i="91" s="1"/>
  <c r="V19" i="64"/>
  <c r="G20" i="91" s="1"/>
  <c r="H20" i="91" s="1"/>
  <c r="V20" i="64"/>
  <c r="G21" i="91" s="1"/>
  <c r="H21" i="91" s="1"/>
  <c r="V7" i="64"/>
  <c r="G8" i="91" s="1"/>
  <c r="H8" i="91" s="1"/>
  <c r="H14" i="91" l="1"/>
  <c r="G22" i="91"/>
  <c r="V21" i="64"/>
  <c r="C42" i="69" l="1"/>
  <c r="C34" i="69"/>
</calcChain>
</file>

<file path=xl/sharedStrings.xml><?xml version="1.0" encoding="utf-8"?>
<sst xmlns="http://schemas.openxmlformats.org/spreadsheetml/2006/main" count="736" uniqueCount="511">
  <si>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</si>
  <si>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</si>
  <si>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</si>
  <si>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</si>
  <si>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</si>
  <si>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</si>
  <si>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</si>
  <si>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</si>
  <si>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</si>
  <si>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</si>
  <si>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</si>
  <si>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</si>
  <si>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</si>
  <si>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</si>
  <si>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</si>
  <si>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</si>
  <si>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</si>
  <si>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</si>
  <si>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</si>
  <si>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</si>
  <si>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</si>
  <si>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</si>
  <si>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</si>
  <si>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</si>
  <si>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</si>
  <si>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</si>
  <si>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</si>
  <si>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</si>
  <si>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</si>
  <si>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</si>
  <si>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</si>
  <si>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</si>
  <si>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</si>
  <si>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</si>
  <si>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</si>
  <si>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</si>
  <si>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</si>
  <si>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</si>
  <si>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</si>
  <si>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</si>
  <si>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</si>
  <si>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</si>
  <si>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</si>
  <si>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</si>
  <si>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</si>
  <si>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</si>
  <si>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</si>
  <si>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</si>
  <si>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</si>
  <si>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</si>
  <si>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</si>
  <si>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</si>
  <si>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</si>
  <si>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</si>
  <si>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</si>
  <si>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</si>
  <si>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</si>
  <si>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</si>
  <si>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</si>
  <si>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</si>
  <si>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</si>
  <si>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</si>
  <si>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</si>
  <si>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</si>
  <si>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</si>
  <si>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</si>
  <si>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</si>
  <si>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</si>
  <si>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</si>
  <si>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</si>
  <si>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</si>
  <si>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</si>
  <si>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</si>
  <si>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</si>
  <si>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</si>
  <si>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</si>
  <si>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</si>
  <si>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</si>
  <si>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</si>
  <si>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</si>
  <si>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</si>
  <si>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</si>
  <si>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</si>
  <si>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</si>
  <si>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</si>
  <si>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</si>
  <si>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</si>
  <si>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</si>
  <si>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</si>
  <si>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</si>
  <si>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</si>
  <si>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</si>
  <si>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</si>
  <si>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</si>
  <si>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</si>
  <si>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</si>
  <si>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</si>
  <si>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</si>
  <si>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</si>
  <si>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</si>
  <si>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</si>
  <si>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</si>
  <si>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</si>
  <si>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</si>
  <si>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</si>
  <si>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</si>
  <si>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</si>
  <si>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</si>
  <si>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</si>
  <si>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</si>
  <si>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</si>
  <si>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</si>
  <si>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</si>
  <si>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</si>
  <si>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</si>
  <si>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</si>
  <si>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</si>
  <si>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</si>
  <si>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</si>
  <si>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</si>
  <si>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</si>
  <si>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</si>
  <si>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</si>
  <si>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</si>
  <si>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</si>
  <si>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</si>
  <si>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</si>
  <si>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</si>
  <si>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</si>
  <si>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</si>
  <si>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</si>
  <si>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</si>
  <si>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</si>
  <si>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</si>
  <si>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</si>
  <si>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</si>
  <si>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</si>
  <si>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</si>
  <si>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</si>
  <si>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</si>
  <si>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</si>
  <si>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</si>
  <si>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</si>
  <si>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</si>
  <si>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</si>
  <si>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</si>
  <si>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</si>
  <si>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</si>
  <si>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</si>
  <si>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</si>
  <si>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</si>
  <si>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</si>
  <si>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</si>
  <si>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</si>
  <si>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</si>
  <si>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</si>
  <si>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</si>
  <si>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</si>
  <si>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</si>
  <si>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</si>
  <si>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</si>
  <si>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</si>
  <si>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</si>
  <si>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</si>
  <si>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</si>
  <si>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</si>
  <si>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</si>
  <si>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</si>
  <si>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</si>
  <si>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</si>
  <si>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</si>
  <si>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</si>
  <si>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</si>
  <si>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</si>
  <si>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</si>
  <si>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</si>
  <si>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</si>
  <si>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</si>
  <si>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</si>
  <si>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</si>
  <si>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</si>
  <si>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</si>
  <si>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</si>
  <si>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</si>
  <si>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</si>
  <si>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</si>
  <si>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</si>
  <si>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</si>
  <si>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</si>
  <si>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</si>
  <si>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</si>
  <si>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</si>
  <si>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</si>
  <si>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</si>
  <si>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</si>
  <si>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</si>
  <si>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</si>
  <si>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</si>
  <si>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</si>
  <si>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</si>
  <si>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</si>
  <si>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</si>
  <si>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</si>
  <si>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</si>
  <si>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</si>
  <si>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</si>
  <si>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</si>
  <si>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</si>
  <si>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</si>
  <si>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</si>
  <si>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</si>
  <si>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</si>
  <si>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</si>
  <si>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</si>
  <si>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</si>
  <si>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</si>
  <si>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</si>
  <si>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</si>
  <si>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</si>
  <si>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</si>
  <si>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</si>
  <si>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</si>
  <si>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</si>
  <si>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</si>
  <si>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</si>
  <si>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</si>
  <si>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</si>
  <si>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</si>
  <si>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</si>
  <si>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</si>
  <si>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</si>
  <si>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</si>
  <si>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</si>
  <si>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</si>
  <si>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</si>
  <si>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</si>
  <si>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</si>
  <si>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</si>
  <si>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</si>
  <si>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</si>
  <si>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</si>
  <si>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</si>
  <si>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</si>
  <si>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</si>
  <si>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</si>
  <si>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</si>
  <si>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</si>
  <si>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</si>
  <si>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</si>
  <si>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</si>
  <si>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</si>
  <si>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</si>
  <si>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</si>
  <si>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</si>
  <si>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</si>
  <si>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</si>
  <si>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</si>
  <si>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</si>
  <si>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</si>
  <si>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</si>
  <si>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</si>
  <si>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</si>
  <si>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</si>
  <si>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</si>
  <si>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</si>
  <si>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</si>
  <si>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</si>
  <si>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</si>
  <si>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</si>
  <si>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</si>
  <si>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</si>
  <si>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</si>
  <si>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</si>
  <si>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</si>
  <si>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</si>
  <si>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</si>
  <si>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</si>
  <si>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</si>
  <si>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</si>
  <si>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</si>
  <si>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</si>
  <si>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</si>
  <si>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</si>
  <si>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</si>
  <si>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</si>
  <si>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</si>
  <si>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</si>
  <si>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</si>
  <si>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</si>
  <si>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</si>
  <si>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</si>
  <si>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</si>
  <si>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</si>
  <si>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</si>
  <si>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</si>
  <si>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</si>
  <si>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</si>
  <si>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</si>
  <si>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</si>
  <si>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</si>
  <si>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</si>
  <si>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</si>
  <si>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</si>
  <si>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</si>
  <si>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</si>
  <si>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</si>
  <si>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</si>
  <si>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</si>
  <si>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</si>
  <si>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</si>
  <si>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</si>
  <si>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</si>
  <si>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</si>
  <si>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</si>
  <si>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</si>
  <si>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</si>
  <si>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</si>
  <si>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</si>
  <si>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</si>
  <si>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</si>
  <si>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</si>
  <si>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</si>
  <si>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</si>
  <si>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</si>
  <si>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</si>
  <si>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</si>
  <si>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</si>
  <si>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</si>
  <si>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</si>
  <si>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</si>
  <si>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</si>
  <si>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</si>
  <si>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</si>
  <si>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</si>
  <si>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</si>
  <si>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</si>
  <si>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</si>
  <si>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</si>
  <si>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</si>
  <si>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</si>
  <si>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</si>
  <si>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</si>
  <si>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</si>
  <si>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</si>
  <si>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</si>
  <si>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</si>
  <si>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</si>
  <si>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</si>
  <si>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</si>
  <si>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</si>
  <si>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</si>
  <si>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</si>
  <si>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</si>
  <si>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</si>
  <si>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</si>
  <si>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</si>
  <si>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</si>
  <si>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</si>
  <si>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</si>
  <si>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</si>
  <si>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</si>
  <si>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</si>
  <si>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</si>
  <si>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</si>
  <si>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</si>
  <si>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</si>
  <si>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</si>
  <si>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</si>
  <si>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</si>
  <si>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</si>
  <si>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</si>
  <si>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</si>
  <si>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</si>
  <si>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</si>
  <si>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</si>
  <si>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</si>
  <si>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</si>
  <si>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</si>
  <si>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</si>
  <si>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</si>
  <si>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</si>
  <si>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</si>
  <si>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</si>
  <si>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</si>
  <si>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</si>
  <si>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</si>
  <si>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</si>
  <si>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</si>
  <si>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</si>
  <si>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</si>
  <si>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</si>
  <si>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</si>
  <si>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</si>
  <si>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</si>
  <si>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</si>
  <si>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</si>
  <si>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</si>
  <si>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</si>
  <si>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</si>
  <si>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</si>
  <si>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</si>
  <si>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</si>
  <si>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</si>
  <si>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</si>
  <si>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</si>
  <si>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</si>
  <si>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</si>
  <si>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</si>
  <si>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</si>
  <si>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</si>
  <si>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</si>
  <si>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</si>
  <si>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</si>
  <si>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</si>
  <si>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</si>
  <si>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</si>
  <si>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</si>
  <si>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</si>
  <si>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</si>
  <si>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</si>
  <si>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</si>
  <si>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</si>
  <si>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Capital Conservation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</si>
  <si>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</si>
  <si>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</si>
  <si>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</si>
  <si>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</si>
  <si>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</si>
  <si>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</si>
  <si>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</si>
  <si>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</si>
  <si>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</si>
  <si>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</si>
  <si>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</si>
  <si>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</si>
  <si>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</si>
  <si>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</si>
  <si>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</si>
  <si>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</si>
  <si>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</si>
  <si>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</si>
  <si>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</si>
  <si>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</si>
  <si>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</si>
  <si>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</si>
  <si>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</si>
  <si>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>Murat Bılgıç</t>
  </si>
  <si>
    <t>Yavuz Ergın</t>
  </si>
  <si>
    <t>Mehmet Şencan</t>
  </si>
  <si>
    <t>Mehmet Ihsan Akhun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</si>
  <si>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</si>
  <si>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</si>
  <si>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</si>
  <si>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</si>
  <si>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</si>
  <si>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</si>
  <si>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>Sezgin Lüle</t>
  </si>
  <si>
    <t>Onur Kütük</t>
  </si>
  <si>
    <t xml:space="preserve"> 3Q 2018</t>
  </si>
  <si>
    <t>Teimuraz Pirmisashvili</t>
  </si>
  <si>
    <t xml:space="preserve"> 4Q 2018</t>
  </si>
  <si>
    <t>Can Yücel</t>
  </si>
  <si>
    <t>Huseyn Serdar Yücel</t>
  </si>
  <si>
    <t>Table 15.1</t>
  </si>
  <si>
    <t>Leverage Ratio</t>
  </si>
  <si>
    <t>On-balance sheet exposures (excluding derivatives and SFTs)</t>
  </si>
  <si>
    <t>On-balance sheet items (excluding derivatives, SFTs and fiduciary assets, but including collateral)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</si>
  <si>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</si>
  <si>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</si>
  <si>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</si>
  <si>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</si>
  <si>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</si>
  <si>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</si>
  <si>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</si>
  <si>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</si>
  <si>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</si>
  <si>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</si>
  <si>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</si>
  <si>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</si>
  <si>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</si>
  <si>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</si>
  <si>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</si>
  <si>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</si>
  <si>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</si>
  <si>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</si>
  <si>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</si>
  <si>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</si>
  <si>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</si>
  <si>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</si>
  <si>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</si>
  <si>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</si>
  <si>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</si>
  <si>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</si>
  <si>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</si>
  <si>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</si>
  <si>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</si>
  <si>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</si>
  <si>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</si>
  <si>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</si>
  <si>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</si>
  <si>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</si>
  <si>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</si>
  <si>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</si>
  <si>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</si>
  <si>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</si>
  <si>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</si>
  <si>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</si>
  <si>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</si>
  <si>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 xml:space="preserve"> 1Q 2019</t>
  </si>
  <si>
    <t xml:space="preserve"> 2Q 2019</t>
  </si>
  <si>
    <t xml:space="preserve"> 3Q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</si>
</sst>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62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593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1" fillId="0" borderId="24" xfId="5" applyNumberFormat="1" applyFont="1" applyFill="1" applyBorder="1" applyAlignment="1" applyProtection="1">
      <alignment horizontal="left" vertical="center"/>
      <protection locked="0"/>
    </xf>
    <xf numFmtId="0" fontId="102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3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3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4" fontId="105" fillId="0" borderId="88" xfId="7" applyNumberFormat="1" applyFont="1" applyFill="1" applyBorder="1" applyAlignment="1">
      <alignment horizontal="left" vertical="center" wrapText="1"/>
    </xf>
    <xf numFmtId="164" fontId="106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2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10" fontId="3" fillId="0" borderId="87" xfId="0" applyNumberFormat="1" applyFont="1" applyFill="1" applyBorder="1" applyAlignment="1">
      <alignment horizontal="left" vertical="center" wrapText="1"/>
    </xf>
    <xf numFmtId="10" fontId="3" fillId="0" borderId="87" xfId="20962" applyNumberFormat="1" applyFont="1" applyFill="1" applyBorder="1" applyAlignment="1">
      <alignment horizontal="left" vertical="center" wrapText="1"/>
    </xf>
    <xf numFmtId="0" fontId="45" fillId="78" borderId="93" xfId="20964" applyFont="1" applyFill="1" applyBorder="1" applyAlignment="1">
      <alignment vertical="center"/>
    </xf>
    <xf numFmtId="0" fontId="45" fillId="78" borderId="90" xfId="20964" applyFont="1" applyFill="1" applyBorder="1" applyAlignment="1">
      <alignment vertical="center"/>
    </xf>
    <xf numFmtId="0" fontId="45" fillId="78" borderId="10" xfId="20964" applyFont="1" applyFill="1" applyBorder="1" applyAlignment="1">
      <alignment vertical="center"/>
    </xf>
    <xf numFmtId="0" fontId="107" fillId="70" borderId="108" xfId="20964" applyFont="1" applyFill="1" applyBorder="1" applyAlignment="1">
      <alignment horizontal="center" vertical="center"/>
    </xf>
    <xf numFmtId="0" fontId="107" fillId="70" borderId="10" xfId="20964" applyFont="1" applyFill="1" applyBorder="1" applyAlignment="1">
      <alignment horizontal="left" vertical="center" wrapText="1"/>
    </xf>
    <xf numFmtId="164" fontId="107" fillId="0" borderId="87" xfId="7" applyNumberFormat="1" applyFont="1" applyFill="1" applyBorder="1" applyAlignment="1" applyProtection="1">
      <alignment horizontal="right" vertical="center"/>
      <protection locked="0"/>
    </xf>
    <xf numFmtId="0" fontId="108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top" wrapText="1"/>
    </xf>
    <xf numFmtId="164" fontId="45" fillId="78" borderId="10" xfId="7" applyNumberFormat="1" applyFont="1" applyFill="1" applyBorder="1" applyAlignment="1">
      <alignment horizontal="right" vertical="center"/>
    </xf>
    <xf numFmtId="0" fontId="109" fillId="70" borderId="108" xfId="20964" applyFont="1" applyFill="1" applyBorder="1" applyAlignment="1">
      <alignment horizontal="center" vertical="center"/>
    </xf>
    <xf numFmtId="0" fontId="107" fillId="70" borderId="90" xfId="20964" applyFont="1" applyFill="1" applyBorder="1" applyAlignment="1">
      <alignment vertical="center" wrapText="1"/>
    </xf>
    <xf numFmtId="0" fontId="107" fillId="70" borderId="10" xfId="20964" applyFont="1" applyFill="1" applyBorder="1" applyAlignment="1">
      <alignment horizontal="left" vertical="center"/>
    </xf>
    <xf numFmtId="0" fontId="109" fillId="3" borderId="108" xfId="20964" applyFont="1" applyFill="1" applyBorder="1" applyAlignment="1">
      <alignment horizontal="center" vertical="center"/>
    </xf>
    <xf numFmtId="0" fontId="107" fillId="3" borderId="10" xfId="20964" applyFont="1" applyFill="1" applyBorder="1" applyAlignment="1">
      <alignment horizontal="left" vertical="center"/>
    </xf>
    <xf numFmtId="0" fontId="109" fillId="0" borderId="108" xfId="20964" applyFont="1" applyFill="1" applyBorder="1" applyAlignment="1">
      <alignment horizontal="center" vertical="center"/>
    </xf>
    <xf numFmtId="0" fontId="107" fillId="0" borderId="10" xfId="20964" applyFont="1" applyFill="1" applyBorder="1" applyAlignment="1">
      <alignment horizontal="left" vertical="center"/>
    </xf>
    <xf numFmtId="0" fontId="111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center"/>
    </xf>
    <xf numFmtId="164" fontId="107" fillId="77" borderId="87" xfId="7" applyNumberFormat="1" applyFont="1" applyFill="1" applyBorder="1" applyAlignment="1" applyProtection="1">
      <alignment horizontal="right" vertical="center"/>
      <protection locked="0"/>
    </xf>
    <xf numFmtId="0" fontId="108" fillId="78" borderId="93" xfId="20964" applyFont="1" applyFill="1" applyBorder="1" applyAlignment="1">
      <alignment vertical="center"/>
    </xf>
    <xf numFmtId="0" fontId="108" fillId="78" borderId="90" xfId="20964" applyFont="1" applyFill="1" applyBorder="1" applyAlignment="1">
      <alignment vertical="center"/>
    </xf>
    <xf numFmtId="164" fontId="108" fillId="78" borderId="10" xfId="7" applyNumberFormat="1" applyFont="1" applyFill="1" applyBorder="1" applyAlignment="1">
      <alignment horizontal="right" vertical="center"/>
    </xf>
    <xf numFmtId="0" fontId="112" fillId="3" borderId="108" xfId="20964" applyFont="1" applyFill="1" applyBorder="1" applyAlignment="1">
      <alignment horizontal="center" vertical="center"/>
    </xf>
    <xf numFmtId="0" fontId="113" fillId="77" borderId="87" xfId="20964" applyFont="1" applyFill="1" applyBorder="1" applyAlignment="1">
      <alignment horizontal="center" vertical="center"/>
    </xf>
    <xf numFmtId="0" fontId="45" fillId="77" borderId="90" xfId="20964" applyFont="1" applyFill="1" applyBorder="1" applyAlignment="1">
      <alignment vertical="center"/>
    </xf>
    <xf numFmtId="0" fontId="112" fillId="70" borderId="108" xfId="20964" applyFont="1" applyFill="1" applyBorder="1" applyAlignment="1">
      <alignment horizontal="center" vertical="center"/>
    </xf>
    <xf numFmtId="164" fontId="107" fillId="3" borderId="87" xfId="7" applyNumberFormat="1" applyFont="1" applyFill="1" applyBorder="1" applyAlignment="1" applyProtection="1">
      <alignment horizontal="right" vertical="center"/>
      <protection locked="0"/>
    </xf>
    <xf numFmtId="0" fontId="113" fillId="3" borderId="87" xfId="20964" applyFont="1" applyFill="1" applyBorder="1" applyAlignment="1">
      <alignment horizontal="center" vertical="center"/>
    </xf>
    <xf numFmtId="0" fontId="45" fillId="3" borderId="90" xfId="20964" applyFont="1" applyFill="1" applyBorder="1" applyAlignment="1">
      <alignment vertical="center"/>
    </xf>
    <xf numFmtId="0" fontId="109" fillId="70" borderId="87" xfId="20964" applyFont="1" applyFill="1" applyBorder="1" applyAlignment="1">
      <alignment horizontal="center" vertical="center"/>
    </xf>
    <xf numFmtId="0" fontId="19" fillId="70" borderId="87" xfId="20964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00" fillId="0" borderId="108" xfId="20962" applyNumberFormat="1" applyFont="1" applyFill="1" applyBorder="1" applyAlignment="1">
      <alignment horizontal="left" vertical="center" wrapText="1"/>
    </xf>
    <xf numFmtId="10" fontId="114" fillId="77" borderId="87" xfId="20962" applyNumberFormat="1" applyFont="1" applyFill="1" applyBorder="1" applyAlignment="1" applyProtection="1">
      <alignment horizontal="right" vertical="center"/>
      <protection locked="0"/>
    </xf>
    <xf numFmtId="43" fontId="3" fillId="0" borderId="85" xfId="0" applyNumberFormat="1" applyFont="1" applyFill="1" applyBorder="1" applyAlignment="1">
      <alignment vertical="center"/>
    </xf>
    <xf numFmtId="164" fontId="3" fillId="0" borderId="85" xfId="0" applyNumberFormat="1" applyFont="1" applyFill="1" applyBorder="1" applyAlignment="1">
      <alignment vertical="center"/>
    </xf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</cellXfs>
  <cellStyles count="20965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A\FSA-SGSP\CGP\temp\3.%20&#4330;&#4309;&#4314;&#4312;&#4314;&#4308;&#4305;&#4308;&#4305;&#4312;%20&#4320;&#4308;&#4306;&#4323;&#4314;&#4304;&#4330;&#4312;&#4308;&#4305;&#4328;&#4312;\5.%20Pillar%203\Bank%20questions\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zoomScaleNormal="100" workbookViewId="0">
      <selection activeCell="B1" sqref="B1"/>
    </sheetView>
  </sheetViews>
  <sheetFormatPr defaultColWidth="9.140625" defaultRowHeight="14.25"/>
  <cols>
    <col min="1" max="1" width="10.28515625" style="4" customWidth="1"/>
    <col min="2" max="2" width="134.710937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145"/>
      <c r="B1" s="185" t="s">
        <v>351</v>
      </c>
      <c r="C1" s="145"/>
    </row>
    <row r="2" spans="1:3">
      <c r="A2" s="186">
        <v>1</v>
      </c>
      <c r="B2" s="325" t="s">
        <v>352</v>
      </c>
      <c r="C2" s="335" t="s">
        <v>442</v>
      </c>
    </row>
    <row r="3" spans="1:3">
      <c r="A3" s="186">
        <v>2</v>
      </c>
      <c r="B3" s="326" t="s">
        <v>348</v>
      </c>
      <c r="C3" s="335" t="s">
        <v>443</v>
      </c>
    </row>
    <row r="4" spans="1:3">
      <c r="A4" s="186">
        <v>3</v>
      </c>
      <c r="B4" s="327" t="s">
        <v>353</v>
      </c>
      <c r="C4" s="335" t="s">
        <v>444</v>
      </c>
    </row>
    <row r="5" spans="1:3">
      <c r="A5" s="187">
        <v>4</v>
      </c>
      <c r="B5" s="328" t="s">
        <v>349</v>
      </c>
      <c r="C5" s="336" t="s">
        <v>445</v>
      </c>
    </row>
    <row r="6" spans="1:3" s="188" customFormat="1" ht="45.75" customHeight="1">
      <c r="A6" s="533" t="s">
        <v>430</v>
      </c>
      <c r="B6" s="534"/>
      <c r="C6" s="534"/>
    </row>
    <row r="7" spans="1:3" ht="15">
      <c r="A7" s="189" t="s">
        <v>29</v>
      </c>
      <c r="B7" s="185" t="s">
        <v>350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360</v>
      </c>
    </row>
    <row r="14" spans="1:3">
      <c r="A14" s="145">
        <v>7</v>
      </c>
      <c r="B14" s="232" t="s">
        <v>354</v>
      </c>
    </row>
    <row r="15" spans="1:3">
      <c r="A15" s="145">
        <v>8</v>
      </c>
      <c r="B15" s="232" t="s">
        <v>355</v>
      </c>
    </row>
    <row r="16" spans="1:3">
      <c r="A16" s="145">
        <v>9</v>
      </c>
      <c r="B16" s="232" t="s">
        <v>25</v>
      </c>
    </row>
    <row r="17" spans="1:2">
      <c r="A17" s="324" t="s">
        <v>429</v>
      </c>
      <c r="B17" s="323" t="s">
        <v>413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356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357</v>
      </c>
    </row>
    <row r="22" spans="1:2">
      <c r="A22" s="145">
        <v>14</v>
      </c>
      <c r="B22" s="231" t="s">
        <v>384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9.5703125" style="71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337" t="s">
        <v>30</v>
      </c>
      <c r="B1" s="338" t="s">
        <v>442</v>
      </c>
    </row>
    <row r="2" spans="1:3" s="59" customFormat="1" ht="15.75" customHeight="1">
      <c r="A2" s="337" t="s">
        <v>31</v>
      </c>
      <c r="B2" s="339">
        <f>'1. key ratios '!B2</f>
        <v>43738</v>
      </c>
    </row>
    <row r="3" spans="1:3" s="59" customFormat="1" ht="15.75" customHeight="1"/>
    <row r="4" spans="1:3" ht="13.5" thickBot="1">
      <c r="A4" s="71" t="s">
        <v>252</v>
      </c>
      <c r="B4" s="130" t="s">
        <v>251</v>
      </c>
    </row>
    <row r="5" spans="1:3">
      <c r="A5" s="72" t="s">
        <v>6</v>
      </c>
      <c r="B5" s="73"/>
      <c r="C5" s="74" t="s">
        <v>73</v>
      </c>
    </row>
    <row r="6" spans="1:3">
      <c r="A6" s="75">
        <v>1</v>
      </c>
      <c r="B6" s="76" t="s">
        <v>250</v>
      </c>
      <c r="C6" s="433">
        <f>SUM(C7:C11)</f>
        <v>80066013.057901561</v>
      </c>
    </row>
    <row r="7" spans="1:3">
      <c r="A7" s="75">
        <v>2</v>
      </c>
      <c r="B7" s="77" t="s">
        <v>249</v>
      </c>
      <c r="C7" s="434">
        <f>'2.RC'!E33</f>
        <v>69161600</v>
      </c>
    </row>
    <row r="8" spans="1:3">
      <c r="A8" s="75">
        <v>3</v>
      </c>
      <c r="B8" s="78" t="s">
        <v>248</v>
      </c>
      <c r="C8" s="434"/>
    </row>
    <row r="9" spans="1:3">
      <c r="A9" s="75">
        <v>4</v>
      </c>
      <c r="B9" s="78" t="s">
        <v>247</v>
      </c>
      <c r="C9" s="434"/>
    </row>
    <row r="10" spans="1:3">
      <c r="A10" s="75">
        <v>5</v>
      </c>
      <c r="B10" s="78" t="s">
        <v>246</v>
      </c>
      <c r="C10" s="434"/>
    </row>
    <row r="11" spans="1:3">
      <c r="A11" s="75">
        <v>6</v>
      </c>
      <c r="B11" s="79" t="s">
        <v>245</v>
      </c>
      <c r="C11" s="434">
        <f>'2.RC'!E38</f>
        <v>10904413.057901558</v>
      </c>
    </row>
    <row r="12" spans="1:3" s="45" customFormat="1">
      <c r="A12" s="75">
        <v>7</v>
      </c>
      <c r="B12" s="76" t="s">
        <v>244</v>
      </c>
      <c r="C12" s="435">
        <f>SUM(C13:C27)</f>
        <v>138603.8899999999</v>
      </c>
    </row>
    <row r="13" spans="1:3" s="45" customFormat="1">
      <c r="A13" s="75">
        <v>8</v>
      </c>
      <c r="B13" s="80" t="s">
        <v>243</v>
      </c>
      <c r="C13" s="436"/>
    </row>
    <row r="14" spans="1:3" s="45" customFormat="1" ht="25.5">
      <c r="A14" s="75">
        <v>9</v>
      </c>
      <c r="B14" s="81" t="s">
        <v>242</v>
      </c>
      <c r="C14" s="436"/>
    </row>
    <row r="15" spans="1:3" s="45" customFormat="1">
      <c r="A15" s="75">
        <v>10</v>
      </c>
      <c r="B15" s="82" t="s">
        <v>241</v>
      </c>
      <c r="C15" s="436">
        <f>'7. LI1 '!D19</f>
        <v>138603.8899999999</v>
      </c>
    </row>
    <row r="16" spans="1:3" s="45" customFormat="1">
      <c r="A16" s="75">
        <v>11</v>
      </c>
      <c r="B16" s="83" t="s">
        <v>240</v>
      </c>
      <c r="C16" s="436"/>
    </row>
    <row r="17" spans="1:3" s="45" customFormat="1">
      <c r="A17" s="75">
        <v>12</v>
      </c>
      <c r="B17" s="82" t="s">
        <v>239</v>
      </c>
      <c r="C17" s="436"/>
    </row>
    <row r="18" spans="1:3" s="45" customFormat="1">
      <c r="A18" s="75">
        <v>13</v>
      </c>
      <c r="B18" s="82" t="s">
        <v>238</v>
      </c>
      <c r="C18" s="436"/>
    </row>
    <row r="19" spans="1:3" s="45" customFormat="1">
      <c r="A19" s="75">
        <v>14</v>
      </c>
      <c r="B19" s="82" t="s">
        <v>237</v>
      </c>
      <c r="C19" s="436"/>
    </row>
    <row r="20" spans="1:3" s="45" customFormat="1">
      <c r="A20" s="75">
        <v>15</v>
      </c>
      <c r="B20" s="82" t="s">
        <v>236</v>
      </c>
      <c r="C20" s="436"/>
    </row>
    <row r="21" spans="1:3" s="45" customFormat="1" ht="25.5">
      <c r="A21" s="75">
        <v>16</v>
      </c>
      <c r="B21" s="81" t="s">
        <v>235</v>
      </c>
      <c r="C21" s="436"/>
    </row>
    <row r="22" spans="1:3" s="45" customFormat="1">
      <c r="A22" s="75">
        <v>17</v>
      </c>
      <c r="B22" s="84" t="s">
        <v>234</v>
      </c>
      <c r="C22" s="436"/>
    </row>
    <row r="23" spans="1:3" s="45" customFormat="1">
      <c r="A23" s="75">
        <v>18</v>
      </c>
      <c r="B23" s="81" t="s">
        <v>233</v>
      </c>
      <c r="C23" s="436"/>
    </row>
    <row r="24" spans="1:3" s="45" customFormat="1" ht="25.5">
      <c r="A24" s="75">
        <v>19</v>
      </c>
      <c r="B24" s="81" t="s">
        <v>210</v>
      </c>
      <c r="C24" s="436"/>
    </row>
    <row r="25" spans="1:3" s="45" customFormat="1">
      <c r="A25" s="75">
        <v>20</v>
      </c>
      <c r="B25" s="85" t="s">
        <v>232</v>
      </c>
      <c r="C25" s="436"/>
    </row>
    <row r="26" spans="1:3" s="45" customFormat="1">
      <c r="A26" s="75">
        <v>21</v>
      </c>
      <c r="B26" s="85" t="s">
        <v>231</v>
      </c>
      <c r="C26" s="436"/>
    </row>
    <row r="27" spans="1:3" s="45" customFormat="1">
      <c r="A27" s="75">
        <v>22</v>
      </c>
      <c r="B27" s="85" t="s">
        <v>230</v>
      </c>
      <c r="C27" s="436"/>
    </row>
    <row r="28" spans="1:3" s="45" customFormat="1">
      <c r="A28" s="75">
        <v>23</v>
      </c>
      <c r="B28" s="86" t="s">
        <v>229</v>
      </c>
      <c r="C28" s="435">
        <f>C6-C12</f>
        <v>79927409.167901561</v>
      </c>
    </row>
    <row r="29" spans="1:3" s="45" customFormat="1">
      <c r="A29" s="87"/>
      <c r="B29" s="88"/>
      <c r="C29" s="436"/>
    </row>
    <row r="30" spans="1:3" s="45" customFormat="1">
      <c r="A30" s="87">
        <v>24</v>
      </c>
      <c r="B30" s="86" t="s">
        <v>228</v>
      </c>
      <c r="C30" s="435">
        <f>C31+C34</f>
        <v>0</v>
      </c>
    </row>
    <row r="31" spans="1:3" s="45" customFormat="1">
      <c r="A31" s="87">
        <v>25</v>
      </c>
      <c r="B31" s="78" t="s">
        <v>227</v>
      </c>
      <c r="C31" s="437">
        <f>C32+C33</f>
        <v>0</v>
      </c>
    </row>
    <row r="32" spans="1:3" s="45" customFormat="1">
      <c r="A32" s="87">
        <v>26</v>
      </c>
      <c r="B32" s="89" t="s">
        <v>309</v>
      </c>
      <c r="C32" s="436"/>
    </row>
    <row r="33" spans="1:3" s="45" customFormat="1">
      <c r="A33" s="87">
        <v>27</v>
      </c>
      <c r="B33" s="89" t="s">
        <v>226</v>
      </c>
      <c r="C33" s="436"/>
    </row>
    <row r="34" spans="1:3" s="45" customFormat="1">
      <c r="A34" s="87">
        <v>28</v>
      </c>
      <c r="B34" s="78" t="s">
        <v>225</v>
      </c>
      <c r="C34" s="436"/>
    </row>
    <row r="35" spans="1:3" s="45" customFormat="1">
      <c r="A35" s="87">
        <v>29</v>
      </c>
      <c r="B35" s="86" t="s">
        <v>224</v>
      </c>
      <c r="C35" s="435">
        <f>SUM(C36:C40)</f>
        <v>0</v>
      </c>
    </row>
    <row r="36" spans="1:3" s="45" customFormat="1">
      <c r="A36" s="87">
        <v>30</v>
      </c>
      <c r="B36" s="81" t="s">
        <v>223</v>
      </c>
      <c r="C36" s="436"/>
    </row>
    <row r="37" spans="1:3" s="45" customFormat="1">
      <c r="A37" s="87">
        <v>31</v>
      </c>
      <c r="B37" s="82" t="s">
        <v>222</v>
      </c>
      <c r="C37" s="436"/>
    </row>
    <row r="38" spans="1:3" s="45" customFormat="1" ht="25.5">
      <c r="A38" s="87">
        <v>32</v>
      </c>
      <c r="B38" s="81" t="s">
        <v>221</v>
      </c>
      <c r="C38" s="436"/>
    </row>
    <row r="39" spans="1:3" s="45" customFormat="1" ht="25.5">
      <c r="A39" s="87">
        <v>33</v>
      </c>
      <c r="B39" s="81" t="s">
        <v>210</v>
      </c>
      <c r="C39" s="436"/>
    </row>
    <row r="40" spans="1:3" s="45" customFormat="1">
      <c r="A40" s="87">
        <v>34</v>
      </c>
      <c r="B40" s="85" t="s">
        <v>220</v>
      </c>
      <c r="C40" s="436"/>
    </row>
    <row r="41" spans="1:3" s="45" customFormat="1">
      <c r="A41" s="87">
        <v>35</v>
      </c>
      <c r="B41" s="86" t="s">
        <v>219</v>
      </c>
      <c r="C41" s="435">
        <f>C30-C35</f>
        <v>0</v>
      </c>
    </row>
    <row r="42" spans="1:3" s="45" customFormat="1">
      <c r="A42" s="87"/>
      <c r="B42" s="88"/>
      <c r="C42" s="436"/>
    </row>
    <row r="43" spans="1:3" s="45" customFormat="1">
      <c r="A43" s="87">
        <v>36</v>
      </c>
      <c r="B43" s="90" t="s">
        <v>218</v>
      </c>
      <c r="C43" s="435">
        <f>SUM(C44:C46)</f>
        <v>3406089.558036929</v>
      </c>
    </row>
    <row r="44" spans="1:3" s="45" customFormat="1">
      <c r="A44" s="87">
        <v>37</v>
      </c>
      <c r="B44" s="78" t="s">
        <v>217</v>
      </c>
      <c r="C44" s="436">
        <f>'2.RC'!E30</f>
        <v>0</v>
      </c>
    </row>
    <row r="45" spans="1:3" s="45" customFormat="1">
      <c r="A45" s="87">
        <v>38</v>
      </c>
      <c r="B45" s="78" t="s">
        <v>216</v>
      </c>
      <c r="C45" s="436"/>
    </row>
    <row r="46" spans="1:3" s="45" customFormat="1">
      <c r="A46" s="87">
        <v>39</v>
      </c>
      <c r="B46" s="78" t="s">
        <v>215</v>
      </c>
      <c r="C46" s="436">
        <f>'8. LI2'!C9</f>
        <v>3406089.558036929</v>
      </c>
    </row>
    <row r="47" spans="1:3" s="45" customFormat="1">
      <c r="A47" s="87">
        <v>40</v>
      </c>
      <c r="B47" s="90" t="s">
        <v>214</v>
      </c>
      <c r="C47" s="435">
        <f>SUM(C48:C51)</f>
        <v>0</v>
      </c>
    </row>
    <row r="48" spans="1:3" s="45" customFormat="1">
      <c r="A48" s="87">
        <v>41</v>
      </c>
      <c r="B48" s="81" t="s">
        <v>213</v>
      </c>
      <c r="C48" s="436"/>
    </row>
    <row r="49" spans="1:3" s="45" customFormat="1">
      <c r="A49" s="87">
        <v>42</v>
      </c>
      <c r="B49" s="82" t="s">
        <v>212</v>
      </c>
      <c r="C49" s="436"/>
    </row>
    <row r="50" spans="1:3" s="45" customFormat="1">
      <c r="A50" s="87">
        <v>43</v>
      </c>
      <c r="B50" s="81" t="s">
        <v>211</v>
      </c>
      <c r="C50" s="436"/>
    </row>
    <row r="51" spans="1:3" s="45" customFormat="1" ht="25.5">
      <c r="A51" s="87">
        <v>44</v>
      </c>
      <c r="B51" s="81" t="s">
        <v>210</v>
      </c>
      <c r="C51" s="436"/>
    </row>
    <row r="52" spans="1:3" s="45" customFormat="1" ht="13.5" thickBot="1">
      <c r="A52" s="91">
        <v>45</v>
      </c>
      <c r="B52" s="92" t="s">
        <v>209</v>
      </c>
      <c r="C52" s="438">
        <f>C43-C47</f>
        <v>3406089.558036929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B1" sqref="B1"/>
    </sheetView>
  </sheetViews>
  <sheetFormatPr defaultColWidth="9.140625" defaultRowHeight="12.75"/>
  <cols>
    <col min="1" max="1" width="9.42578125" style="246" bestFit="1" customWidth="1"/>
    <col min="2" max="2" width="59" style="246" customWidth="1"/>
    <col min="3" max="3" width="16.7109375" style="246" bestFit="1" customWidth="1"/>
    <col min="4" max="4" width="13.5703125" style="246" bestFit="1" customWidth="1"/>
    <col min="5" max="16384" width="9.140625" style="246"/>
  </cols>
  <sheetData>
    <row r="1" spans="1:4">
      <c r="A1" s="337" t="s">
        <v>30</v>
      </c>
      <c r="B1" s="338" t="s">
        <v>442</v>
      </c>
    </row>
    <row r="2" spans="1:4" s="216" customFormat="1" ht="15.75" customHeight="1">
      <c r="A2" s="337" t="s">
        <v>31</v>
      </c>
      <c r="B2" s="339">
        <f>'1. key ratios '!B2</f>
        <v>43738</v>
      </c>
    </row>
    <row r="3" spans="1:4" s="216" customFormat="1" ht="15.75" customHeight="1"/>
    <row r="4" spans="1:4" ht="13.5" thickBot="1">
      <c r="A4" s="267" t="s">
        <v>412</v>
      </c>
      <c r="B4" s="315" t="s">
        <v>413</v>
      </c>
    </row>
    <row r="5" spans="1:4" s="316" customFormat="1">
      <c r="A5" s="555" t="s">
        <v>416</v>
      </c>
      <c r="B5" s="556"/>
      <c r="C5" s="304" t="s">
        <v>414</v>
      </c>
      <c r="D5" s="305" t="s">
        <v>415</v>
      </c>
    </row>
    <row r="6" spans="1:4" s="317" customFormat="1">
      <c r="A6" s="306">
        <v>1</v>
      </c>
      <c r="B6" s="307" t="s">
        <v>417</v>
      </c>
      <c r="C6" s="307"/>
      <c r="D6" s="308"/>
    </row>
    <row r="7" spans="1:4" s="317" customFormat="1">
      <c r="A7" s="309" t="s">
        <v>403</v>
      </c>
      <c r="B7" s="310" t="s">
        <v>418</v>
      </c>
      <c r="C7" s="495">
        <v>4.4999999999999998E-2</v>
      </c>
      <c r="D7" s="489">
        <f>C7*'5. RWA '!$C$13</f>
        <v>13156620.852555178</v>
      </c>
    </row>
    <row r="8" spans="1:4" s="317" customFormat="1">
      <c r="A8" s="309" t="s">
        <v>404</v>
      </c>
      <c r="B8" s="310" t="s">
        <v>419</v>
      </c>
      <c r="C8" s="496">
        <v>0.06</v>
      </c>
      <c r="D8" s="489">
        <f>C8*'5. RWA '!$C$13</f>
        <v>17542161.136740237</v>
      </c>
    </row>
    <row r="9" spans="1:4" s="317" customFormat="1">
      <c r="A9" s="309" t="s">
        <v>405</v>
      </c>
      <c r="B9" s="310" t="s">
        <v>420</v>
      </c>
      <c r="C9" s="496">
        <v>0.08</v>
      </c>
      <c r="D9" s="489">
        <f>C9*'5. RWA '!$C$13</f>
        <v>23389548.182320319</v>
      </c>
    </row>
    <row r="10" spans="1:4" s="317" customFormat="1">
      <c r="A10" s="306" t="s">
        <v>406</v>
      </c>
      <c r="B10" s="307" t="s">
        <v>421</v>
      </c>
      <c r="C10" s="307"/>
      <c r="D10" s="308"/>
    </row>
    <row r="11" spans="1:4" s="318" customFormat="1">
      <c r="A11" s="311" t="s">
        <v>407</v>
      </c>
      <c r="B11" s="312" t="s">
        <v>422</v>
      </c>
      <c r="C11" s="487">
        <v>2.5000000000000001E-2</v>
      </c>
      <c r="D11" s="490">
        <f>C11*'5. RWA '!$C$13</f>
        <v>7309233.8069751002</v>
      </c>
    </row>
    <row r="12" spans="1:4" s="318" customFormat="1">
      <c r="A12" s="311" t="s">
        <v>408</v>
      </c>
      <c r="B12" s="312" t="s">
        <v>423</v>
      </c>
      <c r="C12" s="487">
        <v>0</v>
      </c>
      <c r="D12" s="490">
        <f>C12*'5. RWA '!$C$13</f>
        <v>0</v>
      </c>
    </row>
    <row r="13" spans="1:4" s="318" customFormat="1">
      <c r="A13" s="311" t="s">
        <v>409</v>
      </c>
      <c r="B13" s="312" t="s">
        <v>424</v>
      </c>
      <c r="C13" s="312"/>
      <c r="D13" s="490">
        <f>C13*'5. RWA '!$C$13</f>
        <v>0</v>
      </c>
    </row>
    <row r="14" spans="1:4" s="318" customFormat="1">
      <c r="A14" s="306" t="s">
        <v>410</v>
      </c>
      <c r="B14" s="307" t="s">
        <v>425</v>
      </c>
      <c r="C14" s="313"/>
      <c r="D14" s="491"/>
    </row>
    <row r="15" spans="1:4" s="318" customFormat="1">
      <c r="A15" s="311">
        <v>3.1</v>
      </c>
      <c r="B15" s="312" t="s">
        <v>431</v>
      </c>
      <c r="C15" s="487">
        <v>1.8457352012270833E-2</v>
      </c>
      <c r="D15" s="490">
        <f>C15*'5. RWA '!$C$13</f>
        <v>5396364.0526131941</v>
      </c>
    </row>
    <row r="16" spans="1:4" s="318" customFormat="1">
      <c r="A16" s="311">
        <v>3.2</v>
      </c>
      <c r="B16" s="312" t="s">
        <v>432</v>
      </c>
      <c r="C16" s="487">
        <v>2.4655552016851427E-2</v>
      </c>
      <c r="D16" s="490">
        <f>C16*'5. RWA '!$C$13</f>
        <v>7208527.7732481416</v>
      </c>
    </row>
    <row r="17" spans="1:6" s="317" customFormat="1">
      <c r="A17" s="311">
        <v>3.3</v>
      </c>
      <c r="B17" s="312" t="s">
        <v>433</v>
      </c>
      <c r="C17" s="529">
        <v>8.5534559679747227E-2</v>
      </c>
      <c r="D17" s="492">
        <f>C17*'5. RWA '!$C$13</f>
        <v>25007683.811037507</v>
      </c>
    </row>
    <row r="18" spans="1:6" s="316" customFormat="1">
      <c r="A18" s="557" t="s">
        <v>428</v>
      </c>
      <c r="B18" s="558"/>
      <c r="C18" s="493" t="s">
        <v>414</v>
      </c>
      <c r="D18" s="494" t="s">
        <v>415</v>
      </c>
    </row>
    <row r="19" spans="1:6" s="317" customFormat="1">
      <c r="A19" s="314">
        <v>4</v>
      </c>
      <c r="B19" s="312" t="s">
        <v>426</v>
      </c>
      <c r="C19" s="487">
        <f>C7+C11+C12+C13+C15</f>
        <v>8.845735201227084E-2</v>
      </c>
      <c r="D19" s="485">
        <f>C19*'5. RWA '!$C$13</f>
        <v>25862218.712143473</v>
      </c>
    </row>
    <row r="20" spans="1:6" s="317" customFormat="1">
      <c r="A20" s="314">
        <v>5</v>
      </c>
      <c r="B20" s="312" t="s">
        <v>141</v>
      </c>
      <c r="C20" s="487">
        <f>C8+C11+C12+C13+C16</f>
        <v>0.10965555201685143</v>
      </c>
      <c r="D20" s="485">
        <f>C20*'5. RWA '!$C$13</f>
        <v>32059922.716963481</v>
      </c>
    </row>
    <row r="21" spans="1:6" s="317" customFormat="1" ht="13.5" thickBot="1">
      <c r="A21" s="319" t="s">
        <v>411</v>
      </c>
      <c r="B21" s="320" t="s">
        <v>427</v>
      </c>
      <c r="C21" s="488">
        <f>C9+C11+C12+C13+C17</f>
        <v>0.19053455967974725</v>
      </c>
      <c r="D21" s="486">
        <f>C21*'5. RWA '!$C$13</f>
        <v>55706465.800332934</v>
      </c>
    </row>
    <row r="22" spans="1:6">
      <c r="F22" s="267"/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B1" sqref="B1"/>
    </sheetView>
  </sheetViews>
  <sheetFormatPr defaultColWidth="9.140625" defaultRowHeight="14.25"/>
  <cols>
    <col min="1" max="1" width="10.7109375" style="4" customWidth="1"/>
    <col min="2" max="2" width="91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337" t="s">
        <v>30</v>
      </c>
      <c r="B1" s="338" t="s">
        <v>442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43738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293</v>
      </c>
      <c r="D4" s="31" t="s">
        <v>73</v>
      </c>
    </row>
    <row r="5" spans="1:6" ht="25.5">
      <c r="A5" s="94" t="s">
        <v>6</v>
      </c>
      <c r="B5" s="237" t="s">
        <v>347</v>
      </c>
      <c r="C5" s="95" t="s">
        <v>94</v>
      </c>
      <c r="D5" s="96" t="s">
        <v>95</v>
      </c>
    </row>
    <row r="6" spans="1:6">
      <c r="A6" s="64">
        <v>1</v>
      </c>
      <c r="B6" s="97" t="s">
        <v>35</v>
      </c>
      <c r="C6" s="98">
        <f>'2.RC'!E7</f>
        <v>5139043.87</v>
      </c>
      <c r="D6" s="99"/>
      <c r="E6" s="100"/>
    </row>
    <row r="7" spans="1:6">
      <c r="A7" s="64">
        <v>2</v>
      </c>
      <c r="B7" s="101" t="s">
        <v>36</v>
      </c>
      <c r="C7" s="102">
        <f>'2.RC'!E8</f>
        <v>43212889.505398005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65131388.936292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34154388.425368205</v>
      </c>
      <c r="D10" s="103"/>
      <c r="E10" s="100"/>
    </row>
    <row r="11" spans="1:6">
      <c r="A11" s="64">
        <v>6.1</v>
      </c>
      <c r="B11" s="208" t="s">
        <v>40</v>
      </c>
      <c r="C11" s="104">
        <f>'2.RC'!E12</f>
        <v>127538157.33</v>
      </c>
      <c r="D11" s="105"/>
      <c r="E11" s="106"/>
    </row>
    <row r="12" spans="1:6">
      <c r="A12" s="64">
        <v>6.2</v>
      </c>
      <c r="B12" s="209" t="s">
        <v>41</v>
      </c>
      <c r="C12" s="439">
        <f>'2.RC'!E13</f>
        <v>-5509575.0537999999</v>
      </c>
      <c r="D12" s="105"/>
      <c r="E12" s="106"/>
    </row>
    <row r="13" spans="1:6">
      <c r="A13" s="64">
        <v>6</v>
      </c>
      <c r="B13" s="101" t="s">
        <v>42</v>
      </c>
      <c r="C13" s="107">
        <f>C11+C12</f>
        <v>122028582.2762</v>
      </c>
      <c r="D13" s="105"/>
      <c r="E13" s="100"/>
    </row>
    <row r="14" spans="1:6">
      <c r="A14" s="64">
        <v>7</v>
      </c>
      <c r="B14" s="101" t="s">
        <v>43</v>
      </c>
      <c r="C14" s="102">
        <f>'2.RC'!E15</f>
        <v>1760728.3928640005</v>
      </c>
      <c r="D14" s="103"/>
      <c r="E14" s="100"/>
    </row>
    <row r="15" spans="1:6">
      <c r="A15" s="64">
        <v>8</v>
      </c>
      <c r="B15" s="235" t="s">
        <v>205</v>
      </c>
      <c r="C15" s="102">
        <f>'2.RC'!E16</f>
        <v>0</v>
      </c>
      <c r="D15" s="103"/>
      <c r="E15" s="100"/>
    </row>
    <row r="16" spans="1:6">
      <c r="A16" s="64">
        <v>9</v>
      </c>
      <c r="B16" s="101" t="s">
        <v>44</v>
      </c>
      <c r="C16" s="102">
        <f>'2.RC'!E17</f>
        <v>0</v>
      </c>
      <c r="D16" s="103"/>
      <c r="E16" s="100"/>
    </row>
    <row r="17" spans="1:5">
      <c r="A17" s="64">
        <v>9.1</v>
      </c>
      <c r="B17" s="108" t="s">
        <v>89</v>
      </c>
      <c r="C17" s="104"/>
      <c r="D17" s="103"/>
      <c r="E17" s="100"/>
    </row>
    <row r="18" spans="1:5">
      <c r="A18" s="64">
        <v>9.1999999999999993</v>
      </c>
      <c r="B18" s="108" t="s">
        <v>90</v>
      </c>
      <c r="C18" s="104"/>
      <c r="D18" s="103"/>
      <c r="E18" s="100"/>
    </row>
    <row r="19" spans="1:5">
      <c r="A19" s="64">
        <v>9.3000000000000007</v>
      </c>
      <c r="B19" s="210" t="s">
        <v>275</v>
      </c>
      <c r="C19" s="104"/>
      <c r="D19" s="103"/>
      <c r="E19" s="100"/>
    </row>
    <row r="20" spans="1:5">
      <c r="A20" s="64">
        <v>10</v>
      </c>
      <c r="B20" s="101" t="s">
        <v>45</v>
      </c>
      <c r="C20" s="102">
        <f>'2.RC'!E18</f>
        <v>883749.16000000015</v>
      </c>
      <c r="D20" s="103"/>
      <c r="E20" s="100"/>
    </row>
    <row r="21" spans="1:5">
      <c r="A21" s="64">
        <v>10.1</v>
      </c>
      <c r="B21" s="108" t="s">
        <v>91</v>
      </c>
      <c r="C21" s="102">
        <f>'9.Capital'!C15</f>
        <v>138603.8899999999</v>
      </c>
      <c r="D21" s="109" t="s">
        <v>93</v>
      </c>
      <c r="E21" s="100"/>
    </row>
    <row r="22" spans="1:5">
      <c r="A22" s="64">
        <v>11</v>
      </c>
      <c r="B22" s="110" t="s">
        <v>46</v>
      </c>
      <c r="C22" s="111">
        <f>'2.RC'!E19</f>
        <v>10151358.996920707</v>
      </c>
      <c r="D22" s="112"/>
      <c r="E22" s="100"/>
    </row>
    <row r="23" spans="1:5" ht="15">
      <c r="A23" s="64">
        <v>12</v>
      </c>
      <c r="B23" s="113" t="s">
        <v>47</v>
      </c>
      <c r="C23" s="114">
        <f>SUM(C6:C10,C13:C16,C20,C22)</f>
        <v>282462129.56304294</v>
      </c>
      <c r="D23" s="115"/>
      <c r="E23" s="116"/>
    </row>
    <row r="24" spans="1:5">
      <c r="A24" s="64">
        <v>13</v>
      </c>
      <c r="B24" s="101" t="s">
        <v>49</v>
      </c>
      <c r="C24" s="117">
        <f>'2.RC'!E22</f>
        <v>120113764.75</v>
      </c>
      <c r="D24" s="118"/>
      <c r="E24" s="100"/>
    </row>
    <row r="25" spans="1:5">
      <c r="A25" s="64">
        <v>14</v>
      </c>
      <c r="B25" s="101" t="s">
        <v>50</v>
      </c>
      <c r="C25" s="102">
        <f>'2.RC'!E23</f>
        <v>21269224.359999999</v>
      </c>
      <c r="D25" s="103"/>
      <c r="E25" s="100"/>
    </row>
    <row r="26" spans="1:5">
      <c r="A26" s="64">
        <v>15</v>
      </c>
      <c r="B26" s="101" t="s">
        <v>51</v>
      </c>
      <c r="C26" s="102">
        <f>'2.RC'!E24</f>
        <v>0</v>
      </c>
      <c r="D26" s="103"/>
      <c r="E26" s="100"/>
    </row>
    <row r="27" spans="1:5">
      <c r="A27" s="64">
        <v>16</v>
      </c>
      <c r="B27" s="101" t="s">
        <v>52</v>
      </c>
      <c r="C27" s="102">
        <f>'2.RC'!E25</f>
        <v>30398768.850000001</v>
      </c>
      <c r="D27" s="103"/>
      <c r="E27" s="100"/>
    </row>
    <row r="28" spans="1:5">
      <c r="A28" s="64">
        <v>17</v>
      </c>
      <c r="B28" s="101" t="s">
        <v>53</v>
      </c>
      <c r="C28" s="102">
        <f>'2.RC'!E26</f>
        <v>0</v>
      </c>
      <c r="D28" s="103"/>
      <c r="E28" s="100"/>
    </row>
    <row r="29" spans="1:5">
      <c r="A29" s="64">
        <v>18</v>
      </c>
      <c r="B29" s="101" t="s">
        <v>54</v>
      </c>
      <c r="C29" s="102">
        <f>'2.RC'!E27</f>
        <v>18387911.104543999</v>
      </c>
      <c r="D29" s="103"/>
      <c r="E29" s="100"/>
    </row>
    <row r="30" spans="1:5">
      <c r="A30" s="64">
        <v>19</v>
      </c>
      <c r="B30" s="101" t="s">
        <v>55</v>
      </c>
      <c r="C30" s="102">
        <f>'2.RC'!E28</f>
        <v>1780264.68</v>
      </c>
      <c r="D30" s="103"/>
      <c r="E30" s="100"/>
    </row>
    <row r="31" spans="1:5">
      <c r="A31" s="64">
        <v>20</v>
      </c>
      <c r="B31" s="101" t="s">
        <v>56</v>
      </c>
      <c r="C31" s="102">
        <f>'2.RC'!E29</f>
        <v>10446182.602799999</v>
      </c>
      <c r="D31" s="103"/>
      <c r="E31" s="100"/>
    </row>
    <row r="32" spans="1:5">
      <c r="A32" s="64">
        <v>21</v>
      </c>
      <c r="B32" s="110" t="s">
        <v>57</v>
      </c>
      <c r="C32" s="111">
        <f>'2.RC'!E30</f>
        <v>0</v>
      </c>
      <c r="D32" s="112"/>
      <c r="E32" s="100"/>
    </row>
    <row r="33" spans="1:5">
      <c r="A33" s="64">
        <v>21.1</v>
      </c>
      <c r="B33" s="119" t="s">
        <v>92</v>
      </c>
      <c r="C33" s="120">
        <f>'9.Capital'!C44</f>
        <v>0</v>
      </c>
      <c r="D33" s="109" t="s">
        <v>453</v>
      </c>
      <c r="E33" s="100"/>
    </row>
    <row r="34" spans="1:5" ht="15">
      <c r="A34" s="64">
        <v>22</v>
      </c>
      <c r="B34" s="113" t="s">
        <v>58</v>
      </c>
      <c r="C34" s="114">
        <f>SUM(C24:C32)</f>
        <v>202396116.34734404</v>
      </c>
      <c r="D34" s="115"/>
      <c r="E34" s="116"/>
    </row>
    <row r="35" spans="1:5">
      <c r="A35" s="64">
        <v>23</v>
      </c>
      <c r="B35" s="110" t="s">
        <v>60</v>
      </c>
      <c r="C35" s="102">
        <f>'9.Capital'!C7</f>
        <v>69161600</v>
      </c>
      <c r="D35" s="109" t="s">
        <v>454</v>
      </c>
      <c r="E35" s="100"/>
    </row>
    <row r="36" spans="1:5">
      <c r="A36" s="64">
        <v>24</v>
      </c>
      <c r="B36" s="110" t="s">
        <v>61</v>
      </c>
      <c r="C36" s="102"/>
      <c r="D36" s="103"/>
      <c r="E36" s="100"/>
    </row>
    <row r="37" spans="1:5">
      <c r="A37" s="64">
        <v>25</v>
      </c>
      <c r="B37" s="110" t="s">
        <v>62</v>
      </c>
      <c r="C37" s="102"/>
      <c r="D37" s="103"/>
      <c r="E37" s="100"/>
    </row>
    <row r="38" spans="1:5">
      <c r="A38" s="64">
        <v>26</v>
      </c>
      <c r="B38" s="110" t="s">
        <v>63</v>
      </c>
      <c r="C38" s="102"/>
      <c r="D38" s="103"/>
      <c r="E38" s="100"/>
    </row>
    <row r="39" spans="1:5">
      <c r="A39" s="64">
        <v>27</v>
      </c>
      <c r="B39" s="110" t="s">
        <v>64</v>
      </c>
      <c r="C39" s="102"/>
      <c r="D39" s="103"/>
      <c r="E39" s="100"/>
    </row>
    <row r="40" spans="1:5">
      <c r="A40" s="64">
        <v>28</v>
      </c>
      <c r="B40" s="110" t="s">
        <v>65</v>
      </c>
      <c r="C40" s="102">
        <f>'9.Capital'!C11</f>
        <v>10904413.057901558</v>
      </c>
      <c r="D40" s="109" t="s">
        <v>455</v>
      </c>
      <c r="E40" s="100"/>
    </row>
    <row r="41" spans="1:5">
      <c r="A41" s="64">
        <v>29</v>
      </c>
      <c r="B41" s="110" t="s">
        <v>66</v>
      </c>
      <c r="C41" s="102"/>
      <c r="D41" s="103"/>
      <c r="E41" s="100"/>
    </row>
    <row r="42" spans="1:5" ht="15.75" thickBot="1">
      <c r="A42" s="121">
        <v>30</v>
      </c>
      <c r="B42" s="122" t="s">
        <v>273</v>
      </c>
      <c r="C42" s="123">
        <f>SUM(C35:C41)</f>
        <v>80066013.057901561</v>
      </c>
      <c r="D42" s="124"/>
      <c r="E42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80" zoomScaleNormal="8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80.5703125" style="4" bestFit="1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2" width="13" style="29" bestFit="1" customWidth="1"/>
    <col min="13" max="13" width="16.28515625" style="29" bestFit="1" customWidth="1"/>
    <col min="14" max="14" width="13" style="29" bestFit="1" customWidth="1"/>
    <col min="15" max="17" width="12.28515625" style="29" bestFit="1" customWidth="1"/>
    <col min="18" max="18" width="13" style="29" bestFit="1" customWidth="1"/>
    <col min="19" max="19" width="18.5703125" style="29" customWidth="1"/>
    <col min="20" max="16384" width="9.140625" style="29"/>
  </cols>
  <sheetData>
    <row r="1" spans="1:19">
      <c r="A1" s="337" t="s">
        <v>30</v>
      </c>
      <c r="B1" s="338" t="s">
        <v>442</v>
      </c>
    </row>
    <row r="2" spans="1:19">
      <c r="A2" s="337" t="s">
        <v>31</v>
      </c>
      <c r="B2" s="339">
        <f>'1. key ratios '!B2</f>
        <v>43738</v>
      </c>
    </row>
    <row r="4" spans="1:19" ht="26.25" thickBot="1">
      <c r="A4" s="4" t="s">
        <v>255</v>
      </c>
      <c r="B4" s="254" t="s">
        <v>382</v>
      </c>
    </row>
    <row r="5" spans="1:19" s="244" customFormat="1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365</v>
      </c>
      <c r="P5" s="241" t="s">
        <v>366</v>
      </c>
      <c r="Q5" s="241" t="s">
        <v>367</v>
      </c>
      <c r="R5" s="242" t="s">
        <v>368</v>
      </c>
      <c r="S5" s="243" t="s">
        <v>369</v>
      </c>
    </row>
    <row r="6" spans="1:19" s="244" customFormat="1" ht="99" customHeight="1">
      <c r="A6" s="245"/>
      <c r="B6" s="563" t="s">
        <v>370</v>
      </c>
      <c r="C6" s="559">
        <v>0</v>
      </c>
      <c r="D6" s="560"/>
      <c r="E6" s="559">
        <v>0.2</v>
      </c>
      <c r="F6" s="560"/>
      <c r="G6" s="559">
        <v>0.35</v>
      </c>
      <c r="H6" s="560"/>
      <c r="I6" s="559">
        <v>0.5</v>
      </c>
      <c r="J6" s="560"/>
      <c r="K6" s="559">
        <v>0.75</v>
      </c>
      <c r="L6" s="560"/>
      <c r="M6" s="559">
        <v>1</v>
      </c>
      <c r="N6" s="560"/>
      <c r="O6" s="559">
        <v>1.5</v>
      </c>
      <c r="P6" s="560"/>
      <c r="Q6" s="559">
        <v>2.5</v>
      </c>
      <c r="R6" s="560"/>
      <c r="S6" s="561" t="s">
        <v>254</v>
      </c>
    </row>
    <row r="7" spans="1:19" s="244" customFormat="1" ht="30.75" customHeight="1">
      <c r="A7" s="245"/>
      <c r="B7" s="564"/>
      <c r="C7" s="236" t="s">
        <v>257</v>
      </c>
      <c r="D7" s="236" t="s">
        <v>256</v>
      </c>
      <c r="E7" s="236" t="s">
        <v>257</v>
      </c>
      <c r="F7" s="236" t="s">
        <v>256</v>
      </c>
      <c r="G7" s="236" t="s">
        <v>257</v>
      </c>
      <c r="H7" s="236" t="s">
        <v>256</v>
      </c>
      <c r="I7" s="236" t="s">
        <v>257</v>
      </c>
      <c r="J7" s="236" t="s">
        <v>256</v>
      </c>
      <c r="K7" s="236" t="s">
        <v>257</v>
      </c>
      <c r="L7" s="236" t="s">
        <v>256</v>
      </c>
      <c r="M7" s="236" t="s">
        <v>257</v>
      </c>
      <c r="N7" s="236" t="s">
        <v>256</v>
      </c>
      <c r="O7" s="236" t="s">
        <v>257</v>
      </c>
      <c r="P7" s="236" t="s">
        <v>256</v>
      </c>
      <c r="Q7" s="236" t="s">
        <v>257</v>
      </c>
      <c r="R7" s="236" t="s">
        <v>256</v>
      </c>
      <c r="S7" s="562"/>
    </row>
    <row r="8" spans="1:19" s="127" customFormat="1">
      <c r="A8" s="125">
        <v>1</v>
      </c>
      <c r="B8" s="1" t="s">
        <v>97</v>
      </c>
      <c r="C8" s="126">
        <v>11670817.710958652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55172498.69903335</v>
      </c>
      <c r="N8" s="126"/>
      <c r="O8" s="126"/>
      <c r="P8" s="126"/>
      <c r="Q8" s="126"/>
      <c r="R8" s="126"/>
      <c r="S8" s="442">
        <f>$C$6*SUM(C8:D8)+$E$6*SUM(E8:F8)+$G$6*SUM(G8:H8)+$I$6*SUM(I8:J8)+$K$6*SUM(K8:L8)+$M$6*SUM(M8:N8)+$O$6*SUM(O8:P8)+$Q$6*SUM(Q8:R8)</f>
        <v>55172498.69903335</v>
      </c>
    </row>
    <row r="9" spans="1:19" s="127" customFormat="1">
      <c r="A9" s="125">
        <v>2</v>
      </c>
      <c r="B9" s="1" t="s">
        <v>98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2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276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2">
        <f t="shared" si="0"/>
        <v>0</v>
      </c>
    </row>
    <row r="11" spans="1:19" s="127" customFormat="1">
      <c r="A11" s="125">
        <v>4</v>
      </c>
      <c r="B11" s="1" t="s">
        <v>99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2">
        <f t="shared" si="0"/>
        <v>0</v>
      </c>
    </row>
    <row r="12" spans="1:19" s="127" customFormat="1">
      <c r="A12" s="125">
        <v>5</v>
      </c>
      <c r="B12" s="1" t="s">
        <v>100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2">
        <f t="shared" si="0"/>
        <v>0</v>
      </c>
    </row>
    <row r="13" spans="1:19" s="127" customFormat="1">
      <c r="A13" s="125">
        <v>6</v>
      </c>
      <c r="B13" s="1" t="s">
        <v>101</v>
      </c>
      <c r="C13" s="126"/>
      <c r="D13" s="126"/>
      <c r="E13" s="126">
        <v>21030065.43</v>
      </c>
      <c r="F13" s="126">
        <v>0</v>
      </c>
      <c r="G13" s="126"/>
      <c r="H13" s="126"/>
      <c r="I13" s="126">
        <v>35388426.796291992</v>
      </c>
      <c r="J13" s="126">
        <v>22773.02</v>
      </c>
      <c r="K13" s="126"/>
      <c r="L13" s="126"/>
      <c r="M13" s="126">
        <v>9925866.4600000009</v>
      </c>
      <c r="N13" s="126">
        <v>11953241.002392</v>
      </c>
      <c r="O13" s="126"/>
      <c r="P13" s="126"/>
      <c r="Q13" s="126"/>
      <c r="R13" s="126"/>
      <c r="S13" s="442">
        <f t="shared" si="0"/>
        <v>43790720.456537999</v>
      </c>
    </row>
    <row r="14" spans="1:19" s="127" customFormat="1">
      <c r="A14" s="125">
        <v>7</v>
      </c>
      <c r="B14" s="1" t="s">
        <v>102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124967429.78770712</v>
      </c>
      <c r="N14" s="126">
        <v>28600682.175216001</v>
      </c>
      <c r="O14" s="126"/>
      <c r="P14" s="126"/>
      <c r="Q14" s="126"/>
      <c r="R14" s="126"/>
      <c r="S14" s="442">
        <f t="shared" si="0"/>
        <v>153568111.96292311</v>
      </c>
    </row>
    <row r="15" spans="1:19" s="127" customFormat="1">
      <c r="A15" s="125">
        <v>8</v>
      </c>
      <c r="B15" s="1" t="s">
        <v>103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442">
        <f t="shared" si="0"/>
        <v>0</v>
      </c>
    </row>
    <row r="16" spans="1:19" s="127" customFormat="1">
      <c r="A16" s="125">
        <v>9</v>
      </c>
      <c r="B16" s="1" t="s">
        <v>104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442">
        <f t="shared" si="0"/>
        <v>0</v>
      </c>
    </row>
    <row r="17" spans="1:19" s="127" customFormat="1">
      <c r="A17" s="125">
        <v>10</v>
      </c>
      <c r="B17" s="1" t="s">
        <v>105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2176135.5600000019</v>
      </c>
      <c r="N17" s="126"/>
      <c r="O17" s="126"/>
      <c r="P17" s="126"/>
      <c r="Q17" s="126"/>
      <c r="R17" s="126"/>
      <c r="S17" s="442">
        <f t="shared" si="0"/>
        <v>2176135.5600000019</v>
      </c>
    </row>
    <row r="18" spans="1:19" s="127" customFormat="1">
      <c r="A18" s="125">
        <v>11</v>
      </c>
      <c r="B18" s="1" t="s">
        <v>106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2">
        <f t="shared" si="0"/>
        <v>0</v>
      </c>
    </row>
    <row r="19" spans="1:19" s="127" customFormat="1">
      <c r="A19" s="125">
        <v>12</v>
      </c>
      <c r="B19" s="1" t="s">
        <v>107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2">
        <f t="shared" si="0"/>
        <v>0</v>
      </c>
    </row>
    <row r="20" spans="1:19" s="127" customFormat="1">
      <c r="A20" s="125">
        <v>13</v>
      </c>
      <c r="B20" s="1" t="s">
        <v>253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2">
        <f t="shared" si="0"/>
        <v>0</v>
      </c>
    </row>
    <row r="21" spans="1:19" s="127" customFormat="1">
      <c r="A21" s="125">
        <v>14</v>
      </c>
      <c r="B21" s="1" t="s">
        <v>109</v>
      </c>
      <c r="C21" s="126">
        <v>5139043.87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19699899.675920703</v>
      </c>
      <c r="N21" s="126"/>
      <c r="O21" s="126">
        <v>0</v>
      </c>
      <c r="P21" s="126"/>
      <c r="Q21" s="126">
        <v>0</v>
      </c>
      <c r="R21" s="126"/>
      <c r="S21" s="442">
        <f t="shared" si="0"/>
        <v>19699899.675920703</v>
      </c>
    </row>
    <row r="22" spans="1:19" ht="13.5" thickBot="1">
      <c r="A22" s="128"/>
      <c r="B22" s="129" t="s">
        <v>110</v>
      </c>
      <c r="C22" s="440">
        <f>SUM(C8:C21)</f>
        <v>16809861.580958653</v>
      </c>
      <c r="D22" s="440">
        <f t="shared" ref="D22:J22" si="1">SUM(D8:D21)</f>
        <v>0</v>
      </c>
      <c r="E22" s="440">
        <f t="shared" si="1"/>
        <v>21030065.43</v>
      </c>
      <c r="F22" s="440">
        <f t="shared" si="1"/>
        <v>0</v>
      </c>
      <c r="G22" s="440">
        <f t="shared" si="1"/>
        <v>0</v>
      </c>
      <c r="H22" s="440">
        <f t="shared" si="1"/>
        <v>0</v>
      </c>
      <c r="I22" s="440">
        <f t="shared" si="1"/>
        <v>35388426.796291992</v>
      </c>
      <c r="J22" s="440">
        <f t="shared" si="1"/>
        <v>22773.02</v>
      </c>
      <c r="K22" s="440">
        <f t="shared" ref="K22:S22" si="2">SUM(K8:K21)</f>
        <v>0</v>
      </c>
      <c r="L22" s="440">
        <f t="shared" si="2"/>
        <v>0</v>
      </c>
      <c r="M22" s="440">
        <f t="shared" si="2"/>
        <v>211941830.18266118</v>
      </c>
      <c r="N22" s="440">
        <f t="shared" si="2"/>
        <v>40553923.177607998</v>
      </c>
      <c r="O22" s="440">
        <f t="shared" si="2"/>
        <v>0</v>
      </c>
      <c r="P22" s="440">
        <f t="shared" si="2"/>
        <v>0</v>
      </c>
      <c r="Q22" s="440">
        <f t="shared" si="2"/>
        <v>0</v>
      </c>
      <c r="R22" s="440">
        <f t="shared" si="2"/>
        <v>0</v>
      </c>
      <c r="S22" s="441">
        <f t="shared" si="2"/>
        <v>274407366.35441518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29"/>
  </cols>
  <sheetData>
    <row r="1" spans="1:22">
      <c r="A1" s="337" t="s">
        <v>30</v>
      </c>
      <c r="B1" s="338" t="s">
        <v>442</v>
      </c>
    </row>
    <row r="2" spans="1:22">
      <c r="A2" s="337" t="s">
        <v>31</v>
      </c>
      <c r="B2" s="339">
        <f>'1. key ratios '!B2</f>
        <v>43738</v>
      </c>
    </row>
    <row r="4" spans="1:22" ht="13.5" thickBot="1">
      <c r="A4" s="4" t="s">
        <v>373</v>
      </c>
      <c r="B4" s="130" t="s">
        <v>96</v>
      </c>
      <c r="V4" s="31" t="s">
        <v>73</v>
      </c>
    </row>
    <row r="5" spans="1:22" ht="12.75" customHeight="1">
      <c r="A5" s="131"/>
      <c r="B5" s="132"/>
      <c r="C5" s="565" t="s">
        <v>284</v>
      </c>
      <c r="D5" s="566"/>
      <c r="E5" s="566"/>
      <c r="F5" s="566"/>
      <c r="G5" s="566"/>
      <c r="H5" s="566"/>
      <c r="I5" s="566"/>
      <c r="J5" s="566"/>
      <c r="K5" s="566"/>
      <c r="L5" s="567"/>
      <c r="M5" s="568" t="s">
        <v>285</v>
      </c>
      <c r="N5" s="569"/>
      <c r="O5" s="569"/>
      <c r="P5" s="569"/>
      <c r="Q5" s="569"/>
      <c r="R5" s="569"/>
      <c r="S5" s="570"/>
      <c r="T5" s="573" t="s">
        <v>371</v>
      </c>
      <c r="U5" s="573" t="s">
        <v>372</v>
      </c>
      <c r="V5" s="571" t="s">
        <v>122</v>
      </c>
    </row>
    <row r="6" spans="1:22" s="70" customFormat="1" ht="102">
      <c r="A6" s="67"/>
      <c r="B6" s="133"/>
      <c r="C6" s="134" t="s">
        <v>111</v>
      </c>
      <c r="D6" s="213" t="s">
        <v>112</v>
      </c>
      <c r="E6" s="157" t="s">
        <v>287</v>
      </c>
      <c r="F6" s="157" t="s">
        <v>288</v>
      </c>
      <c r="G6" s="213" t="s">
        <v>291</v>
      </c>
      <c r="H6" s="213" t="s">
        <v>286</v>
      </c>
      <c r="I6" s="213" t="s">
        <v>113</v>
      </c>
      <c r="J6" s="213" t="s">
        <v>114</v>
      </c>
      <c r="K6" s="135" t="s">
        <v>115</v>
      </c>
      <c r="L6" s="136" t="s">
        <v>116</v>
      </c>
      <c r="M6" s="134" t="s">
        <v>289</v>
      </c>
      <c r="N6" s="135" t="s">
        <v>117</v>
      </c>
      <c r="O6" s="135" t="s">
        <v>118</v>
      </c>
      <c r="P6" s="135" t="s">
        <v>119</v>
      </c>
      <c r="Q6" s="135" t="s">
        <v>120</v>
      </c>
      <c r="R6" s="135" t="s">
        <v>121</v>
      </c>
      <c r="S6" s="238" t="s">
        <v>290</v>
      </c>
      <c r="T6" s="574"/>
      <c r="U6" s="574"/>
      <c r="V6" s="572"/>
    </row>
    <row r="7" spans="1:22" s="127" customFormat="1">
      <c r="A7" s="137">
        <v>1</v>
      </c>
      <c r="B7" s="1" t="s">
        <v>97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7"/>
      <c r="U7" s="447"/>
      <c r="V7" s="446">
        <f>SUM(C7:S7)</f>
        <v>0</v>
      </c>
    </row>
    <row r="8" spans="1:22" s="127" customFormat="1">
      <c r="A8" s="137">
        <v>2</v>
      </c>
      <c r="B8" s="1" t="s">
        <v>98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7"/>
      <c r="U8" s="447"/>
      <c r="V8" s="446">
        <f t="shared" ref="V8:V20" si="0">SUM(C8:S8)</f>
        <v>0</v>
      </c>
    </row>
    <row r="9" spans="1:22" s="127" customFormat="1">
      <c r="A9" s="137">
        <v>3</v>
      </c>
      <c r="B9" s="1" t="s">
        <v>277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7"/>
      <c r="U9" s="447"/>
      <c r="V9" s="446">
        <f t="shared" si="0"/>
        <v>0</v>
      </c>
    </row>
    <row r="10" spans="1:22" s="127" customFormat="1">
      <c r="A10" s="137">
        <v>4</v>
      </c>
      <c r="B10" s="1" t="s">
        <v>99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7"/>
      <c r="U10" s="447"/>
      <c r="V10" s="446">
        <f t="shared" si="0"/>
        <v>0</v>
      </c>
    </row>
    <row r="11" spans="1:22" s="127" customFormat="1">
      <c r="A11" s="137">
        <v>5</v>
      </c>
      <c r="B11" s="1" t="s">
        <v>100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7"/>
      <c r="U11" s="447"/>
      <c r="V11" s="446">
        <f t="shared" si="0"/>
        <v>0</v>
      </c>
    </row>
    <row r="12" spans="1:22" s="127" customFormat="1">
      <c r="A12" s="137">
        <v>6</v>
      </c>
      <c r="B12" s="1" t="s">
        <v>101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7"/>
      <c r="U12" s="447"/>
      <c r="V12" s="446">
        <f t="shared" si="0"/>
        <v>0</v>
      </c>
    </row>
    <row r="13" spans="1:22" s="127" customFormat="1">
      <c r="A13" s="137">
        <v>7</v>
      </c>
      <c r="B13" s="1" t="s">
        <v>102</v>
      </c>
      <c r="C13" s="138"/>
      <c r="D13" s="126">
        <v>1347512.59592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7">
        <v>399216.78592000005</v>
      </c>
      <c r="U13" s="447">
        <v>948295.80999999994</v>
      </c>
      <c r="V13" s="446">
        <f t="shared" si="0"/>
        <v>1347512.59592</v>
      </c>
    </row>
    <row r="14" spans="1:22" s="127" customFormat="1">
      <c r="A14" s="137">
        <v>8</v>
      </c>
      <c r="B14" s="1" t="s">
        <v>103</v>
      </c>
      <c r="C14" s="138"/>
      <c r="D14" s="126">
        <v>0</v>
      </c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7">
        <v>0</v>
      </c>
      <c r="U14" s="447"/>
      <c r="V14" s="446">
        <f t="shared" si="0"/>
        <v>0</v>
      </c>
    </row>
    <row r="15" spans="1:22" s="127" customFormat="1">
      <c r="A15" s="137">
        <v>9</v>
      </c>
      <c r="B15" s="1" t="s">
        <v>104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7"/>
      <c r="U15" s="447"/>
      <c r="V15" s="446">
        <f t="shared" si="0"/>
        <v>0</v>
      </c>
    </row>
    <row r="16" spans="1:22" s="127" customFormat="1">
      <c r="A16" s="137">
        <v>10</v>
      </c>
      <c r="B16" s="1" t="s">
        <v>105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7"/>
      <c r="U16" s="447"/>
      <c r="V16" s="446">
        <f t="shared" si="0"/>
        <v>0</v>
      </c>
    </row>
    <row r="17" spans="1:22" s="127" customFormat="1">
      <c r="A17" s="137">
        <v>11</v>
      </c>
      <c r="B17" s="1" t="s">
        <v>106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7"/>
      <c r="U17" s="447"/>
      <c r="V17" s="446">
        <f t="shared" si="0"/>
        <v>0</v>
      </c>
    </row>
    <row r="18" spans="1:22" s="127" customFormat="1">
      <c r="A18" s="137">
        <v>12</v>
      </c>
      <c r="B18" s="1" t="s">
        <v>107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7"/>
      <c r="U18" s="447"/>
      <c r="V18" s="446">
        <f t="shared" si="0"/>
        <v>0</v>
      </c>
    </row>
    <row r="19" spans="1:22" s="127" customFormat="1">
      <c r="A19" s="137">
        <v>13</v>
      </c>
      <c r="B19" s="1" t="s">
        <v>108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7"/>
      <c r="U19" s="447"/>
      <c r="V19" s="446">
        <f t="shared" si="0"/>
        <v>0</v>
      </c>
    </row>
    <row r="20" spans="1:22" s="127" customFormat="1">
      <c r="A20" s="137">
        <v>14</v>
      </c>
      <c r="B20" s="1" t="s">
        <v>109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7"/>
      <c r="U20" s="447"/>
      <c r="V20" s="446">
        <f t="shared" si="0"/>
        <v>0</v>
      </c>
    </row>
    <row r="21" spans="1:22" ht="13.5" thickBot="1">
      <c r="A21" s="128"/>
      <c r="B21" s="140" t="s">
        <v>110</v>
      </c>
      <c r="C21" s="443">
        <f>SUM(C7:C20)</f>
        <v>0</v>
      </c>
      <c r="D21" s="440">
        <f t="shared" ref="D21:V21" si="1">SUM(D7:D20)</f>
        <v>1347512.59592</v>
      </c>
      <c r="E21" s="440">
        <f t="shared" si="1"/>
        <v>0</v>
      </c>
      <c r="F21" s="440">
        <f t="shared" si="1"/>
        <v>0</v>
      </c>
      <c r="G21" s="440">
        <f t="shared" si="1"/>
        <v>0</v>
      </c>
      <c r="H21" s="440">
        <f t="shared" si="1"/>
        <v>0</v>
      </c>
      <c r="I21" s="440">
        <f t="shared" si="1"/>
        <v>0</v>
      </c>
      <c r="J21" s="440">
        <f t="shared" si="1"/>
        <v>0</v>
      </c>
      <c r="K21" s="440">
        <f t="shared" si="1"/>
        <v>0</v>
      </c>
      <c r="L21" s="444">
        <f t="shared" si="1"/>
        <v>0</v>
      </c>
      <c r="M21" s="443">
        <f t="shared" si="1"/>
        <v>0</v>
      </c>
      <c r="N21" s="440">
        <f t="shared" si="1"/>
        <v>0</v>
      </c>
      <c r="O21" s="440">
        <f t="shared" si="1"/>
        <v>0</v>
      </c>
      <c r="P21" s="440">
        <f t="shared" si="1"/>
        <v>0</v>
      </c>
      <c r="Q21" s="440">
        <f t="shared" si="1"/>
        <v>0</v>
      </c>
      <c r="R21" s="440">
        <f t="shared" si="1"/>
        <v>0</v>
      </c>
      <c r="S21" s="444">
        <f>SUM(S7:S20)</f>
        <v>0</v>
      </c>
      <c r="T21" s="444">
        <f>SUM(T7:T20)</f>
        <v>399216.78592000005</v>
      </c>
      <c r="U21" s="444">
        <f t="shared" ref="U21" si="2">SUM(U7:U20)</f>
        <v>948295.80999999994</v>
      </c>
      <c r="V21" s="445">
        <f t="shared" si="1"/>
        <v>1347512.59592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101.85546875" style="4" customWidth="1"/>
    <col min="3" max="3" width="13.7109375" style="246" customWidth="1"/>
    <col min="4" max="4" width="14.85546875" style="246" bestFit="1" customWidth="1"/>
    <col min="5" max="5" width="17.7109375" style="246" customWidth="1"/>
    <col min="6" max="6" width="15.85546875" style="246" customWidth="1"/>
    <col min="7" max="7" width="17.42578125" style="246" customWidth="1"/>
    <col min="8" max="8" width="15.28515625" style="246" customWidth="1"/>
    <col min="9" max="16384" width="9.140625" style="29"/>
  </cols>
  <sheetData>
    <row r="1" spans="1:9">
      <c r="A1" s="337" t="s">
        <v>30</v>
      </c>
      <c r="B1" s="338" t="s">
        <v>442</v>
      </c>
    </row>
    <row r="2" spans="1:9">
      <c r="A2" s="337" t="s">
        <v>31</v>
      </c>
      <c r="B2" s="339">
        <f>'1. key ratios '!B2</f>
        <v>43738</v>
      </c>
    </row>
    <row r="4" spans="1:9" ht="13.5" thickBot="1">
      <c r="A4" s="2" t="s">
        <v>259</v>
      </c>
      <c r="B4" s="130" t="s">
        <v>383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77" t="s">
        <v>258</v>
      </c>
      <c r="C6" s="579" t="s">
        <v>375</v>
      </c>
      <c r="D6" s="581" t="s">
        <v>374</v>
      </c>
      <c r="E6" s="582"/>
      <c r="F6" s="579" t="s">
        <v>379</v>
      </c>
      <c r="G6" s="579" t="s">
        <v>380</v>
      </c>
      <c r="H6" s="575" t="s">
        <v>378</v>
      </c>
    </row>
    <row r="7" spans="1:9" ht="38.25">
      <c r="A7" s="146"/>
      <c r="B7" s="578"/>
      <c r="C7" s="580"/>
      <c r="D7" s="250" t="s">
        <v>377</v>
      </c>
      <c r="E7" s="250" t="s">
        <v>376</v>
      </c>
      <c r="F7" s="580"/>
      <c r="G7" s="580"/>
      <c r="H7" s="576"/>
      <c r="I7" s="143"/>
    </row>
    <row r="8" spans="1:9">
      <c r="A8" s="144">
        <v>1</v>
      </c>
      <c r="B8" s="1" t="s">
        <v>97</v>
      </c>
      <c r="C8" s="251">
        <f>'11. CRWA '!C8+'11. CRWA '!E8+'11. CRWA '!G8+'11. CRWA '!I8+'11. CRWA '!K8+'11. CRWA '!M8+'11. CRWA '!O8+'11. CRWA '!Q8</f>
        <v>66843316.409992002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55172498.69903335</v>
      </c>
      <c r="G8" s="253">
        <f>F8-'12. CRM'!V7</f>
        <v>55172498.69903335</v>
      </c>
      <c r="H8" s="449">
        <f>IFERROR(G8/(C8+E8),0)</f>
        <v>0.82540037900911134</v>
      </c>
    </row>
    <row r="9" spans="1:9" ht="15" customHeight="1">
      <c r="A9" s="144">
        <v>2</v>
      </c>
      <c r="B9" s="1" t="s">
        <v>98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49">
        <f t="shared" ref="H9:H21" si="0">IFERROR(G9/(C9+E9),0)</f>
        <v>0</v>
      </c>
    </row>
    <row r="10" spans="1:9">
      <c r="A10" s="144">
        <v>3</v>
      </c>
      <c r="B10" s="1" t="s">
        <v>277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49">
        <f t="shared" si="0"/>
        <v>0</v>
      </c>
    </row>
    <row r="11" spans="1:9">
      <c r="A11" s="144">
        <v>4</v>
      </c>
      <c r="B11" s="1" t="s">
        <v>99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49">
        <f t="shared" si="0"/>
        <v>0</v>
      </c>
    </row>
    <row r="12" spans="1:9">
      <c r="A12" s="144">
        <v>5</v>
      </c>
      <c r="B12" s="1" t="s">
        <v>100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49">
        <f t="shared" si="0"/>
        <v>0</v>
      </c>
    </row>
    <row r="13" spans="1:9">
      <c r="A13" s="144">
        <v>6</v>
      </c>
      <c r="B13" s="1" t="s">
        <v>101</v>
      </c>
      <c r="C13" s="251">
        <f>'11. CRWA '!C13+'11. CRWA '!E13+'11. CRWA '!G13+'11. CRWA '!I13+'11. CRWA '!K13+'11. CRWA '!M13+'11. CRWA '!O13+'11. CRWA '!Q13</f>
        <v>66344358.686291993</v>
      </c>
      <c r="D13" s="252">
        <f>'11. CRWA '!D13+'11. CRWA '!F13+'11. CRWA '!H13+'11. CRWA '!J13+'11. CRWA '!L13+'11. CRWA '!N13+'11. CRWA '!P13+'11. CRWA '!R13</f>
        <v>11976014.022391999</v>
      </c>
      <c r="E13" s="251">
        <f>'11. CRWA '!D13+'11. CRWA '!F13+'11. CRWA '!H13+'11. CRWA '!J13+'11. CRWA '!L13+'11. CRWA '!N13+'11. CRWA '!P13+'11. CRWA '!R13</f>
        <v>11976014.022391999</v>
      </c>
      <c r="F13" s="251">
        <f>'11. CRWA '!S13</f>
        <v>43790720.456537999</v>
      </c>
      <c r="G13" s="253">
        <f>F13-'12. CRM'!V12</f>
        <v>43790720.456537999</v>
      </c>
      <c r="H13" s="449">
        <f t="shared" si="0"/>
        <v>0.55912298348501832</v>
      </c>
    </row>
    <row r="14" spans="1:9">
      <c r="A14" s="144">
        <v>7</v>
      </c>
      <c r="B14" s="1" t="s">
        <v>102</v>
      </c>
      <c r="C14" s="251">
        <f>'11. CRWA '!C14+'11. CRWA '!E14+'11. CRWA '!G14+'11. CRWA '!I14+'11. CRWA '!K14+'11. CRWA '!M14+'11. CRWA '!O14+'11. CRWA '!Q14</f>
        <v>124967429.78770712</v>
      </c>
      <c r="D14" s="252">
        <f>'4. Off-Balance'!E7-D13</f>
        <v>40618344.587608002</v>
      </c>
      <c r="E14" s="251">
        <f>'11. CRWA '!D14+'11. CRWA '!F14+'11. CRWA '!H14+'11. CRWA '!J14+'11. CRWA '!L14+'11. CRWA '!N14+'11. CRWA '!P14+'11. CRWA '!R14</f>
        <v>28600682.175216001</v>
      </c>
      <c r="F14" s="251">
        <f>'11. CRWA '!S14</f>
        <v>153568111.96292311</v>
      </c>
      <c r="G14" s="253">
        <f>F14-'12. CRM'!V13</f>
        <v>152220599.36700311</v>
      </c>
      <c r="H14" s="449">
        <f t="shared" si="0"/>
        <v>0.99122530987262947</v>
      </c>
    </row>
    <row r="15" spans="1:9">
      <c r="A15" s="144">
        <v>8</v>
      </c>
      <c r="B15" s="1" t="s">
        <v>103</v>
      </c>
      <c r="C15" s="251">
        <f>'11. CRWA '!C15+'11. CRWA '!E15+'11. CRWA '!G15+'11. CRWA '!I15+'11. CRWA '!K15+'11. CRWA '!M15+'11. CRWA '!O15+'11. CRWA '!Q15</f>
        <v>0</v>
      </c>
      <c r="D15" s="252"/>
      <c r="E15" s="251">
        <f>'11. CRWA '!D15+'11. CRWA '!F15+'11. CRWA '!H15+'11. CRWA '!J15+'11. CRWA '!L15+'11. CRWA '!N15+'11. CRWA '!P15+'11. CRWA '!R15</f>
        <v>0</v>
      </c>
      <c r="F15" s="251">
        <f>'11. CRWA '!S15</f>
        <v>0</v>
      </c>
      <c r="G15" s="253">
        <f>F15-'12. CRM'!V14</f>
        <v>0</v>
      </c>
      <c r="H15" s="449">
        <f t="shared" si="0"/>
        <v>0</v>
      </c>
    </row>
    <row r="16" spans="1:9">
      <c r="A16" s="144">
        <v>9</v>
      </c>
      <c r="B16" s="1" t="s">
        <v>104</v>
      </c>
      <c r="C16" s="251">
        <f>'11. CRWA '!C16+'11. CRWA '!E16+'11. CRWA '!G16+'11. CRWA '!I16+'11. CRWA '!K16+'11. CRWA '!M16+'11. CRWA '!O16+'11. CRWA '!Q16</f>
        <v>0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0</v>
      </c>
      <c r="G16" s="253">
        <f>F16-'12. CRM'!V15</f>
        <v>0</v>
      </c>
      <c r="H16" s="449">
        <f t="shared" si="0"/>
        <v>0</v>
      </c>
    </row>
    <row r="17" spans="1:8">
      <c r="A17" s="144">
        <v>10</v>
      </c>
      <c r="B17" s="1" t="s">
        <v>105</v>
      </c>
      <c r="C17" s="251">
        <f>'11. CRWA '!C17+'11. CRWA '!E17+'11. CRWA '!G17+'11. CRWA '!I17+'11. CRWA '!K17+'11. CRWA '!M17+'11. CRWA '!O17+'11. CRWA '!Q17</f>
        <v>2176135.5600000019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2176135.5600000019</v>
      </c>
      <c r="G17" s="253">
        <f>F17-'12. CRM'!V16</f>
        <v>2176135.5600000019</v>
      </c>
      <c r="H17" s="449">
        <f t="shared" si="0"/>
        <v>1</v>
      </c>
    </row>
    <row r="18" spans="1:8">
      <c r="A18" s="144">
        <v>11</v>
      </c>
      <c r="B18" s="1" t="s">
        <v>106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49">
        <f t="shared" si="0"/>
        <v>0</v>
      </c>
    </row>
    <row r="19" spans="1:8">
      <c r="A19" s="144">
        <v>12</v>
      </c>
      <c r="B19" s="1" t="s">
        <v>107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49">
        <f t="shared" si="0"/>
        <v>0</v>
      </c>
    </row>
    <row r="20" spans="1:8">
      <c r="A20" s="144">
        <v>13</v>
      </c>
      <c r="B20" s="1" t="s">
        <v>253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49">
        <f t="shared" si="0"/>
        <v>0</v>
      </c>
    </row>
    <row r="21" spans="1:8">
      <c r="A21" s="144">
        <v>14</v>
      </c>
      <c r="B21" s="1" t="s">
        <v>109</v>
      </c>
      <c r="C21" s="251">
        <f>'11. CRWA '!C21+'11. CRWA '!E21+'11. CRWA '!G21+'11. CRWA '!I21+'11. CRWA '!K21+'11. CRWA '!M21+'11. CRWA '!O21+'11. CRWA '!Q21</f>
        <v>24838943.545920704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19699899.675920703</v>
      </c>
      <c r="G21" s="253">
        <f>F21-'12. CRM'!V20</f>
        <v>19699899.675920703</v>
      </c>
      <c r="H21" s="449">
        <f t="shared" si="0"/>
        <v>0.79310537662363723</v>
      </c>
    </row>
    <row r="22" spans="1:8" ht="13.5" thickBot="1">
      <c r="A22" s="147"/>
      <c r="B22" s="148" t="s">
        <v>110</v>
      </c>
      <c r="C22" s="448">
        <f>SUM(C8:C21)</f>
        <v>285170183.98991185</v>
      </c>
      <c r="D22" s="448">
        <f>SUM(D8:D21)</f>
        <v>52594358.609999999</v>
      </c>
      <c r="E22" s="448">
        <f>SUM(E8:E21)</f>
        <v>40576696.197608002</v>
      </c>
      <c r="F22" s="448">
        <f>SUM(F8:F21)</f>
        <v>274407366.35441518</v>
      </c>
      <c r="G22" s="448">
        <f>SUM(G8:G21)</f>
        <v>273059853.75849515</v>
      </c>
      <c r="H22" s="450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.140625" defaultRowHeight="12.75"/>
  <cols>
    <col min="1" max="1" width="10.5703125" style="246" bestFit="1" customWidth="1"/>
    <col min="2" max="2" width="104.140625" style="246" customWidth="1"/>
    <col min="3" max="9" width="12.7109375" style="246" customWidth="1"/>
    <col min="10" max="10" width="13.5703125" style="246" bestFit="1" customWidth="1"/>
    <col min="11" max="11" width="12.7109375" style="246" customWidth="1"/>
    <col min="12" max="16384" width="9.140625" style="246"/>
  </cols>
  <sheetData>
    <row r="1" spans="1:11">
      <c r="A1" s="337" t="s">
        <v>30</v>
      </c>
      <c r="B1" s="338" t="s">
        <v>442</v>
      </c>
    </row>
    <row r="2" spans="1:11">
      <c r="A2" s="337" t="s">
        <v>31</v>
      </c>
      <c r="B2" s="339">
        <f>'1. key ratios '!B2</f>
        <v>43738</v>
      </c>
      <c r="C2" s="267"/>
      <c r="D2" s="267"/>
    </row>
    <row r="3" spans="1:11">
      <c r="B3" s="267"/>
      <c r="C3" s="267"/>
      <c r="D3" s="267"/>
    </row>
    <row r="4" spans="1:11" ht="13.5" thickBot="1">
      <c r="A4" s="246" t="s">
        <v>255</v>
      </c>
      <c r="B4" s="293" t="s">
        <v>384</v>
      </c>
      <c r="C4" s="267"/>
      <c r="D4" s="267"/>
    </row>
    <row r="5" spans="1:11" ht="30" customHeight="1">
      <c r="A5" s="583"/>
      <c r="B5" s="584"/>
      <c r="C5" s="585" t="s">
        <v>439</v>
      </c>
      <c r="D5" s="586"/>
      <c r="E5" s="587"/>
      <c r="F5" s="585" t="s">
        <v>440</v>
      </c>
      <c r="G5" s="586"/>
      <c r="H5" s="587"/>
      <c r="I5" s="586" t="s">
        <v>441</v>
      </c>
      <c r="J5" s="586"/>
      <c r="K5" s="587"/>
    </row>
    <row r="6" spans="1:11">
      <c r="A6" s="268"/>
      <c r="B6" s="269"/>
      <c r="C6" s="481" t="s">
        <v>69</v>
      </c>
      <c r="D6" s="384" t="s">
        <v>70</v>
      </c>
      <c r="E6" s="397" t="s">
        <v>71</v>
      </c>
      <c r="F6" s="481" t="s">
        <v>69</v>
      </c>
      <c r="G6" s="384" t="s">
        <v>70</v>
      </c>
      <c r="H6" s="397" t="s">
        <v>71</v>
      </c>
      <c r="I6" s="475" t="s">
        <v>69</v>
      </c>
      <c r="J6" s="191" t="s">
        <v>70</v>
      </c>
      <c r="K6" s="191" t="s">
        <v>71</v>
      </c>
    </row>
    <row r="7" spans="1:11">
      <c r="A7" s="270" t="s">
        <v>387</v>
      </c>
      <c r="B7" s="271"/>
      <c r="C7" s="466"/>
      <c r="D7" s="271"/>
      <c r="E7" s="272"/>
      <c r="F7" s="466"/>
      <c r="G7" s="271"/>
      <c r="H7" s="272"/>
      <c r="I7" s="271"/>
      <c r="J7" s="271"/>
      <c r="K7" s="272"/>
    </row>
    <row r="8" spans="1:11">
      <c r="A8" s="273">
        <v>1</v>
      </c>
      <c r="B8" s="275" t="s">
        <v>385</v>
      </c>
      <c r="C8" s="482"/>
      <c r="D8" s="274"/>
      <c r="E8" s="303"/>
      <c r="F8" s="460">
        <v>30057232.744441364</v>
      </c>
      <c r="G8" s="472">
        <v>55054339.982510015</v>
      </c>
      <c r="H8" s="462">
        <f>F8+G8</f>
        <v>85111572.726951376</v>
      </c>
      <c r="I8" s="476">
        <v>23582100.716758236</v>
      </c>
      <c r="J8" s="472">
        <v>37479606.011780187</v>
      </c>
      <c r="K8" s="462">
        <f>I8+J8</f>
        <v>61061706.728538424</v>
      </c>
    </row>
    <row r="9" spans="1:11">
      <c r="A9" s="270" t="s">
        <v>388</v>
      </c>
      <c r="B9" s="271"/>
      <c r="C9" s="466"/>
      <c r="D9" s="271"/>
      <c r="E9" s="272"/>
      <c r="F9" s="466"/>
      <c r="G9" s="271"/>
      <c r="H9" s="272"/>
      <c r="I9" s="271"/>
      <c r="J9" s="271"/>
      <c r="K9" s="272"/>
    </row>
    <row r="10" spans="1:11">
      <c r="A10" s="276">
        <v>2</v>
      </c>
      <c r="B10" s="277" t="s">
        <v>396</v>
      </c>
      <c r="C10" s="460">
        <v>997977.84501831455</v>
      </c>
      <c r="D10" s="461">
        <v>15797789.332083335</v>
      </c>
      <c r="E10" s="462">
        <f>C10+D10</f>
        <v>16795767.177101649</v>
      </c>
      <c r="F10" s="460">
        <v>385838.41978333337</v>
      </c>
      <c r="G10" s="461">
        <v>4480976.2444470702</v>
      </c>
      <c r="H10" s="462">
        <f>F10+G10</f>
        <v>4866814.6642304035</v>
      </c>
      <c r="I10" s="476">
        <v>65778.64976190473</v>
      </c>
      <c r="J10" s="461">
        <v>1155186.4429487183</v>
      </c>
      <c r="K10" s="462">
        <f>I10+J10</f>
        <v>1220965.0927106231</v>
      </c>
    </row>
    <row r="11" spans="1:11">
      <c r="A11" s="276">
        <v>3</v>
      </c>
      <c r="B11" s="277" t="s">
        <v>390</v>
      </c>
      <c r="C11" s="460">
        <v>6449212.7322710659</v>
      </c>
      <c r="D11" s="461">
        <v>150866083.02319577</v>
      </c>
      <c r="E11" s="462">
        <f>C11+D11</f>
        <v>157315295.75546685</v>
      </c>
      <c r="F11" s="460">
        <v>2911083.5644313185</v>
      </c>
      <c r="G11" s="460">
        <v>42547616.070214227</v>
      </c>
      <c r="H11" s="462">
        <f>F11+G11</f>
        <v>45458699.634645544</v>
      </c>
      <c r="I11" s="476">
        <v>2169060.1136758234</v>
      </c>
      <c r="J11" s="460">
        <v>50613773.760332555</v>
      </c>
      <c r="K11" s="462">
        <f>I11+J11</f>
        <v>52782833.87400838</v>
      </c>
    </row>
    <row r="12" spans="1:11">
      <c r="A12" s="276">
        <v>4</v>
      </c>
      <c r="B12" s="277" t="s">
        <v>391</v>
      </c>
      <c r="C12" s="463"/>
      <c r="D12" s="277"/>
      <c r="E12" s="278"/>
      <c r="F12" s="463"/>
      <c r="G12" s="277"/>
      <c r="H12" s="278"/>
      <c r="I12" s="477"/>
      <c r="J12" s="277"/>
      <c r="K12" s="278"/>
    </row>
    <row r="13" spans="1:11">
      <c r="A13" s="276">
        <v>5</v>
      </c>
      <c r="B13" s="277" t="s">
        <v>399</v>
      </c>
      <c r="C13" s="460">
        <v>26655886.908205133</v>
      </c>
      <c r="D13" s="461">
        <v>17829940.120879117</v>
      </c>
      <c r="E13" s="462">
        <f>C13+D13</f>
        <v>44485827.02908425</v>
      </c>
      <c r="F13" s="460">
        <v>2724394.6534377285</v>
      </c>
      <c r="G13" s="461">
        <v>1923263.6489157511</v>
      </c>
      <c r="H13" s="462">
        <f>F13+G13</f>
        <v>4647658.3023534799</v>
      </c>
      <c r="I13" s="476">
        <v>1338467.7813076924</v>
      </c>
      <c r="J13" s="461">
        <v>901265.26245421206</v>
      </c>
      <c r="K13" s="462">
        <f>I13+J13</f>
        <v>2239733.0437619044</v>
      </c>
    </row>
    <row r="14" spans="1:11">
      <c r="A14" s="276">
        <v>6</v>
      </c>
      <c r="B14" s="277" t="s">
        <v>434</v>
      </c>
      <c r="C14" s="463"/>
      <c r="D14" s="277"/>
      <c r="E14" s="278"/>
      <c r="F14" s="463"/>
      <c r="G14" s="277"/>
      <c r="H14" s="278"/>
      <c r="I14" s="477"/>
      <c r="J14" s="277"/>
      <c r="K14" s="278"/>
    </row>
    <row r="15" spans="1:11">
      <c r="A15" s="276">
        <v>7</v>
      </c>
      <c r="B15" s="277" t="s">
        <v>435</v>
      </c>
      <c r="C15" s="460">
        <v>14029.637069597075</v>
      </c>
      <c r="D15" s="461">
        <v>1353258.4122344309</v>
      </c>
      <c r="E15" s="462">
        <f>C15+D15</f>
        <v>1367288.049304028</v>
      </c>
      <c r="F15" s="460">
        <v>0</v>
      </c>
      <c r="G15" s="461">
        <v>0</v>
      </c>
      <c r="H15" s="462">
        <f>F15+G15</f>
        <v>0</v>
      </c>
      <c r="I15" s="476">
        <v>0</v>
      </c>
      <c r="J15" s="461">
        <v>0</v>
      </c>
      <c r="K15" s="462">
        <f>I15+J15</f>
        <v>0</v>
      </c>
    </row>
    <row r="16" spans="1:11">
      <c r="A16" s="276">
        <v>8</v>
      </c>
      <c r="B16" s="473" t="s">
        <v>392</v>
      </c>
      <c r="C16" s="464">
        <f>SUM(C10:C15)</f>
        <v>34117107.122564107</v>
      </c>
      <c r="D16" s="465">
        <f>SUM(D10:D15)</f>
        <v>185847070.88839266</v>
      </c>
      <c r="E16" s="462">
        <f>C16+D16</f>
        <v>219964178.01095676</v>
      </c>
      <c r="F16" s="464">
        <f>SUM(F10:F15)</f>
        <v>6021316.6376523804</v>
      </c>
      <c r="G16" s="465">
        <f>SUM(G10:G15)</f>
        <v>48951855.963577047</v>
      </c>
      <c r="H16" s="462">
        <f>F16+G16</f>
        <v>54973172.601229429</v>
      </c>
      <c r="I16" s="478">
        <f>SUM(I10:I15)</f>
        <v>3573306.544745421</v>
      </c>
      <c r="J16" s="465">
        <f>SUM(J10:J15)</f>
        <v>52670225.465735488</v>
      </c>
      <c r="K16" s="462">
        <f>I16+J16</f>
        <v>56243532.010480911</v>
      </c>
    </row>
    <row r="17" spans="1:11">
      <c r="A17" s="270" t="s">
        <v>389</v>
      </c>
      <c r="B17" s="271"/>
      <c r="C17" s="466"/>
      <c r="D17" s="271"/>
      <c r="E17" s="272"/>
      <c r="F17" s="466"/>
      <c r="G17" s="271"/>
      <c r="H17" s="272"/>
      <c r="I17" s="271"/>
      <c r="J17" s="271"/>
      <c r="K17" s="272"/>
    </row>
    <row r="18" spans="1:11">
      <c r="A18" s="276">
        <v>9</v>
      </c>
      <c r="B18" s="277" t="s">
        <v>395</v>
      </c>
      <c r="C18" s="463"/>
      <c r="D18" s="277"/>
      <c r="E18" s="462">
        <f>C18+D18</f>
        <v>0</v>
      </c>
      <c r="F18" s="463"/>
      <c r="G18" s="277"/>
      <c r="H18" s="462">
        <f>F18+G18</f>
        <v>0</v>
      </c>
      <c r="I18" s="477"/>
      <c r="J18" s="277"/>
      <c r="K18" s="462">
        <f>I18+J18</f>
        <v>0</v>
      </c>
    </row>
    <row r="19" spans="1:11">
      <c r="A19" s="276">
        <v>10</v>
      </c>
      <c r="B19" s="277" t="s">
        <v>436</v>
      </c>
      <c r="C19" s="460">
        <v>67044752.740842506</v>
      </c>
      <c r="D19" s="461">
        <v>137016929.83047327</v>
      </c>
      <c r="E19" s="462">
        <f>C19+D19</f>
        <v>204061682.57131577</v>
      </c>
      <c r="F19" s="460">
        <v>3503653.617600732</v>
      </c>
      <c r="G19" s="461">
        <v>1885305.5561904756</v>
      </c>
      <c r="H19" s="462">
        <f>F19+G19</f>
        <v>5388959.1737912074</v>
      </c>
      <c r="I19" s="476">
        <v>10053888.124963369</v>
      </c>
      <c r="J19" s="461">
        <v>29205959.326041102</v>
      </c>
      <c r="K19" s="462">
        <f>I19+J19</f>
        <v>39259847.451004475</v>
      </c>
    </row>
    <row r="20" spans="1:11">
      <c r="A20" s="276">
        <v>11</v>
      </c>
      <c r="B20" s="277" t="s">
        <v>394</v>
      </c>
      <c r="C20" s="467">
        <v>5410455.5860805865</v>
      </c>
      <c r="D20" s="468">
        <v>3045741.3836042741</v>
      </c>
      <c r="E20" s="462">
        <f>C20+D20</f>
        <v>8456196.9696848616</v>
      </c>
      <c r="F20" s="467">
        <v>168352.10622710624</v>
      </c>
      <c r="G20" s="468">
        <v>72709.45804118723</v>
      </c>
      <c r="H20" s="462">
        <f>F20+G20</f>
        <v>241061.56426829347</v>
      </c>
      <c r="I20" s="479">
        <v>168352.10622710624</v>
      </c>
      <c r="J20" s="468">
        <v>72709.45804118723</v>
      </c>
      <c r="K20" s="462">
        <f>I20+J20</f>
        <v>241061.56426829347</v>
      </c>
    </row>
    <row r="21" spans="1:11" ht="13.5" thickBot="1">
      <c r="A21" s="279">
        <v>12</v>
      </c>
      <c r="B21" s="474" t="s">
        <v>393</v>
      </c>
      <c r="C21" s="469">
        <f>SUM(C18:C20)</f>
        <v>72455208.326923087</v>
      </c>
      <c r="D21" s="470">
        <f>SUM(D18:D20)</f>
        <v>140062671.21407756</v>
      </c>
      <c r="E21" s="471">
        <f>C21+D21</f>
        <v>212517879.54100066</v>
      </c>
      <c r="F21" s="469">
        <f>SUM(F18:F20)</f>
        <v>3672005.7238278384</v>
      </c>
      <c r="G21" s="470">
        <f>SUM(G18:G20)</f>
        <v>1958015.0142316627</v>
      </c>
      <c r="H21" s="471">
        <f>F21+G21</f>
        <v>5630020.7380595012</v>
      </c>
      <c r="I21" s="480">
        <f>SUM(I18:I20)</f>
        <v>10222240.231190475</v>
      </c>
      <c r="J21" s="470">
        <f>SUM(J18:J20)</f>
        <v>29278668.78408229</v>
      </c>
      <c r="K21" s="471">
        <f>I21+J21</f>
        <v>39500909.015272766</v>
      </c>
    </row>
    <row r="22" spans="1:11" ht="38.25" customHeight="1" thickBot="1">
      <c r="A22" s="280"/>
      <c r="B22" s="281"/>
      <c r="C22" s="281"/>
      <c r="D22" s="281"/>
      <c r="E22" s="281"/>
      <c r="F22" s="588" t="s">
        <v>438</v>
      </c>
      <c r="G22" s="589"/>
      <c r="H22" s="589"/>
      <c r="I22" s="588" t="s">
        <v>400</v>
      </c>
      <c r="J22" s="589"/>
      <c r="K22" s="590"/>
    </row>
    <row r="23" spans="1:11">
      <c r="A23" s="282">
        <v>13</v>
      </c>
      <c r="B23" s="283" t="s">
        <v>385</v>
      </c>
      <c r="C23" s="284"/>
      <c r="D23" s="284"/>
      <c r="E23" s="284"/>
      <c r="F23" s="451">
        <f>F8</f>
        <v>30057232.744441364</v>
      </c>
      <c r="G23" s="452">
        <f>G8</f>
        <v>55054339.982510015</v>
      </c>
      <c r="H23" s="453">
        <f>F23+G23</f>
        <v>85111572.726951376</v>
      </c>
      <c r="I23" s="451">
        <f>I8</f>
        <v>23582100.716758236</v>
      </c>
      <c r="J23" s="452">
        <f>J8</f>
        <v>37479606.011780187</v>
      </c>
      <c r="K23" s="453">
        <f t="shared" ref="K23" si="0">I23+J23</f>
        <v>61061706.728538424</v>
      </c>
    </row>
    <row r="24" spans="1:11" ht="13.5" thickBot="1">
      <c r="A24" s="285">
        <v>14</v>
      </c>
      <c r="B24" s="286" t="s">
        <v>397</v>
      </c>
      <c r="C24" s="287"/>
      <c r="D24" s="288"/>
      <c r="E24" s="289"/>
      <c r="F24" s="454">
        <f>F16-F21</f>
        <v>2349310.913824542</v>
      </c>
      <c r="G24" s="455">
        <f>G16-G21</f>
        <v>46993840.949345388</v>
      </c>
      <c r="H24" s="456">
        <f>F24+G24</f>
        <v>49343151.863169931</v>
      </c>
      <c r="I24" s="531">
        <f>I16-MIN(I16*75%,I21)</f>
        <v>893326.63618635526</v>
      </c>
      <c r="J24" s="532">
        <f>J16-MIN(J16*75%,J21)</f>
        <v>23391556.681653198</v>
      </c>
      <c r="K24" s="456">
        <f>I24+J24</f>
        <v>24284883.317839552</v>
      </c>
    </row>
    <row r="25" spans="1:11" ht="13.5" thickBot="1">
      <c r="A25" s="290">
        <v>15</v>
      </c>
      <c r="B25" s="291" t="s">
        <v>398</v>
      </c>
      <c r="C25" s="292"/>
      <c r="D25" s="292"/>
      <c r="E25" s="292"/>
      <c r="F25" s="457">
        <f>F23/F24</f>
        <v>12.794063385807855</v>
      </c>
      <c r="G25" s="458">
        <f t="shared" ref="G25:H25" si="1">G23/G24</f>
        <v>1.1715224563545046</v>
      </c>
      <c r="H25" s="459">
        <f t="shared" si="1"/>
        <v>1.7248912871023798</v>
      </c>
      <c r="I25" s="457">
        <f>I23/I24</f>
        <v>26.398071837901423</v>
      </c>
      <c r="J25" s="458">
        <f>J23/J24</f>
        <v>1.6022707048469644</v>
      </c>
      <c r="K25" s="459">
        <f>K23/K24</f>
        <v>2.5143916044135493</v>
      </c>
    </row>
    <row r="27" spans="1:11" ht="25.5">
      <c r="B27" s="266" t="s">
        <v>437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29"/>
  </cols>
  <sheetData>
    <row r="1" spans="1:14">
      <c r="A1" s="337" t="s">
        <v>30</v>
      </c>
      <c r="B1" s="338" t="s">
        <v>442</v>
      </c>
    </row>
    <row r="2" spans="1:14" ht="14.25" customHeight="1">
      <c r="A2" s="337" t="s">
        <v>31</v>
      </c>
      <c r="B2" s="339">
        <f>'1. key ratios '!B2</f>
        <v>43738</v>
      </c>
    </row>
    <row r="3" spans="1:14" ht="14.25" customHeight="1"/>
    <row r="4" spans="1:14" ht="13.5" thickBot="1">
      <c r="A4" s="4" t="s">
        <v>271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5.5">
      <c r="A6" s="155"/>
      <c r="B6" s="156"/>
      <c r="C6" s="157" t="s">
        <v>270</v>
      </c>
      <c r="D6" s="158" t="s">
        <v>269</v>
      </c>
      <c r="E6" s="159" t="s">
        <v>268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283</v>
      </c>
    </row>
    <row r="7" spans="1:14" ht="15">
      <c r="A7" s="161">
        <v>1</v>
      </c>
      <c r="B7" s="162" t="s">
        <v>267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4.25">
      <c r="A8" s="161">
        <v>1.1000000000000001</v>
      </c>
      <c r="B8" s="167" t="s">
        <v>265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/>
      <c r="L8" s="165"/>
      <c r="M8" s="165"/>
      <c r="N8" s="166">
        <f>SUMPRODUCT($F$6:$M$6,F8:M8)</f>
        <v>0</v>
      </c>
    </row>
    <row r="9" spans="1:14" ht="14.25">
      <c r="A9" s="161">
        <v>1.2</v>
      </c>
      <c r="B9" s="167" t="s">
        <v>264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4.25">
      <c r="A10" s="161">
        <v>1.3</v>
      </c>
      <c r="B10" s="167" t="s">
        <v>263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4.25">
      <c r="A11" s="161">
        <v>1.4</v>
      </c>
      <c r="B11" s="167" t="s">
        <v>262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4.25">
      <c r="A12" s="161">
        <v>1.5</v>
      </c>
      <c r="B12" s="167" t="s">
        <v>261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4.25">
      <c r="A13" s="161">
        <v>1.6</v>
      </c>
      <c r="B13" s="169" t="s">
        <v>260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5">
      <c r="A14" s="161">
        <v>2</v>
      </c>
      <c r="B14" s="171" t="s">
        <v>266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4.25">
      <c r="A15" s="161">
        <v>2.1</v>
      </c>
      <c r="B15" s="169" t="s">
        <v>265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4.25">
      <c r="A16" s="161">
        <v>2.2000000000000002</v>
      </c>
      <c r="B16" s="169" t="s">
        <v>264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4.25">
      <c r="A17" s="161">
        <v>2.2999999999999998</v>
      </c>
      <c r="B17" s="169" t="s">
        <v>263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4.25">
      <c r="A18" s="161">
        <v>2.4</v>
      </c>
      <c r="B18" s="169" t="s">
        <v>262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4.25">
      <c r="A19" s="161">
        <v>2.5</v>
      </c>
      <c r="B19" s="169" t="s">
        <v>261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4.25">
      <c r="A20" s="161">
        <v>2.6</v>
      </c>
      <c r="B20" s="169" t="s">
        <v>260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5.75" thickBot="1">
      <c r="A21" s="173"/>
      <c r="B21" s="174" t="s">
        <v>110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zoomScaleNormal="100" workbookViewId="0">
      <selection activeCell="B1" sqref="B1"/>
    </sheetView>
  </sheetViews>
  <sheetFormatPr defaultRowHeight="15"/>
  <cols>
    <col min="1" max="1" width="11.42578125" customWidth="1"/>
    <col min="2" max="2" width="76.85546875" style="528" customWidth="1"/>
    <col min="3" max="3" width="22.85546875" customWidth="1"/>
  </cols>
  <sheetData>
    <row r="1" spans="1:3">
      <c r="A1" s="337" t="s">
        <v>30</v>
      </c>
      <c r="B1" s="338" t="s">
        <v>442</v>
      </c>
    </row>
    <row r="2" spans="1:3">
      <c r="A2" s="337" t="s">
        <v>31</v>
      </c>
      <c r="B2" s="339">
        <f>'1. key ratios '!B2</f>
        <v>43738</v>
      </c>
    </row>
    <row r="3" spans="1:3">
      <c r="A3" s="4"/>
      <c r="B3"/>
    </row>
    <row r="4" spans="1:3">
      <c r="A4" s="4" t="s">
        <v>463</v>
      </c>
      <c r="B4" t="s">
        <v>464</v>
      </c>
    </row>
    <row r="5" spans="1:3">
      <c r="A5" s="497" t="s">
        <v>465</v>
      </c>
      <c r="B5" s="498"/>
      <c r="C5" s="499"/>
    </row>
    <row r="6" spans="1:3" ht="24">
      <c r="A6" s="500">
        <v>1</v>
      </c>
      <c r="B6" s="501" t="s">
        <v>466</v>
      </c>
      <c r="C6" s="502">
        <f>'7. LI1 '!C21</f>
        <v>282462129.56304294</v>
      </c>
    </row>
    <row r="7" spans="1:3">
      <c r="A7" s="500">
        <v>2</v>
      </c>
      <c r="B7" s="501" t="s">
        <v>467</v>
      </c>
      <c r="C7" s="502">
        <f>-('9.Capital'!C15)</f>
        <v>-138603.8899999999</v>
      </c>
    </row>
    <row r="8" spans="1:3" ht="24">
      <c r="A8" s="503">
        <v>3</v>
      </c>
      <c r="B8" s="504" t="s">
        <v>468</v>
      </c>
      <c r="C8" s="502">
        <f>C6+C7</f>
        <v>282323525.67304295</v>
      </c>
    </row>
    <row r="9" spans="1:3">
      <c r="A9" s="497" t="s">
        <v>469</v>
      </c>
      <c r="B9" s="498"/>
      <c r="C9" s="505"/>
    </row>
    <row r="10" spans="1:3" ht="24">
      <c r="A10" s="506">
        <v>4</v>
      </c>
      <c r="B10" s="507" t="s">
        <v>470</v>
      </c>
      <c r="C10" s="502"/>
    </row>
    <row r="11" spans="1:3">
      <c r="A11" s="506">
        <v>5</v>
      </c>
      <c r="B11" s="508" t="s">
        <v>471</v>
      </c>
      <c r="C11" s="502"/>
    </row>
    <row r="12" spans="1:3">
      <c r="A12" s="506" t="s">
        <v>472</v>
      </c>
      <c r="B12" s="508" t="s">
        <v>473</v>
      </c>
      <c r="C12" s="502"/>
    </row>
    <row r="13" spans="1:3" ht="24">
      <c r="A13" s="509">
        <v>6</v>
      </c>
      <c r="B13" s="507" t="s">
        <v>474</v>
      </c>
      <c r="C13" s="502"/>
    </row>
    <row r="14" spans="1:3">
      <c r="A14" s="509">
        <v>7</v>
      </c>
      <c r="B14" s="510" t="s">
        <v>475</v>
      </c>
      <c r="C14" s="502"/>
    </row>
    <row r="15" spans="1:3">
      <c r="A15" s="511">
        <v>8</v>
      </c>
      <c r="B15" s="512" t="s">
        <v>476</v>
      </c>
      <c r="C15" s="502"/>
    </row>
    <row r="16" spans="1:3">
      <c r="A16" s="509">
        <v>9</v>
      </c>
      <c r="B16" s="510" t="s">
        <v>477</v>
      </c>
      <c r="C16" s="502"/>
    </row>
    <row r="17" spans="1:3">
      <c r="A17" s="509">
        <v>10</v>
      </c>
      <c r="B17" s="510" t="s">
        <v>478</v>
      </c>
      <c r="C17" s="502"/>
    </row>
    <row r="18" spans="1:3">
      <c r="A18" s="513">
        <v>11</v>
      </c>
      <c r="B18" s="514" t="s">
        <v>479</v>
      </c>
      <c r="C18" s="515">
        <f>SUM(C10:C17)</f>
        <v>0</v>
      </c>
    </row>
    <row r="19" spans="1:3">
      <c r="A19" s="516" t="s">
        <v>480</v>
      </c>
      <c r="B19" s="517"/>
      <c r="C19" s="518"/>
    </row>
    <row r="20" spans="1:3" ht="24">
      <c r="A20" s="519">
        <v>12</v>
      </c>
      <c r="B20" s="507" t="s">
        <v>481</v>
      </c>
      <c r="C20" s="502"/>
    </row>
    <row r="21" spans="1:3">
      <c r="A21" s="519">
        <v>13</v>
      </c>
      <c r="B21" s="507" t="s">
        <v>482</v>
      </c>
      <c r="C21" s="502"/>
    </row>
    <row r="22" spans="1:3">
      <c r="A22" s="519">
        <v>14</v>
      </c>
      <c r="B22" s="507" t="s">
        <v>483</v>
      </c>
      <c r="C22" s="502"/>
    </row>
    <row r="23" spans="1:3" ht="24">
      <c r="A23" s="519" t="s">
        <v>484</v>
      </c>
      <c r="B23" s="507" t="s">
        <v>485</v>
      </c>
      <c r="C23" s="502"/>
    </row>
    <row r="24" spans="1:3">
      <c r="A24" s="519">
        <v>15</v>
      </c>
      <c r="B24" s="507" t="s">
        <v>486</v>
      </c>
      <c r="C24" s="502"/>
    </row>
    <row r="25" spans="1:3">
      <c r="A25" s="519" t="s">
        <v>487</v>
      </c>
      <c r="B25" s="507" t="s">
        <v>488</v>
      </c>
      <c r="C25" s="502"/>
    </row>
    <row r="26" spans="1:3">
      <c r="A26" s="520">
        <v>16</v>
      </c>
      <c r="B26" s="521" t="s">
        <v>489</v>
      </c>
      <c r="C26" s="515">
        <f>SUM(C20:C25)</f>
        <v>0</v>
      </c>
    </row>
    <row r="27" spans="1:3">
      <c r="A27" s="497" t="s">
        <v>490</v>
      </c>
      <c r="B27" s="498"/>
      <c r="C27" s="505"/>
    </row>
    <row r="28" spans="1:3">
      <c r="A28" s="522">
        <v>17</v>
      </c>
      <c r="B28" s="508" t="s">
        <v>491</v>
      </c>
      <c r="C28" s="502">
        <f>'8. LI2'!C6</f>
        <v>52594358.609999999</v>
      </c>
    </row>
    <row r="29" spans="1:3">
      <c r="A29" s="522">
        <v>18</v>
      </c>
      <c r="B29" s="508" t="s">
        <v>492</v>
      </c>
      <c r="C29" s="502">
        <f>'8. LI2'!C10</f>
        <v>-12017662.412391998</v>
      </c>
    </row>
    <row r="30" spans="1:3">
      <c r="A30" s="520">
        <v>19</v>
      </c>
      <c r="B30" s="521" t="s">
        <v>493</v>
      </c>
      <c r="C30" s="515">
        <f>C28+C29</f>
        <v>40576696.197608002</v>
      </c>
    </row>
    <row r="31" spans="1:3">
      <c r="A31" s="497" t="s">
        <v>494</v>
      </c>
      <c r="B31" s="498"/>
      <c r="C31" s="505"/>
    </row>
    <row r="32" spans="1:3" ht="24">
      <c r="A32" s="522" t="s">
        <v>495</v>
      </c>
      <c r="B32" s="507" t="s">
        <v>496</v>
      </c>
      <c r="C32" s="523"/>
    </row>
    <row r="33" spans="1:3">
      <c r="A33" s="522" t="s">
        <v>497</v>
      </c>
      <c r="B33" s="508" t="s">
        <v>498</v>
      </c>
      <c r="C33" s="523"/>
    </row>
    <row r="34" spans="1:3">
      <c r="A34" s="497" t="s">
        <v>499</v>
      </c>
      <c r="B34" s="498"/>
      <c r="C34" s="505"/>
    </row>
    <row r="35" spans="1:3">
      <c r="A35" s="524">
        <v>20</v>
      </c>
      <c r="B35" s="525" t="s">
        <v>500</v>
      </c>
      <c r="C35" s="515">
        <f>'9.Capital'!C28</f>
        <v>79927409.167901561</v>
      </c>
    </row>
    <row r="36" spans="1:3">
      <c r="A36" s="520">
        <v>21</v>
      </c>
      <c r="B36" s="521" t="s">
        <v>501</v>
      </c>
      <c r="C36" s="515">
        <f>C8+C18+C26+C30</f>
        <v>322900221.87065095</v>
      </c>
    </row>
    <row r="37" spans="1:3">
      <c r="A37" s="497" t="s">
        <v>502</v>
      </c>
      <c r="B37" s="498"/>
      <c r="C37" s="505"/>
    </row>
    <row r="38" spans="1:3">
      <c r="A38" s="520">
        <v>22</v>
      </c>
      <c r="B38" s="521" t="s">
        <v>502</v>
      </c>
      <c r="C38" s="530">
        <f t="shared" ref="C38" si="0">C35/C36</f>
        <v>0.24752974372349393</v>
      </c>
    </row>
    <row r="39" spans="1:3">
      <c r="A39" s="497" t="s">
        <v>503</v>
      </c>
      <c r="B39" s="498"/>
      <c r="C39" s="505"/>
    </row>
    <row r="40" spans="1:3">
      <c r="A40" s="526" t="s">
        <v>504</v>
      </c>
      <c r="B40" s="507" t="s">
        <v>505</v>
      </c>
      <c r="C40" s="523"/>
    </row>
    <row r="41" spans="1:3" ht="24">
      <c r="A41" s="527" t="s">
        <v>506</v>
      </c>
      <c r="B41" s="501" t="s">
        <v>507</v>
      </c>
      <c r="C41" s="5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4.25"/>
  <cols>
    <col min="1" max="1" width="9.5703125" style="3" bestFit="1" customWidth="1"/>
    <col min="2" max="2" width="60.7109375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v>43738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145</v>
      </c>
      <c r="B4" s="10" t="s">
        <v>144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510</v>
      </c>
      <c r="D5" s="340" t="s">
        <v>509</v>
      </c>
      <c r="E5" s="340" t="s">
        <v>508</v>
      </c>
      <c r="F5" s="340" t="s">
        <v>460</v>
      </c>
      <c r="G5" s="341" t="s">
        <v>458</v>
      </c>
    </row>
    <row r="6" spans="1:8">
      <c r="B6" s="191" t="s">
        <v>143</v>
      </c>
      <c r="C6" s="274"/>
      <c r="D6" s="274"/>
      <c r="E6" s="274"/>
      <c r="F6" s="274"/>
      <c r="G6" s="303"/>
    </row>
    <row r="7" spans="1:8">
      <c r="A7" s="13"/>
      <c r="B7" s="192" t="s">
        <v>137</v>
      </c>
      <c r="C7" s="274"/>
      <c r="D7" s="274"/>
      <c r="E7" s="274"/>
      <c r="F7" s="274"/>
      <c r="G7" s="303"/>
    </row>
    <row r="8" spans="1:8" ht="15">
      <c r="A8" s="329">
        <v>1</v>
      </c>
      <c r="B8" s="14" t="s">
        <v>142</v>
      </c>
      <c r="C8" s="15">
        <v>79927409.167901561</v>
      </c>
      <c r="D8" s="16">
        <v>77371808.251440719</v>
      </c>
      <c r="E8" s="16">
        <v>76332986.239469618</v>
      </c>
      <c r="F8" s="16">
        <v>74490037.994947746</v>
      </c>
      <c r="G8" s="348">
        <v>73144692.474522844</v>
      </c>
    </row>
    <row r="9" spans="1:8" ht="15">
      <c r="A9" s="329">
        <v>2</v>
      </c>
      <c r="B9" s="14" t="s">
        <v>141</v>
      </c>
      <c r="C9" s="15">
        <v>79927409.167901561</v>
      </c>
      <c r="D9" s="16">
        <v>77371808.251440719</v>
      </c>
      <c r="E9" s="16">
        <v>76332986.239469618</v>
      </c>
      <c r="F9" s="16">
        <v>74490037.994947746</v>
      </c>
      <c r="G9" s="348">
        <v>73144692.474522844</v>
      </c>
    </row>
    <row r="10" spans="1:8" ht="15">
      <c r="A10" s="329">
        <v>3</v>
      </c>
      <c r="B10" s="14" t="s">
        <v>140</v>
      </c>
      <c r="C10" s="15">
        <v>83333498.725938484</v>
      </c>
      <c r="D10" s="16">
        <v>80895977.371655077</v>
      </c>
      <c r="E10" s="16">
        <v>79443872.235174209</v>
      </c>
      <c r="F10" s="16">
        <v>77883631.853618637</v>
      </c>
      <c r="G10" s="348">
        <v>76232926.77252017</v>
      </c>
    </row>
    <row r="11" spans="1:8" ht="15">
      <c r="A11" s="330"/>
      <c r="B11" s="191" t="s">
        <v>139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272</v>
      </c>
      <c r="C12" s="263">
        <v>292369352.27900398</v>
      </c>
      <c r="D12" s="16">
        <v>300729541.42249846</v>
      </c>
      <c r="E12" s="16">
        <v>267792623.61456081</v>
      </c>
      <c r="F12" s="16">
        <v>290138010.41299868</v>
      </c>
      <c r="G12" s="348">
        <v>275658386.98848504</v>
      </c>
    </row>
    <row r="13" spans="1:8" ht="15">
      <c r="A13" s="330"/>
      <c r="B13" s="191" t="s">
        <v>138</v>
      </c>
      <c r="C13" s="274"/>
      <c r="D13" s="274"/>
      <c r="E13" s="274"/>
      <c r="F13" s="274"/>
      <c r="G13" s="303"/>
    </row>
    <row r="14" spans="1:8" s="17" customFormat="1" ht="15">
      <c r="A14" s="329"/>
      <c r="B14" s="192" t="s">
        <v>137</v>
      </c>
      <c r="C14" s="264"/>
      <c r="D14" s="16"/>
      <c r="E14" s="16"/>
      <c r="F14" s="16"/>
      <c r="G14" s="348"/>
    </row>
    <row r="15" spans="1:8" ht="15">
      <c r="A15" s="331">
        <v>5</v>
      </c>
      <c r="B15" s="14" t="str">
        <f>"Common equity Tier 1 ratio &gt;="&amp;'9.1. Capital Requirements'!C19*100&amp;"%"</f>
        <v>Common equity Tier 1 ratio &gt;=8.84573520122708%</v>
      </c>
      <c r="C15" s="342">
        <v>0.2733782065215507</v>
      </c>
      <c r="D15" s="342">
        <v>0.25728037187653657</v>
      </c>
      <c r="E15" s="343">
        <v>0.28504514130806374</v>
      </c>
      <c r="F15" s="343">
        <v>0.25674001792772499</v>
      </c>
      <c r="G15" s="349">
        <v>0.265345427264574</v>
      </c>
    </row>
    <row r="16" spans="1:8" ht="15" customHeight="1">
      <c r="A16" s="331">
        <v>6</v>
      </c>
      <c r="B16" s="14" t="str">
        <f>"Tier 1 ratio &gt;="&amp;'9.1. Capital Requirements'!C20*100&amp;"%"</f>
        <v>Tier 1 ratio &gt;=10.9655552016851%</v>
      </c>
      <c r="C16" s="342">
        <v>0.2733782065215507</v>
      </c>
      <c r="D16" s="342">
        <v>0.25728037187653657</v>
      </c>
      <c r="E16" s="343">
        <v>0.28504514130806374</v>
      </c>
      <c r="F16" s="343">
        <v>0.25674001792772499</v>
      </c>
      <c r="G16" s="349">
        <v>0.265345427264574</v>
      </c>
    </row>
    <row r="17" spans="1:7" ht="15">
      <c r="A17" s="331">
        <v>7</v>
      </c>
      <c r="B17" s="14" t="str">
        <f>"Total Regulatory Capital ratio &gt;="&amp;'9.1. Capital Requirements'!C21*100&amp;"%"</f>
        <v>Total Regulatory Capital ratio &gt;=19.0534559679747%</v>
      </c>
      <c r="C17" s="342">
        <v>0.28502816070274867</v>
      </c>
      <c r="D17" s="342">
        <v>0.26899910460742987</v>
      </c>
      <c r="E17" s="343">
        <v>0.29666191384539153</v>
      </c>
      <c r="F17" s="343">
        <v>0.26843649938439545</v>
      </c>
      <c r="G17" s="349">
        <v>0.27654854838755411</v>
      </c>
    </row>
    <row r="18" spans="1:7" ht="15">
      <c r="A18" s="330"/>
      <c r="B18" s="193" t="s">
        <v>136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135</v>
      </c>
      <c r="C19" s="344">
        <v>6.2905165085480969E-2</v>
      </c>
      <c r="D19" s="344">
        <v>6.2139024691145531E-2</v>
      </c>
      <c r="E19" s="345">
        <v>6.2773789608698186E-2</v>
      </c>
      <c r="F19" s="345">
        <v>6.3702280577331502E-2</v>
      </c>
      <c r="G19" s="350">
        <v>6.4218868891093739E-2</v>
      </c>
    </row>
    <row r="20" spans="1:7" ht="15">
      <c r="A20" s="332">
        <v>9</v>
      </c>
      <c r="B20" s="14" t="s">
        <v>134</v>
      </c>
      <c r="C20" s="344">
        <v>1.8211276177690146E-2</v>
      </c>
      <c r="D20" s="344">
        <v>1.8544317485381212E-2</v>
      </c>
      <c r="E20" s="345">
        <v>1.9356393074447937E-2</v>
      </c>
      <c r="F20" s="345">
        <v>2.7164423559937107E-2</v>
      </c>
      <c r="G20" s="350">
        <v>2.991690987250567E-2</v>
      </c>
    </row>
    <row r="21" spans="1:7" ht="15">
      <c r="A21" s="332">
        <v>10</v>
      </c>
      <c r="B21" s="14" t="s">
        <v>133</v>
      </c>
      <c r="C21" s="344">
        <v>2.8395594227122789E-2</v>
      </c>
      <c r="D21" s="344">
        <v>2.6226326867982805E-2</v>
      </c>
      <c r="E21" s="345">
        <v>2.6949173500236678E-2</v>
      </c>
      <c r="F21" s="345">
        <v>8.9126143021493621E-3</v>
      </c>
      <c r="G21" s="350">
        <v>4.1360402411756208E-3</v>
      </c>
    </row>
    <row r="22" spans="1:7" ht="15">
      <c r="A22" s="332">
        <v>11</v>
      </c>
      <c r="B22" s="14" t="s">
        <v>132</v>
      </c>
      <c r="C22" s="344">
        <v>4.4693888907790816E-2</v>
      </c>
      <c r="D22" s="344">
        <v>4.3594707205764319E-2</v>
      </c>
      <c r="E22" s="345">
        <v>4.3417396534250245E-2</v>
      </c>
      <c r="F22" s="345">
        <v>3.6537857017394398E-2</v>
      </c>
      <c r="G22" s="350">
        <v>3.4301959018588075E-2</v>
      </c>
    </row>
    <row r="23" spans="1:7" ht="15">
      <c r="A23" s="332">
        <v>12</v>
      </c>
      <c r="B23" s="14" t="s">
        <v>278</v>
      </c>
      <c r="C23" s="344">
        <v>2.7027335053165225E-2</v>
      </c>
      <c r="D23" s="344">
        <v>2.2230101857872712E-2</v>
      </c>
      <c r="E23" s="345">
        <v>2.8581819743602483E-2</v>
      </c>
      <c r="F23" s="345">
        <v>6.3222077179368634E-3</v>
      </c>
      <c r="G23" s="350">
        <v>6.2526787325250404E-4</v>
      </c>
    </row>
    <row r="24" spans="1:7" ht="15">
      <c r="A24" s="332">
        <v>13</v>
      </c>
      <c r="B24" s="14" t="s">
        <v>279</v>
      </c>
      <c r="C24" s="344">
        <v>9.2571368450566099E-2</v>
      </c>
      <c r="D24" s="344">
        <v>7.4046029099126387E-2</v>
      </c>
      <c r="E24" s="345">
        <v>9.5952831981402573E-2</v>
      </c>
      <c r="F24" s="345">
        <v>2.7251504788507127E-2</v>
      </c>
      <c r="G24" s="350">
        <v>2.9998869875696413E-3</v>
      </c>
    </row>
    <row r="25" spans="1:7" ht="15">
      <c r="A25" s="330"/>
      <c r="B25" s="193" t="s">
        <v>358</v>
      </c>
      <c r="C25" s="274"/>
      <c r="D25" s="274"/>
      <c r="E25" s="274"/>
      <c r="F25" s="274"/>
      <c r="G25" s="303"/>
    </row>
    <row r="26" spans="1:7" ht="15">
      <c r="A26" s="332">
        <v>14</v>
      </c>
      <c r="B26" s="14" t="s">
        <v>131</v>
      </c>
      <c r="C26" s="344">
        <v>4.3856065957794094E-2</v>
      </c>
      <c r="D26" s="344">
        <v>3.5186743054338041E-2</v>
      </c>
      <c r="E26" s="345">
        <v>3.8277989529740389E-2</v>
      </c>
      <c r="F26" s="345">
        <v>3.2605588953122579E-2</v>
      </c>
      <c r="G26" s="350">
        <v>3.5213122735325238E-2</v>
      </c>
    </row>
    <row r="27" spans="1:7" ht="15" customHeight="1">
      <c r="A27" s="332">
        <v>15</v>
      </c>
      <c r="B27" s="14" t="s">
        <v>130</v>
      </c>
      <c r="C27" s="344">
        <v>4.3199424934015546E-2</v>
      </c>
      <c r="D27" s="344">
        <v>3.7837416778913384E-2</v>
      </c>
      <c r="E27" s="345">
        <v>3.9685254896344294E-2</v>
      </c>
      <c r="F27" s="345">
        <v>3.6448761744463647E-2</v>
      </c>
      <c r="G27" s="350">
        <v>3.7948358007108822E-2</v>
      </c>
    </row>
    <row r="28" spans="1:7" ht="15">
      <c r="A28" s="332">
        <v>16</v>
      </c>
      <c r="B28" s="14" t="s">
        <v>129</v>
      </c>
      <c r="C28" s="344">
        <v>0.6029229797560538</v>
      </c>
      <c r="D28" s="344">
        <v>0.6273912184147572</v>
      </c>
      <c r="E28" s="345">
        <v>0.64251309202962492</v>
      </c>
      <c r="F28" s="345">
        <v>0.68769813749795805</v>
      </c>
      <c r="G28" s="350">
        <v>0.63898437248043582</v>
      </c>
    </row>
    <row r="29" spans="1:7" ht="15" customHeight="1">
      <c r="A29" s="332">
        <v>17</v>
      </c>
      <c r="B29" s="14" t="s">
        <v>128</v>
      </c>
      <c r="C29" s="344">
        <v>0.63088773447180846</v>
      </c>
      <c r="D29" s="344">
        <v>0.62918236050228959</v>
      </c>
      <c r="E29" s="345">
        <v>0.62664275624645582</v>
      </c>
      <c r="F29" s="345">
        <v>0.64905716422515536</v>
      </c>
      <c r="G29" s="350">
        <v>0.66194389285625943</v>
      </c>
    </row>
    <row r="30" spans="1:7" ht="15">
      <c r="A30" s="332">
        <v>18</v>
      </c>
      <c r="B30" s="14" t="s">
        <v>127</v>
      </c>
      <c r="C30" s="344">
        <v>-0.16799745601233074</v>
      </c>
      <c r="D30" s="344">
        <v>3.142294992092564E-2</v>
      </c>
      <c r="E30" s="345">
        <v>-8.4404561995822705E-2</v>
      </c>
      <c r="F30" s="345">
        <v>4.7751710664057931E-3</v>
      </c>
      <c r="G30" s="350">
        <v>-6.7956986940251679E-2</v>
      </c>
    </row>
    <row r="31" spans="1:7" ht="15" customHeight="1">
      <c r="A31" s="330"/>
      <c r="B31" s="193" t="s">
        <v>359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126</v>
      </c>
      <c r="C32" s="344">
        <v>0.30899235550236059</v>
      </c>
      <c r="D32" s="344">
        <v>0.17361916098674099</v>
      </c>
      <c r="E32" s="344">
        <v>0.23692707310133235</v>
      </c>
      <c r="F32" s="344">
        <v>0.22101157853059816</v>
      </c>
      <c r="G32" s="351">
        <v>0.28179937109153863</v>
      </c>
    </row>
    <row r="33" spans="1:7" ht="15" customHeight="1">
      <c r="A33" s="332">
        <v>20</v>
      </c>
      <c r="B33" s="14" t="s">
        <v>125</v>
      </c>
      <c r="C33" s="344">
        <v>0.89343742388521852</v>
      </c>
      <c r="D33" s="344">
        <v>0.86844806306683242</v>
      </c>
      <c r="E33" s="344">
        <v>0.92354903365848706</v>
      </c>
      <c r="F33" s="344">
        <v>0.92546788533805657</v>
      </c>
      <c r="G33" s="351">
        <v>0.89123039793033998</v>
      </c>
    </row>
    <row r="34" spans="1:7" ht="15" customHeight="1">
      <c r="A34" s="332">
        <v>21</v>
      </c>
      <c r="B34" s="14" t="s">
        <v>124</v>
      </c>
      <c r="C34" s="344">
        <v>7.5299384002034522E-2</v>
      </c>
      <c r="D34" s="344">
        <v>3.753280832851133E-2</v>
      </c>
      <c r="E34" s="344">
        <v>4.6934345653768222E-2</v>
      </c>
      <c r="F34" s="344">
        <v>4.602130754093918E-2</v>
      </c>
      <c r="G34" s="351">
        <v>6.1812729292215408E-2</v>
      </c>
    </row>
    <row r="35" spans="1:7" ht="15" customHeight="1">
      <c r="A35" s="333"/>
      <c r="B35" s="193" t="s">
        <v>402</v>
      </c>
      <c r="C35" s="274"/>
      <c r="D35" s="274"/>
      <c r="E35" s="274"/>
      <c r="F35" s="274"/>
      <c r="G35" s="303"/>
    </row>
    <row r="36" spans="1:7" ht="15">
      <c r="A36" s="332">
        <v>22</v>
      </c>
      <c r="B36" s="14" t="s">
        <v>385</v>
      </c>
      <c r="C36" s="346">
        <v>120914587.7685</v>
      </c>
      <c r="D36" s="346">
        <v>88573687.457550019</v>
      </c>
      <c r="E36" s="346">
        <v>74663250.602000013</v>
      </c>
      <c r="F36" s="346">
        <v>68091162.08600001</v>
      </c>
      <c r="G36" s="483">
        <v>76019141.317499995</v>
      </c>
    </row>
    <row r="37" spans="1:7" ht="15" customHeight="1">
      <c r="A37" s="332">
        <v>23</v>
      </c>
      <c r="B37" s="14" t="s">
        <v>397</v>
      </c>
      <c r="C37" s="346">
        <v>74149329.353100002</v>
      </c>
      <c r="D37" s="346">
        <v>65056049.282400005</v>
      </c>
      <c r="E37" s="346">
        <v>31774500.655499998</v>
      </c>
      <c r="F37" s="346">
        <v>46919640.222850002</v>
      </c>
      <c r="G37" s="483">
        <v>33833570.308449998</v>
      </c>
    </row>
    <row r="38" spans="1:7" ht="15.75" thickBot="1">
      <c r="A38" s="334">
        <v>24</v>
      </c>
      <c r="B38" s="194" t="s">
        <v>386</v>
      </c>
      <c r="C38" s="347">
        <f>C36/C37</f>
        <v>1.6306902412118021</v>
      </c>
      <c r="D38" s="347">
        <v>1.3614980994782353</v>
      </c>
      <c r="E38" s="347">
        <v>2.3497851755878405</v>
      </c>
      <c r="F38" s="347">
        <v>1.4512294161377524</v>
      </c>
      <c r="G38" s="484">
        <v>2.2468554345420078</v>
      </c>
    </row>
    <row r="39" spans="1:7">
      <c r="A39" s="18"/>
    </row>
    <row r="40" spans="1:7" ht="76.5">
      <c r="B40" s="266" t="s">
        <v>401</v>
      </c>
    </row>
    <row r="42" spans="1:7">
      <c r="B42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1.7109375" style="4" customWidth="1"/>
    <col min="4" max="4" width="13.28515625" style="4" customWidth="1"/>
    <col min="5" max="5" width="14.5703125" style="4" customWidth="1"/>
    <col min="6" max="6" width="11.7109375" style="4" customWidth="1"/>
    <col min="7" max="7" width="13.7109375" style="4" customWidth="1"/>
    <col min="8" max="8" width="14.5703125" style="4" customWidth="1"/>
    <col min="9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43738</v>
      </c>
    </row>
    <row r="3" spans="1:8">
      <c r="A3" s="2"/>
    </row>
    <row r="4" spans="1:8" ht="15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35" t="s">
        <v>68</v>
      </c>
      <c r="D5" s="536"/>
      <c r="E5" s="537"/>
      <c r="F5" s="535" t="s">
        <v>72</v>
      </c>
      <c r="G5" s="536"/>
      <c r="H5" s="538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>
      <c r="A7" s="25">
        <v>1</v>
      </c>
      <c r="B7" s="356" t="s">
        <v>35</v>
      </c>
      <c r="C7" s="357">
        <v>1473402.93</v>
      </c>
      <c r="D7" s="357">
        <v>3665640.9400000004</v>
      </c>
      <c r="E7" s="358">
        <f>C7+D7</f>
        <v>5139043.87</v>
      </c>
      <c r="F7" s="359">
        <v>1299969.1299999999</v>
      </c>
      <c r="G7" s="357">
        <v>3123578.09</v>
      </c>
      <c r="H7" s="360">
        <f>F7+G7</f>
        <v>4423547.22</v>
      </c>
    </row>
    <row r="8" spans="1:8">
      <c r="A8" s="25">
        <v>2</v>
      </c>
      <c r="B8" s="356" t="s">
        <v>36</v>
      </c>
      <c r="C8" s="357">
        <v>508813.89</v>
      </c>
      <c r="D8" s="357">
        <v>42704075.615398005</v>
      </c>
      <c r="E8" s="358">
        <f t="shared" ref="E8:E19" si="0">C8+D8</f>
        <v>43212889.505398005</v>
      </c>
      <c r="F8" s="359">
        <v>454187.68</v>
      </c>
      <c r="G8" s="357">
        <v>34922561.210000001</v>
      </c>
      <c r="H8" s="360">
        <f t="shared" ref="H8:H40" si="1">F8+G8</f>
        <v>35376748.890000001</v>
      </c>
    </row>
    <row r="9" spans="1:8">
      <c r="A9" s="25">
        <v>3</v>
      </c>
      <c r="B9" s="356" t="s">
        <v>37</v>
      </c>
      <c r="C9" s="357">
        <v>21025742.140000001</v>
      </c>
      <c r="D9" s="357">
        <v>44105646.796292</v>
      </c>
      <c r="E9" s="358">
        <f t="shared" si="0"/>
        <v>65131388.936292</v>
      </c>
      <c r="F9" s="359">
        <v>3527396.24</v>
      </c>
      <c r="G9" s="357">
        <v>25463334.736358002</v>
      </c>
      <c r="H9" s="360">
        <f t="shared" si="1"/>
        <v>28990730.976358004</v>
      </c>
    </row>
    <row r="10" spans="1:8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>
      <c r="A11" s="25">
        <v>5</v>
      </c>
      <c r="B11" s="356" t="s">
        <v>39</v>
      </c>
      <c r="C11" s="357">
        <v>21966537.007811628</v>
      </c>
      <c r="D11" s="357">
        <v>12187851.417556573</v>
      </c>
      <c r="E11" s="358">
        <f t="shared" si="0"/>
        <v>34154388.425368205</v>
      </c>
      <c r="F11" s="359">
        <v>20053160.537848897</v>
      </c>
      <c r="G11" s="357">
        <v>10911683.063181842</v>
      </c>
      <c r="H11" s="360">
        <f t="shared" si="1"/>
        <v>30964843.601030737</v>
      </c>
    </row>
    <row r="12" spans="1:8">
      <c r="A12" s="25">
        <v>6.1</v>
      </c>
      <c r="B12" s="361" t="s">
        <v>40</v>
      </c>
      <c r="C12" s="357">
        <v>50642471.480000004</v>
      </c>
      <c r="D12" s="357">
        <v>76895685.849999994</v>
      </c>
      <c r="E12" s="358">
        <f t="shared" si="0"/>
        <v>127538157.33</v>
      </c>
      <c r="F12" s="359">
        <v>51334406.600000001</v>
      </c>
      <c r="G12" s="357">
        <v>90860010.170000017</v>
      </c>
      <c r="H12" s="360">
        <f t="shared" si="1"/>
        <v>142194416.77000001</v>
      </c>
    </row>
    <row r="13" spans="1:8">
      <c r="A13" s="25">
        <v>6.2</v>
      </c>
      <c r="B13" s="361" t="s">
        <v>41</v>
      </c>
      <c r="C13" s="362">
        <v>-2758539.0557999993</v>
      </c>
      <c r="D13" s="362">
        <v>-2751035.9980000001</v>
      </c>
      <c r="E13" s="363">
        <f t="shared" si="0"/>
        <v>-5509575.0537999999</v>
      </c>
      <c r="F13" s="364">
        <v>-2521126.0645999997</v>
      </c>
      <c r="G13" s="362">
        <v>-2874918.5695999996</v>
      </c>
      <c r="H13" s="365">
        <f t="shared" si="1"/>
        <v>-5396044.6341999993</v>
      </c>
    </row>
    <row r="14" spans="1:8">
      <c r="A14" s="25">
        <v>6</v>
      </c>
      <c r="B14" s="356" t="s">
        <v>42</v>
      </c>
      <c r="C14" s="358">
        <f>C12+C13</f>
        <v>47883932.424200006</v>
      </c>
      <c r="D14" s="358">
        <f>D12+D13</f>
        <v>74144649.851999998</v>
      </c>
      <c r="E14" s="358">
        <f t="shared" si="0"/>
        <v>122028582.2762</v>
      </c>
      <c r="F14" s="358">
        <f>F12+F13</f>
        <v>48813280.535400003</v>
      </c>
      <c r="G14" s="358">
        <f>G12+G13</f>
        <v>87985091.600400016</v>
      </c>
      <c r="H14" s="360">
        <f t="shared" si="1"/>
        <v>136798372.1358</v>
      </c>
    </row>
    <row r="15" spans="1:8">
      <c r="A15" s="25">
        <v>7</v>
      </c>
      <c r="B15" s="356" t="s">
        <v>43</v>
      </c>
      <c r="C15" s="357">
        <v>987926.20000000042</v>
      </c>
      <c r="D15" s="357">
        <v>772802.19286400022</v>
      </c>
      <c r="E15" s="358">
        <f t="shared" si="0"/>
        <v>1760728.3928640005</v>
      </c>
      <c r="F15" s="359">
        <v>912484.02000000014</v>
      </c>
      <c r="G15" s="357">
        <v>839222.8461107926</v>
      </c>
      <c r="H15" s="360">
        <f t="shared" si="1"/>
        <v>1751706.8661107928</v>
      </c>
    </row>
    <row r="16" spans="1:8">
      <c r="A16" s="25">
        <v>8</v>
      </c>
      <c r="B16" s="356" t="s">
        <v>205</v>
      </c>
      <c r="C16" s="357">
        <v>0</v>
      </c>
      <c r="D16" s="357">
        <v>0</v>
      </c>
      <c r="E16" s="358">
        <f t="shared" si="0"/>
        <v>0</v>
      </c>
      <c r="F16" s="359">
        <v>0</v>
      </c>
      <c r="G16" s="357">
        <v>0</v>
      </c>
      <c r="H16" s="360">
        <f t="shared" si="1"/>
        <v>0</v>
      </c>
    </row>
    <row r="17" spans="1:8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>
      <c r="A18" s="25">
        <v>10</v>
      </c>
      <c r="B18" s="356" t="s">
        <v>45</v>
      </c>
      <c r="C18" s="357">
        <v>883749.16000000015</v>
      </c>
      <c r="D18" s="357">
        <v>0</v>
      </c>
      <c r="E18" s="358">
        <f t="shared" si="0"/>
        <v>883749.16000000015</v>
      </c>
      <c r="F18" s="359">
        <v>1607088.3800000004</v>
      </c>
      <c r="G18" s="357">
        <v>0</v>
      </c>
      <c r="H18" s="360">
        <f t="shared" si="1"/>
        <v>1607088.3800000004</v>
      </c>
    </row>
    <row r="19" spans="1:8">
      <c r="A19" s="25">
        <v>11</v>
      </c>
      <c r="B19" s="356" t="s">
        <v>46</v>
      </c>
      <c r="C19" s="357">
        <v>9530132.816920707</v>
      </c>
      <c r="D19" s="357">
        <v>621226.18000000005</v>
      </c>
      <c r="E19" s="358">
        <f t="shared" si="0"/>
        <v>10151358.996920707</v>
      </c>
      <c r="F19" s="359">
        <v>7161158.8932004534</v>
      </c>
      <c r="G19" s="357">
        <v>898620.7</v>
      </c>
      <c r="H19" s="360">
        <f t="shared" si="1"/>
        <v>8059779.5932004536</v>
      </c>
    </row>
    <row r="20" spans="1:8">
      <c r="A20" s="25">
        <v>12</v>
      </c>
      <c r="B20" s="366" t="s">
        <v>47</v>
      </c>
      <c r="C20" s="358">
        <f>SUM(C7:C11)+SUM(C14:C19)</f>
        <v>104260236.56893235</v>
      </c>
      <c r="D20" s="358">
        <f>SUM(D7:D11)+SUM(D14:D19)</f>
        <v>178201892.99411058</v>
      </c>
      <c r="E20" s="358">
        <f>C20+D20</f>
        <v>282462129.56304294</v>
      </c>
      <c r="F20" s="358">
        <f>SUM(F7:F11)+SUM(F14:F19)</f>
        <v>83828725.416449368</v>
      </c>
      <c r="G20" s="358">
        <f>SUM(G7:G11)+SUM(G14:G19)</f>
        <v>164144092.24605066</v>
      </c>
      <c r="H20" s="360">
        <f t="shared" si="1"/>
        <v>247972817.66250002</v>
      </c>
    </row>
    <row r="21" spans="1:8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>
      <c r="A22" s="25">
        <v>13</v>
      </c>
      <c r="B22" s="356" t="s">
        <v>49</v>
      </c>
      <c r="C22" s="357">
        <v>0</v>
      </c>
      <c r="D22" s="357">
        <v>120113764.75</v>
      </c>
      <c r="E22" s="358">
        <f>C22+D22</f>
        <v>120113764.75</v>
      </c>
      <c r="F22" s="359">
        <v>0</v>
      </c>
      <c r="G22" s="357">
        <v>79593194.189999998</v>
      </c>
      <c r="H22" s="360">
        <f t="shared" si="1"/>
        <v>79593194.189999998</v>
      </c>
    </row>
    <row r="23" spans="1:8">
      <c r="A23" s="25">
        <v>14</v>
      </c>
      <c r="B23" s="356" t="s">
        <v>50</v>
      </c>
      <c r="C23" s="357">
        <v>12377208.960000003</v>
      </c>
      <c r="D23" s="357">
        <v>8892015.3999999985</v>
      </c>
      <c r="E23" s="358">
        <f t="shared" ref="E23:E40" si="2">C23+D23</f>
        <v>21269224.359999999</v>
      </c>
      <c r="F23" s="359">
        <v>4034445.379999999</v>
      </c>
      <c r="G23" s="357">
        <v>11293431.270000003</v>
      </c>
      <c r="H23" s="360">
        <f t="shared" si="1"/>
        <v>15327876.650000002</v>
      </c>
    </row>
    <row r="24" spans="1:8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>
      <c r="A25" s="25">
        <v>16</v>
      </c>
      <c r="B25" s="356" t="s">
        <v>52</v>
      </c>
      <c r="C25" s="357">
        <v>201667.56</v>
      </c>
      <c r="D25" s="357">
        <v>30197101.290000003</v>
      </c>
      <c r="E25" s="358">
        <f t="shared" si="2"/>
        <v>30398768.850000001</v>
      </c>
      <c r="F25" s="359">
        <v>714124.83</v>
      </c>
      <c r="G25" s="357">
        <v>26793030.090000004</v>
      </c>
      <c r="H25" s="360">
        <f t="shared" si="1"/>
        <v>27507154.920000002</v>
      </c>
    </row>
    <row r="26" spans="1:8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>
      <c r="A27" s="25">
        <v>18</v>
      </c>
      <c r="B27" s="356" t="s">
        <v>54</v>
      </c>
      <c r="C27" s="357">
        <v>0</v>
      </c>
      <c r="D27" s="357">
        <v>18387911.104543999</v>
      </c>
      <c r="E27" s="358">
        <f t="shared" si="2"/>
        <v>18387911.104543999</v>
      </c>
      <c r="F27" s="359">
        <v>8000000</v>
      </c>
      <c r="G27" s="357">
        <v>36043889.050973997</v>
      </c>
      <c r="H27" s="360">
        <f t="shared" si="1"/>
        <v>44043889.050973997</v>
      </c>
    </row>
    <row r="28" spans="1:8">
      <c r="A28" s="25">
        <v>19</v>
      </c>
      <c r="B28" s="356" t="s">
        <v>55</v>
      </c>
      <c r="C28" s="357">
        <v>4541.16</v>
      </c>
      <c r="D28" s="357">
        <v>1775723.52</v>
      </c>
      <c r="E28" s="358">
        <f t="shared" si="2"/>
        <v>1780264.68</v>
      </c>
      <c r="F28" s="359">
        <v>39216.76999999999</v>
      </c>
      <c r="G28" s="357">
        <v>1418155.2300000002</v>
      </c>
      <c r="H28" s="360">
        <f t="shared" si="1"/>
        <v>1457372.0000000002</v>
      </c>
    </row>
    <row r="29" spans="1:8">
      <c r="A29" s="25">
        <v>20</v>
      </c>
      <c r="B29" s="356" t="s">
        <v>56</v>
      </c>
      <c r="C29" s="357">
        <v>8984433.8735999987</v>
      </c>
      <c r="D29" s="357">
        <v>1461748.7291999999</v>
      </c>
      <c r="E29" s="358">
        <f t="shared" si="2"/>
        <v>10446182.602799999</v>
      </c>
      <c r="F29" s="359">
        <v>6201244.3099999996</v>
      </c>
      <c r="G29" s="357">
        <v>449582.9436</v>
      </c>
      <c r="H29" s="360">
        <f t="shared" si="1"/>
        <v>6650827.2535999995</v>
      </c>
    </row>
    <row r="30" spans="1:8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0</v>
      </c>
      <c r="H30" s="360">
        <f t="shared" si="1"/>
        <v>0</v>
      </c>
    </row>
    <row r="31" spans="1:8">
      <c r="A31" s="25">
        <v>22</v>
      </c>
      <c r="B31" s="366" t="s">
        <v>58</v>
      </c>
      <c r="C31" s="358">
        <f>SUM(C22:C30)</f>
        <v>21567851.553600002</v>
      </c>
      <c r="D31" s="358">
        <f>SUM(D22:D30)</f>
        <v>180828264.793744</v>
      </c>
      <c r="E31" s="358">
        <f>C31+D31</f>
        <v>202396116.34734401</v>
      </c>
      <c r="F31" s="358">
        <f>SUM(F22:F30)</f>
        <v>18989031.289999999</v>
      </c>
      <c r="G31" s="358">
        <f>SUM(G22:G30)</f>
        <v>155591282.77457401</v>
      </c>
      <c r="H31" s="360">
        <f t="shared" si="1"/>
        <v>174580314.064574</v>
      </c>
    </row>
    <row r="32" spans="1:8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69161600</v>
      </c>
      <c r="G33" s="367"/>
      <c r="H33" s="360">
        <f t="shared" si="1"/>
        <v>69161600</v>
      </c>
    </row>
    <row r="34" spans="1:8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>
      <c r="A38" s="25">
        <v>28</v>
      </c>
      <c r="B38" s="356" t="s">
        <v>65</v>
      </c>
      <c r="C38" s="357">
        <v>10904413.057901558</v>
      </c>
      <c r="D38" s="367"/>
      <c r="E38" s="358">
        <f t="shared" si="2"/>
        <v>10904413.057901558</v>
      </c>
      <c r="F38" s="359">
        <v>4230903.5845228489</v>
      </c>
      <c r="G38" s="367"/>
      <c r="H38" s="360">
        <f t="shared" si="1"/>
        <v>4230903.5845228489</v>
      </c>
    </row>
    <row r="39" spans="1:8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>
      <c r="A40" s="25">
        <v>30</v>
      </c>
      <c r="B40" s="371" t="s">
        <v>273</v>
      </c>
      <c r="C40" s="372">
        <f>SUM(C33:C39)</f>
        <v>80066013.057901561</v>
      </c>
      <c r="D40" s="367"/>
      <c r="E40" s="358">
        <f t="shared" si="2"/>
        <v>80066013.057901561</v>
      </c>
      <c r="F40" s="372">
        <f>SUM(F33:F39)</f>
        <v>73392503.584522843</v>
      </c>
      <c r="G40" s="367"/>
      <c r="H40" s="360">
        <f t="shared" si="1"/>
        <v>73392503.584522843</v>
      </c>
    </row>
    <row r="41" spans="1:8" ht="15" thickBot="1">
      <c r="A41" s="26">
        <v>31</v>
      </c>
      <c r="B41" s="27" t="s">
        <v>67</v>
      </c>
      <c r="C41" s="373">
        <f>C31+C40</f>
        <v>101633864.61150156</v>
      </c>
      <c r="D41" s="373">
        <f>D31+D40</f>
        <v>180828264.793744</v>
      </c>
      <c r="E41" s="373">
        <f>C41+D41</f>
        <v>282462129.40524554</v>
      </c>
      <c r="F41" s="373">
        <f>F31+F40</f>
        <v>92381534.874522835</v>
      </c>
      <c r="G41" s="373">
        <f>G31+G40</f>
        <v>155591282.77457401</v>
      </c>
      <c r="H41" s="374">
        <f>F41+G41</f>
        <v>247972817.64909685</v>
      </c>
    </row>
    <row r="43" spans="1:8">
      <c r="B43" s="2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2.75"/>
  <cols>
    <col min="1" max="1" width="9.5703125" style="4" bestFit="1" customWidth="1"/>
    <col min="2" max="2" width="89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>
      <c r="A1" s="337" t="s">
        <v>30</v>
      </c>
      <c r="B1" s="338" t="s">
        <v>442</v>
      </c>
      <c r="C1" s="3"/>
    </row>
    <row r="2" spans="1:8">
      <c r="A2" s="337" t="s">
        <v>31</v>
      </c>
      <c r="B2" s="339">
        <f>'1. key ratios '!B2</f>
        <v>43738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30" t="s">
        <v>200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35" t="s">
        <v>68</v>
      </c>
      <c r="D5" s="536"/>
      <c r="E5" s="537"/>
      <c r="F5" s="535" t="s">
        <v>72</v>
      </c>
      <c r="G5" s="536"/>
      <c r="H5" s="538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199</v>
      </c>
      <c r="C7" s="385"/>
      <c r="D7" s="385"/>
      <c r="E7" s="385"/>
      <c r="F7" s="385"/>
      <c r="G7" s="385"/>
      <c r="H7" s="398"/>
    </row>
    <row r="8" spans="1:8">
      <c r="A8" s="35">
        <v>1</v>
      </c>
      <c r="B8" s="376" t="s">
        <v>198</v>
      </c>
      <c r="C8" s="386">
        <v>564253.27999999991</v>
      </c>
      <c r="D8" s="386">
        <v>13010.19</v>
      </c>
      <c r="E8" s="363">
        <f t="shared" ref="E8:E22" si="0">C8+D8</f>
        <v>577263.46999999986</v>
      </c>
      <c r="F8" s="388">
        <v>482043.44</v>
      </c>
      <c r="G8" s="388">
        <v>11121.84</v>
      </c>
      <c r="H8" s="365">
        <f t="shared" ref="H8:H22" si="1">F8+G8</f>
        <v>493165.28</v>
      </c>
    </row>
    <row r="9" spans="1:8">
      <c r="A9" s="35">
        <v>2</v>
      </c>
      <c r="B9" s="376" t="s">
        <v>197</v>
      </c>
      <c r="C9" s="387">
        <f>C10+C11+C12+C13+C14+C15+C16+C17+C18</f>
        <v>9320736.0599999987</v>
      </c>
      <c r="D9" s="387">
        <f>D10+D11+D12+D13+D14+D15+D16+D17+D18</f>
        <v>544100.56999999995</v>
      </c>
      <c r="E9" s="363">
        <f t="shared" si="0"/>
        <v>9864836.629999999</v>
      </c>
      <c r="F9" s="387">
        <f>F10+F11+F12+F13+F14+F15+F16+F17+F18</f>
        <v>7874198.709999999</v>
      </c>
      <c r="G9" s="387">
        <f>G10+G11+G12+G13+G14+G15+G16+G17+G18</f>
        <v>643576.44999999995</v>
      </c>
      <c r="H9" s="365">
        <f t="shared" si="1"/>
        <v>8517775.1599999983</v>
      </c>
    </row>
    <row r="10" spans="1:8">
      <c r="A10" s="35">
        <v>2.1</v>
      </c>
      <c r="B10" s="377" t="s">
        <v>196</v>
      </c>
      <c r="C10" s="388">
        <v>0</v>
      </c>
      <c r="D10" s="388">
        <v>63102.35</v>
      </c>
      <c r="E10" s="363">
        <f t="shared" si="0"/>
        <v>63102.35</v>
      </c>
      <c r="F10" s="388">
        <v>0</v>
      </c>
      <c r="G10" s="388">
        <v>98529.63</v>
      </c>
      <c r="H10" s="365">
        <f t="shared" si="1"/>
        <v>98529.63</v>
      </c>
    </row>
    <row r="11" spans="1:8">
      <c r="A11" s="35">
        <v>2.2000000000000002</v>
      </c>
      <c r="B11" s="377" t="s">
        <v>195</v>
      </c>
      <c r="C11" s="388">
        <v>8399619.129999999</v>
      </c>
      <c r="D11" s="388">
        <v>0</v>
      </c>
      <c r="E11" s="363">
        <f t="shared" si="0"/>
        <v>8399619.129999999</v>
      </c>
      <c r="F11" s="388">
        <v>6516382.0799999991</v>
      </c>
      <c r="G11" s="388">
        <v>0</v>
      </c>
      <c r="H11" s="365">
        <f t="shared" si="1"/>
        <v>6516382.0799999991</v>
      </c>
    </row>
    <row r="12" spans="1:8">
      <c r="A12" s="35">
        <v>2.2999999999999998</v>
      </c>
      <c r="B12" s="377" t="s">
        <v>194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>
      <c r="A13" s="35">
        <v>2.4</v>
      </c>
      <c r="B13" s="377" t="s">
        <v>193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>
      <c r="A14" s="35">
        <v>2.5</v>
      </c>
      <c r="B14" s="377" t="s">
        <v>192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>
      <c r="A15" s="35">
        <v>2.6</v>
      </c>
      <c r="B15" s="377" t="s">
        <v>191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>
      <c r="A16" s="35">
        <v>2.7</v>
      </c>
      <c r="B16" s="377" t="s">
        <v>190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>
      <c r="A17" s="35">
        <v>2.8</v>
      </c>
      <c r="B17" s="377" t="s">
        <v>189</v>
      </c>
      <c r="C17" s="388">
        <v>921116.92999999993</v>
      </c>
      <c r="D17" s="388">
        <v>480998.22</v>
      </c>
      <c r="E17" s="363">
        <f t="shared" si="0"/>
        <v>1402115.15</v>
      </c>
      <c r="F17" s="388">
        <v>1357816.63</v>
      </c>
      <c r="G17" s="388">
        <v>545046.81999999995</v>
      </c>
      <c r="H17" s="365">
        <f t="shared" si="1"/>
        <v>1902863.4499999997</v>
      </c>
    </row>
    <row r="18" spans="1:8">
      <c r="A18" s="35">
        <v>2.9</v>
      </c>
      <c r="B18" s="377" t="s">
        <v>188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>
      <c r="A19" s="35">
        <v>3</v>
      </c>
      <c r="B19" s="376" t="s">
        <v>187</v>
      </c>
      <c r="C19" s="388">
        <v>0</v>
      </c>
      <c r="D19" s="388">
        <v>0</v>
      </c>
      <c r="E19" s="363">
        <f t="shared" si="0"/>
        <v>0</v>
      </c>
      <c r="F19" s="388">
        <v>0</v>
      </c>
      <c r="G19" s="388">
        <v>0</v>
      </c>
      <c r="H19" s="365">
        <f t="shared" si="1"/>
        <v>0</v>
      </c>
    </row>
    <row r="20" spans="1:8">
      <c r="A20" s="35">
        <v>4</v>
      </c>
      <c r="B20" s="376" t="s">
        <v>186</v>
      </c>
      <c r="C20" s="388">
        <v>1612361.0247331653</v>
      </c>
      <c r="D20" s="388">
        <v>410280.08336935128</v>
      </c>
      <c r="E20" s="363">
        <f t="shared" si="0"/>
        <v>2022641.1081025165</v>
      </c>
      <c r="F20" s="388">
        <v>960208.03332941642</v>
      </c>
      <c r="G20" s="388">
        <v>524085.73667058331</v>
      </c>
      <c r="H20" s="365">
        <f t="shared" si="1"/>
        <v>1484293.7699999998</v>
      </c>
    </row>
    <row r="21" spans="1:8">
      <c r="A21" s="35">
        <v>5</v>
      </c>
      <c r="B21" s="376" t="s">
        <v>185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>
      <c r="A22" s="35">
        <v>6</v>
      </c>
      <c r="B22" s="378" t="s">
        <v>184</v>
      </c>
      <c r="C22" s="387">
        <f>C8+C9+C19+C20+C21</f>
        <v>11497350.364733163</v>
      </c>
      <c r="D22" s="387">
        <f>D8+D9+D19+D20+D21</f>
        <v>967390.84336935123</v>
      </c>
      <c r="E22" s="363">
        <f t="shared" si="0"/>
        <v>12464741.208102515</v>
      </c>
      <c r="F22" s="387">
        <f>F8+F9+F19+F20+F21</f>
        <v>9316450.1833294164</v>
      </c>
      <c r="G22" s="387">
        <f>G8+G9+G19+G20+G21</f>
        <v>1178784.0266705833</v>
      </c>
      <c r="H22" s="365">
        <f t="shared" si="1"/>
        <v>10495234.209999999</v>
      </c>
    </row>
    <row r="23" spans="1:8">
      <c r="A23" s="35"/>
      <c r="B23" s="195" t="s">
        <v>183</v>
      </c>
      <c r="C23" s="388"/>
      <c r="D23" s="388"/>
      <c r="E23" s="362"/>
      <c r="F23" s="388"/>
      <c r="G23" s="388"/>
      <c r="H23" s="399"/>
    </row>
    <row r="24" spans="1:8">
      <c r="A24" s="35">
        <v>7</v>
      </c>
      <c r="B24" s="376" t="s">
        <v>182</v>
      </c>
      <c r="C24" s="388">
        <v>82632.05</v>
      </c>
      <c r="D24" s="388">
        <v>0</v>
      </c>
      <c r="E24" s="363">
        <f t="shared" ref="E24:E31" si="2">C24+D24</f>
        <v>82632.05</v>
      </c>
      <c r="F24" s="388">
        <v>88286.59</v>
      </c>
      <c r="G24" s="388">
        <v>0</v>
      </c>
      <c r="H24" s="365">
        <f t="shared" ref="H24:H31" si="3">F24+G24</f>
        <v>88286.59</v>
      </c>
    </row>
    <row r="25" spans="1:8">
      <c r="A25" s="35">
        <v>8</v>
      </c>
      <c r="B25" s="376" t="s">
        <v>181</v>
      </c>
      <c r="C25" s="388">
        <v>662970.22</v>
      </c>
      <c r="D25" s="388">
        <v>0</v>
      </c>
      <c r="E25" s="363">
        <f t="shared" si="2"/>
        <v>662970.22</v>
      </c>
      <c r="F25" s="388">
        <v>804358.5</v>
      </c>
      <c r="G25" s="388">
        <v>0</v>
      </c>
      <c r="H25" s="365">
        <f t="shared" si="3"/>
        <v>804358.5</v>
      </c>
    </row>
    <row r="26" spans="1:8">
      <c r="A26" s="35">
        <v>9</v>
      </c>
      <c r="B26" s="376" t="s">
        <v>180</v>
      </c>
      <c r="C26" s="388">
        <v>413440.83</v>
      </c>
      <c r="D26" s="388">
        <v>1400915.1499999997</v>
      </c>
      <c r="E26" s="363">
        <f t="shared" si="2"/>
        <v>1814355.9799999997</v>
      </c>
      <c r="F26" s="388">
        <v>263165.93</v>
      </c>
      <c r="G26" s="388">
        <v>977022.2699999999</v>
      </c>
      <c r="H26" s="365">
        <f t="shared" si="3"/>
        <v>1240188.2</v>
      </c>
    </row>
    <row r="27" spans="1:8">
      <c r="A27" s="35">
        <v>10</v>
      </c>
      <c r="B27" s="376" t="s">
        <v>179</v>
      </c>
      <c r="C27" s="388">
        <v>0</v>
      </c>
      <c r="D27" s="388">
        <v>0</v>
      </c>
      <c r="E27" s="363">
        <f t="shared" si="2"/>
        <v>0</v>
      </c>
      <c r="F27" s="388">
        <v>0</v>
      </c>
      <c r="G27" s="388">
        <v>0</v>
      </c>
      <c r="H27" s="365">
        <f t="shared" si="3"/>
        <v>0</v>
      </c>
    </row>
    <row r="28" spans="1:8">
      <c r="A28" s="35">
        <v>11</v>
      </c>
      <c r="B28" s="376" t="s">
        <v>178</v>
      </c>
      <c r="C28" s="388">
        <v>85725.69</v>
      </c>
      <c r="D28" s="388">
        <v>962904.39</v>
      </c>
      <c r="E28" s="363">
        <f t="shared" si="2"/>
        <v>1048630.08</v>
      </c>
      <c r="F28" s="388">
        <v>147976.78999999998</v>
      </c>
      <c r="G28" s="388">
        <v>2608484.63</v>
      </c>
      <c r="H28" s="365">
        <f t="shared" si="3"/>
        <v>2756461.42</v>
      </c>
    </row>
    <row r="29" spans="1:8">
      <c r="A29" s="35">
        <v>12</v>
      </c>
      <c r="B29" s="376" t="s">
        <v>177</v>
      </c>
      <c r="C29" s="388"/>
      <c r="D29" s="388"/>
      <c r="E29" s="363">
        <f t="shared" si="2"/>
        <v>0</v>
      </c>
      <c r="F29" s="388">
        <v>0</v>
      </c>
      <c r="G29" s="388"/>
      <c r="H29" s="365">
        <f t="shared" si="3"/>
        <v>0</v>
      </c>
    </row>
    <row r="30" spans="1:8">
      <c r="A30" s="35">
        <v>13</v>
      </c>
      <c r="B30" s="379" t="s">
        <v>176</v>
      </c>
      <c r="C30" s="387">
        <f>C24+C25+C26+C27+C28+C29</f>
        <v>1244768.79</v>
      </c>
      <c r="D30" s="387">
        <f>D24+D25+D26+D27+D28+D29</f>
        <v>2363819.5399999996</v>
      </c>
      <c r="E30" s="363">
        <f t="shared" si="2"/>
        <v>3608588.3299999996</v>
      </c>
      <c r="F30" s="387">
        <f>F24+F25+F26+F27+F28+F29</f>
        <v>1303787.81</v>
      </c>
      <c r="G30" s="387">
        <f>G24+G25+G26+G27+G28+G29</f>
        <v>3585506.9</v>
      </c>
      <c r="H30" s="365">
        <f t="shared" si="3"/>
        <v>4889294.71</v>
      </c>
    </row>
    <row r="31" spans="1:8">
      <c r="A31" s="35">
        <v>14</v>
      </c>
      <c r="B31" s="379" t="s">
        <v>175</v>
      </c>
      <c r="C31" s="387">
        <f>C22-C30</f>
        <v>10252581.574733164</v>
      </c>
      <c r="D31" s="387">
        <f>D22-D30</f>
        <v>-1396428.6966306483</v>
      </c>
      <c r="E31" s="363">
        <f t="shared" si="2"/>
        <v>8856152.8781025149</v>
      </c>
      <c r="F31" s="387">
        <f>F22-F30</f>
        <v>8012662.3733294159</v>
      </c>
      <c r="G31" s="387">
        <f>G22-G30</f>
        <v>-2406722.8733294168</v>
      </c>
      <c r="H31" s="365">
        <f t="shared" si="3"/>
        <v>5605939.4999999991</v>
      </c>
    </row>
    <row r="32" spans="1:8">
      <c r="A32" s="35"/>
      <c r="B32" s="380"/>
      <c r="C32" s="389"/>
      <c r="D32" s="389"/>
      <c r="E32" s="389"/>
      <c r="F32" s="389"/>
      <c r="G32" s="389"/>
      <c r="H32" s="400"/>
    </row>
    <row r="33" spans="1:8">
      <c r="A33" s="35"/>
      <c r="B33" s="380" t="s">
        <v>174</v>
      </c>
      <c r="C33" s="388"/>
      <c r="D33" s="388"/>
      <c r="E33" s="362"/>
      <c r="F33" s="388"/>
      <c r="G33" s="388"/>
      <c r="H33" s="399"/>
    </row>
    <row r="34" spans="1:8">
      <c r="A34" s="35">
        <v>15</v>
      </c>
      <c r="B34" s="381" t="s">
        <v>173</v>
      </c>
      <c r="C34" s="390">
        <f>C35-C36</f>
        <v>240378.70999999973</v>
      </c>
      <c r="D34" s="390">
        <f>D35-D36</f>
        <v>0</v>
      </c>
      <c r="E34" s="363">
        <f t="shared" ref="E34:E45" si="4">C34+D34</f>
        <v>240378.70999999973</v>
      </c>
      <c r="F34" s="390">
        <f>F35-F36</f>
        <v>-111172.96000000008</v>
      </c>
      <c r="G34" s="390">
        <f>G35-G36</f>
        <v>0</v>
      </c>
      <c r="H34" s="365">
        <f t="shared" ref="H34:H45" si="5">F34+G34</f>
        <v>-111172.96000000008</v>
      </c>
    </row>
    <row r="35" spans="1:8">
      <c r="A35" s="35">
        <v>15.1</v>
      </c>
      <c r="B35" s="377" t="s">
        <v>172</v>
      </c>
      <c r="C35" s="388">
        <v>1092592.0199999998</v>
      </c>
      <c r="D35" s="388"/>
      <c r="E35" s="363">
        <f t="shared" si="4"/>
        <v>1092592.0199999998</v>
      </c>
      <c r="F35" s="388">
        <v>925873.15000000014</v>
      </c>
      <c r="G35" s="388"/>
      <c r="H35" s="365">
        <f t="shared" si="5"/>
        <v>925873.15000000014</v>
      </c>
    </row>
    <row r="36" spans="1:8">
      <c r="A36" s="35">
        <v>15.2</v>
      </c>
      <c r="B36" s="377" t="s">
        <v>171</v>
      </c>
      <c r="C36" s="388">
        <v>852213.31</v>
      </c>
      <c r="D36" s="388"/>
      <c r="E36" s="363">
        <f t="shared" si="4"/>
        <v>852213.31</v>
      </c>
      <c r="F36" s="388">
        <v>1037046.1100000002</v>
      </c>
      <c r="G36" s="388"/>
      <c r="H36" s="365">
        <f t="shared" si="5"/>
        <v>1037046.1100000002</v>
      </c>
    </row>
    <row r="37" spans="1:8">
      <c r="A37" s="35">
        <v>16</v>
      </c>
      <c r="B37" s="376" t="s">
        <v>170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>
      <c r="A38" s="35">
        <v>17</v>
      </c>
      <c r="B38" s="376" t="s">
        <v>169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>
      <c r="A39" s="35">
        <v>18</v>
      </c>
      <c r="B39" s="376" t="s">
        <v>168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>
      <c r="A40" s="35">
        <v>19</v>
      </c>
      <c r="B40" s="376" t="s">
        <v>167</v>
      </c>
      <c r="C40" s="388">
        <v>659940.16000000015</v>
      </c>
      <c r="D40" s="388"/>
      <c r="E40" s="363">
        <f t="shared" si="4"/>
        <v>659940.16000000015</v>
      </c>
      <c r="F40" s="388">
        <v>615181.8600000001</v>
      </c>
      <c r="G40" s="388"/>
      <c r="H40" s="365">
        <f t="shared" si="5"/>
        <v>615181.8600000001</v>
      </c>
    </row>
    <row r="41" spans="1:8">
      <c r="A41" s="35">
        <v>20</v>
      </c>
      <c r="B41" s="376" t="s">
        <v>166</v>
      </c>
      <c r="C41" s="388">
        <v>71407.140000000596</v>
      </c>
      <c r="D41" s="388"/>
      <c r="E41" s="363">
        <f t="shared" si="4"/>
        <v>71407.140000000596</v>
      </c>
      <c r="F41" s="388">
        <v>661147.23999999987</v>
      </c>
      <c r="G41" s="388"/>
      <c r="H41" s="365">
        <f t="shared" si="5"/>
        <v>661147.23999999987</v>
      </c>
    </row>
    <row r="42" spans="1:8">
      <c r="A42" s="35">
        <v>21</v>
      </c>
      <c r="B42" s="376" t="s">
        <v>165</v>
      </c>
      <c r="C42" s="388">
        <v>0</v>
      </c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>
      <c r="A43" s="35">
        <v>22</v>
      </c>
      <c r="B43" s="376" t="s">
        <v>164</v>
      </c>
      <c r="C43" s="388">
        <v>1222014.0200000003</v>
      </c>
      <c r="D43" s="388"/>
      <c r="E43" s="363">
        <f t="shared" si="4"/>
        <v>1222014.0200000003</v>
      </c>
      <c r="F43" s="388">
        <v>205226.62</v>
      </c>
      <c r="G43" s="388"/>
      <c r="H43" s="365">
        <f t="shared" si="5"/>
        <v>205226.62</v>
      </c>
    </row>
    <row r="44" spans="1:8">
      <c r="A44" s="35">
        <v>23</v>
      </c>
      <c r="B44" s="376" t="s">
        <v>163</v>
      </c>
      <c r="C44" s="388">
        <v>0</v>
      </c>
      <c r="D44" s="388"/>
      <c r="E44" s="363">
        <f t="shared" si="4"/>
        <v>0</v>
      </c>
      <c r="F44" s="388">
        <v>0</v>
      </c>
      <c r="G44" s="388"/>
      <c r="H44" s="365">
        <f t="shared" si="5"/>
        <v>0</v>
      </c>
    </row>
    <row r="45" spans="1:8">
      <c r="A45" s="35">
        <v>24</v>
      </c>
      <c r="B45" s="379" t="s">
        <v>280</v>
      </c>
      <c r="C45" s="387">
        <f>C34+C37+C38+C39+C40+C41+C42+C43+C44</f>
        <v>2193740.0300000007</v>
      </c>
      <c r="D45" s="387">
        <f>D34+D37+D38+D39+D40+D41+D42+D43+D44</f>
        <v>0</v>
      </c>
      <c r="E45" s="363">
        <f t="shared" si="4"/>
        <v>2193740.0300000007</v>
      </c>
      <c r="F45" s="387">
        <f>F34+F37+F38+F39+F40+F41+F42+F43+F44</f>
        <v>1370382.7599999998</v>
      </c>
      <c r="G45" s="387">
        <f>G34+G37+G38+G39+G40+G41+G42+G43+G44</f>
        <v>0</v>
      </c>
      <c r="H45" s="365">
        <f t="shared" si="5"/>
        <v>1370382.7599999998</v>
      </c>
    </row>
    <row r="46" spans="1:8">
      <c r="A46" s="35"/>
      <c r="B46" s="195" t="s">
        <v>162</v>
      </c>
      <c r="C46" s="388"/>
      <c r="D46" s="388"/>
      <c r="E46" s="388"/>
      <c r="F46" s="388"/>
      <c r="G46" s="388"/>
      <c r="H46" s="401"/>
    </row>
    <row r="47" spans="1:8">
      <c r="A47" s="35">
        <v>25</v>
      </c>
      <c r="B47" s="376" t="s">
        <v>161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>
      <c r="A48" s="35">
        <v>26</v>
      </c>
      <c r="B48" s="376" t="s">
        <v>160</v>
      </c>
      <c r="C48" s="388">
        <v>104658.29</v>
      </c>
      <c r="D48" s="388"/>
      <c r="E48" s="363">
        <f t="shared" si="6"/>
        <v>104658.29</v>
      </c>
      <c r="F48" s="388">
        <v>129577.64000000001</v>
      </c>
      <c r="G48" s="388"/>
      <c r="H48" s="365">
        <f t="shared" si="7"/>
        <v>129577.64000000001</v>
      </c>
    </row>
    <row r="49" spans="1:8">
      <c r="A49" s="35">
        <v>27</v>
      </c>
      <c r="B49" s="376" t="s">
        <v>159</v>
      </c>
      <c r="C49" s="388">
        <v>3482717.0500000003</v>
      </c>
      <c r="D49" s="388"/>
      <c r="E49" s="363">
        <f t="shared" si="6"/>
        <v>3482717.0500000003</v>
      </c>
      <c r="F49" s="388">
        <v>3573816.13</v>
      </c>
      <c r="G49" s="388"/>
      <c r="H49" s="365">
        <f t="shared" si="7"/>
        <v>3573816.13</v>
      </c>
    </row>
    <row r="50" spans="1:8">
      <c r="A50" s="35">
        <v>28</v>
      </c>
      <c r="B50" s="376" t="s">
        <v>158</v>
      </c>
      <c r="C50" s="388">
        <v>12741.039999999999</v>
      </c>
      <c r="D50" s="388"/>
      <c r="E50" s="363">
        <f t="shared" si="6"/>
        <v>12741.039999999999</v>
      </c>
      <c r="F50" s="388">
        <v>11257.43</v>
      </c>
      <c r="G50" s="388"/>
      <c r="H50" s="365">
        <f t="shared" si="7"/>
        <v>11257.43</v>
      </c>
    </row>
    <row r="51" spans="1:8">
      <c r="A51" s="35">
        <v>29</v>
      </c>
      <c r="B51" s="376" t="s">
        <v>157</v>
      </c>
      <c r="C51" s="388">
        <v>548933.78</v>
      </c>
      <c r="D51" s="388"/>
      <c r="E51" s="363">
        <f t="shared" si="6"/>
        <v>548933.78</v>
      </c>
      <c r="F51" s="388">
        <v>536138.22</v>
      </c>
      <c r="G51" s="388"/>
      <c r="H51" s="365">
        <f t="shared" si="7"/>
        <v>536138.22</v>
      </c>
    </row>
    <row r="52" spans="1:8">
      <c r="A52" s="35">
        <v>30</v>
      </c>
      <c r="B52" s="376" t="s">
        <v>156</v>
      </c>
      <c r="C52" s="388">
        <v>1202811.26</v>
      </c>
      <c r="D52" s="388"/>
      <c r="E52" s="363">
        <f t="shared" si="6"/>
        <v>1202811.26</v>
      </c>
      <c r="F52" s="388">
        <v>1388436.1199999996</v>
      </c>
      <c r="G52" s="388"/>
      <c r="H52" s="365">
        <f t="shared" si="7"/>
        <v>1388436.1199999996</v>
      </c>
    </row>
    <row r="53" spans="1:8">
      <c r="A53" s="35">
        <v>31</v>
      </c>
      <c r="B53" s="379" t="s">
        <v>281</v>
      </c>
      <c r="C53" s="387">
        <f>C47+C48+C49+C50+C51+C52</f>
        <v>5351861.42</v>
      </c>
      <c r="D53" s="387">
        <f>D47+D48+D49+D50+D51+D52</f>
        <v>0</v>
      </c>
      <c r="E53" s="363">
        <f t="shared" si="6"/>
        <v>5351861.42</v>
      </c>
      <c r="F53" s="387">
        <f>F47+F48+F49+F50+F51+F52</f>
        <v>5639225.5399999991</v>
      </c>
      <c r="G53" s="387">
        <f>G47+G48+G49+G50+G51+G52</f>
        <v>0</v>
      </c>
      <c r="H53" s="365">
        <f t="shared" si="7"/>
        <v>5639225.5399999991</v>
      </c>
    </row>
    <row r="54" spans="1:8">
      <c r="A54" s="35">
        <v>32</v>
      </c>
      <c r="B54" s="379" t="s">
        <v>282</v>
      </c>
      <c r="C54" s="387">
        <f>C45-C53</f>
        <v>-3158121.3899999992</v>
      </c>
      <c r="D54" s="387">
        <f>D45-D53</f>
        <v>0</v>
      </c>
      <c r="E54" s="363">
        <f t="shared" si="6"/>
        <v>-3158121.3899999992</v>
      </c>
      <c r="F54" s="387">
        <f>F45-F53</f>
        <v>-4268842.7799999993</v>
      </c>
      <c r="G54" s="387">
        <f>G45-G53</f>
        <v>0</v>
      </c>
      <c r="H54" s="365">
        <f t="shared" si="7"/>
        <v>-4268842.7799999993</v>
      </c>
    </row>
    <row r="55" spans="1:8">
      <c r="A55" s="35"/>
      <c r="B55" s="380"/>
      <c r="C55" s="389"/>
      <c r="D55" s="389"/>
      <c r="E55" s="389"/>
      <c r="F55" s="389"/>
      <c r="G55" s="389"/>
      <c r="H55" s="400"/>
    </row>
    <row r="56" spans="1:8">
      <c r="A56" s="35">
        <v>33</v>
      </c>
      <c r="B56" s="379" t="s">
        <v>155</v>
      </c>
      <c r="C56" s="387">
        <f>C31+C54</f>
        <v>7094460.1847331654</v>
      </c>
      <c r="D56" s="387">
        <f>D31+D54</f>
        <v>-1396428.6966306483</v>
      </c>
      <c r="E56" s="363">
        <f>C56+D56</f>
        <v>5698031.4881025171</v>
      </c>
      <c r="F56" s="387">
        <f>F31+F54</f>
        <v>3743819.5933294166</v>
      </c>
      <c r="G56" s="387">
        <f>G31+G54</f>
        <v>-2406722.8733294168</v>
      </c>
      <c r="H56" s="365">
        <f>F56+G56</f>
        <v>1337096.7199999997</v>
      </c>
    </row>
    <row r="57" spans="1:8">
      <c r="A57" s="35"/>
      <c r="B57" s="380"/>
      <c r="C57" s="389"/>
      <c r="D57" s="389"/>
      <c r="E57" s="389"/>
      <c r="F57" s="389"/>
      <c r="G57" s="389"/>
      <c r="H57" s="400"/>
    </row>
    <row r="58" spans="1:8">
      <c r="A58" s="35">
        <v>34</v>
      </c>
      <c r="B58" s="376" t="s">
        <v>154</v>
      </c>
      <c r="C58" s="388">
        <v>-77676.964851299883</v>
      </c>
      <c r="D58" s="388"/>
      <c r="E58" s="363">
        <f>C58+D58</f>
        <v>-77676.964851299883</v>
      </c>
      <c r="F58" s="388">
        <v>406065.20273790607</v>
      </c>
      <c r="G58" s="388"/>
      <c r="H58" s="365">
        <f>F58+G58</f>
        <v>406065.20273790607</v>
      </c>
    </row>
    <row r="59" spans="1:8" s="196" customFormat="1">
      <c r="A59" s="35">
        <v>35</v>
      </c>
      <c r="B59" s="376" t="s">
        <v>153</v>
      </c>
      <c r="C59" s="388">
        <v>81732.13809540699</v>
      </c>
      <c r="D59" s="388"/>
      <c r="E59" s="393">
        <f>C59+D59</f>
        <v>81732.13809540699</v>
      </c>
      <c r="F59" s="395">
        <v>43262.753742000001</v>
      </c>
      <c r="G59" s="395"/>
      <c r="H59" s="402">
        <f>F59+G59</f>
        <v>43262.753742000001</v>
      </c>
    </row>
    <row r="60" spans="1:8">
      <c r="A60" s="35">
        <v>36</v>
      </c>
      <c r="B60" s="376" t="s">
        <v>152</v>
      </c>
      <c r="C60" s="388">
        <v>181905.32190459303</v>
      </c>
      <c r="D60" s="388"/>
      <c r="E60" s="363">
        <f>C60+D60</f>
        <v>181905.32190459303</v>
      </c>
      <c r="F60" s="388">
        <v>192459.76569098001</v>
      </c>
      <c r="G60" s="388"/>
      <c r="H60" s="365">
        <f>F60+G60</f>
        <v>192459.76569098001</v>
      </c>
    </row>
    <row r="61" spans="1:8">
      <c r="A61" s="35">
        <v>37</v>
      </c>
      <c r="B61" s="379" t="s">
        <v>151</v>
      </c>
      <c r="C61" s="387">
        <f>C58+C59+C60</f>
        <v>185960.49514870014</v>
      </c>
      <c r="D61" s="387">
        <f>D58+D59+D60</f>
        <v>0</v>
      </c>
      <c r="E61" s="363">
        <f>C61+D61</f>
        <v>185960.49514870014</v>
      </c>
      <c r="F61" s="387">
        <f>F58+F59+F60</f>
        <v>641787.72217088612</v>
      </c>
      <c r="G61" s="387">
        <f>G58+G59+G60</f>
        <v>0</v>
      </c>
      <c r="H61" s="365">
        <f>F61+G61</f>
        <v>641787.72217088612</v>
      </c>
    </row>
    <row r="62" spans="1:8">
      <c r="A62" s="35"/>
      <c r="B62" s="382"/>
      <c r="C62" s="388"/>
      <c r="D62" s="388"/>
      <c r="E62" s="388"/>
      <c r="F62" s="388"/>
      <c r="G62" s="388"/>
      <c r="H62" s="401"/>
    </row>
    <row r="63" spans="1:8">
      <c r="A63" s="35">
        <v>38</v>
      </c>
      <c r="B63" s="383" t="s">
        <v>150</v>
      </c>
      <c r="C63" s="387">
        <f>C56-C61</f>
        <v>6908499.6895844657</v>
      </c>
      <c r="D63" s="387">
        <f>D56-D61</f>
        <v>-1396428.6966306483</v>
      </c>
      <c r="E63" s="363">
        <f>C63+D63</f>
        <v>5512070.9929538174</v>
      </c>
      <c r="F63" s="387">
        <f>F56-F61</f>
        <v>3102031.8711585305</v>
      </c>
      <c r="G63" s="387">
        <f>G56-G61</f>
        <v>-2406722.8733294168</v>
      </c>
      <c r="H63" s="365">
        <f>F63+G63</f>
        <v>695308.99782911362</v>
      </c>
    </row>
    <row r="64" spans="1:8">
      <c r="A64" s="34">
        <v>39</v>
      </c>
      <c r="B64" s="376" t="s">
        <v>149</v>
      </c>
      <c r="C64" s="391">
        <v>156569</v>
      </c>
      <c r="D64" s="391"/>
      <c r="E64" s="363">
        <f>C64+D64</f>
        <v>156569</v>
      </c>
      <c r="F64" s="391">
        <v>593122.01</v>
      </c>
      <c r="G64" s="391"/>
      <c r="H64" s="365">
        <f>F64+G64</f>
        <v>593122.01</v>
      </c>
    </row>
    <row r="65" spans="1:8">
      <c r="A65" s="35">
        <v>40</v>
      </c>
      <c r="B65" s="379" t="s">
        <v>148</v>
      </c>
      <c r="C65" s="387">
        <f>C63-C64</f>
        <v>6751930.6895844657</v>
      </c>
      <c r="D65" s="387">
        <f>D63-D64</f>
        <v>-1396428.6966306483</v>
      </c>
      <c r="E65" s="363">
        <f>C65+D65</f>
        <v>5355501.9929538174</v>
      </c>
      <c r="F65" s="387">
        <f>F63-F64</f>
        <v>2508909.8611585302</v>
      </c>
      <c r="G65" s="387">
        <f>G63-G64</f>
        <v>-2406722.8733294168</v>
      </c>
      <c r="H65" s="365">
        <f>F65+G65</f>
        <v>102186.98782911338</v>
      </c>
    </row>
    <row r="66" spans="1:8">
      <c r="A66" s="34">
        <v>41</v>
      </c>
      <c r="B66" s="376" t="s">
        <v>147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3.5" thickBot="1">
      <c r="A67" s="36">
        <v>42</v>
      </c>
      <c r="B67" s="37" t="s">
        <v>146</v>
      </c>
      <c r="C67" s="392">
        <f>C65+C66</f>
        <v>6751930.6895844657</v>
      </c>
      <c r="D67" s="392">
        <f>D65+D66</f>
        <v>-1396428.6966306483</v>
      </c>
      <c r="E67" s="394">
        <f>C67+D67</f>
        <v>5355501.9929538174</v>
      </c>
      <c r="F67" s="392">
        <f>F65+F66</f>
        <v>2508909.8611585302</v>
      </c>
      <c r="G67" s="392">
        <f>G65+G66</f>
        <v>-2406722.8733294168</v>
      </c>
      <c r="H67" s="403">
        <f>F67+G67</f>
        <v>102186.98782911338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B1" sqref="B1"/>
    </sheetView>
  </sheetViews>
  <sheetFormatPr defaultColWidth="9.140625" defaultRowHeight="14.25"/>
  <cols>
    <col min="1" max="1" width="9.5703125" style="5" bestFit="1" customWidth="1"/>
    <col min="2" max="2" width="72.28515625" style="5" customWidth="1"/>
    <col min="3" max="8" width="12.7109375" style="5" customWidth="1"/>
    <col min="9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43738</v>
      </c>
    </row>
    <row r="3" spans="1:8">
      <c r="A3" s="4"/>
    </row>
    <row r="4" spans="1:8" ht="15" thickBot="1">
      <c r="A4" s="4" t="s">
        <v>74</v>
      </c>
      <c r="B4" s="4"/>
      <c r="C4" s="404"/>
      <c r="D4" s="404"/>
      <c r="E4" s="404"/>
      <c r="F4" s="404"/>
      <c r="G4" s="405"/>
      <c r="H4" s="406" t="s">
        <v>73</v>
      </c>
    </row>
    <row r="5" spans="1:8">
      <c r="A5" s="539" t="s">
        <v>6</v>
      </c>
      <c r="B5" s="541" t="s">
        <v>347</v>
      </c>
      <c r="C5" s="535" t="s">
        <v>68</v>
      </c>
      <c r="D5" s="536"/>
      <c r="E5" s="537"/>
      <c r="F5" s="535" t="s">
        <v>72</v>
      </c>
      <c r="G5" s="536"/>
      <c r="H5" s="538"/>
    </row>
    <row r="6" spans="1:8">
      <c r="A6" s="540"/>
      <c r="B6" s="542"/>
      <c r="C6" s="354" t="s">
        <v>294</v>
      </c>
      <c r="D6" s="354" t="s">
        <v>123</v>
      </c>
      <c r="E6" s="354" t="s">
        <v>110</v>
      </c>
      <c r="F6" s="354" t="s">
        <v>294</v>
      </c>
      <c r="G6" s="354" t="s">
        <v>123</v>
      </c>
      <c r="H6" s="355" t="s">
        <v>110</v>
      </c>
    </row>
    <row r="7" spans="1:8" s="17" customFormat="1">
      <c r="A7" s="180">
        <v>1</v>
      </c>
      <c r="B7" s="407" t="s">
        <v>381</v>
      </c>
      <c r="C7" s="390">
        <f>SUM(C8:C11)</f>
        <v>27589659.609999999</v>
      </c>
      <c r="D7" s="390">
        <f>SUM(D8:D11)</f>
        <v>25004699</v>
      </c>
      <c r="E7" s="390">
        <f>C7+D7</f>
        <v>52594358.609999999</v>
      </c>
      <c r="F7" s="390">
        <f>SUM(F8:F11)</f>
        <v>11654899.300000001</v>
      </c>
      <c r="G7" s="390">
        <f>SUM(G8:G11)</f>
        <v>18274212.68</v>
      </c>
      <c r="H7" s="365">
        <f t="shared" ref="H7:H53" si="0">F7+G7</f>
        <v>29929111.98</v>
      </c>
    </row>
    <row r="8" spans="1:8" s="17" customFormat="1">
      <c r="A8" s="180">
        <v>1.1000000000000001</v>
      </c>
      <c r="B8" s="408" t="s">
        <v>312</v>
      </c>
      <c r="C8" s="409">
        <v>27521138.829999998</v>
      </c>
      <c r="D8" s="409">
        <v>24989923</v>
      </c>
      <c r="E8" s="390">
        <f t="shared" ref="E8:E53" si="1">C8+D8</f>
        <v>52511061.829999998</v>
      </c>
      <c r="F8" s="409">
        <v>11552500</v>
      </c>
      <c r="G8" s="409">
        <v>18261137.18</v>
      </c>
      <c r="H8" s="365">
        <f t="shared" si="0"/>
        <v>29813637.18</v>
      </c>
    </row>
    <row r="9" spans="1:8" s="17" customFormat="1">
      <c r="A9" s="180">
        <v>1.2</v>
      </c>
      <c r="B9" s="408" t="s">
        <v>313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>
      <c r="A10" s="180">
        <v>1.3</v>
      </c>
      <c r="B10" s="408" t="s">
        <v>314</v>
      </c>
      <c r="C10" s="409">
        <v>68520.77999999997</v>
      </c>
      <c r="D10" s="409">
        <v>14776</v>
      </c>
      <c r="E10" s="390">
        <f t="shared" si="1"/>
        <v>83296.77999999997</v>
      </c>
      <c r="F10" s="409">
        <v>102399.30000000005</v>
      </c>
      <c r="G10" s="409">
        <v>13075.5</v>
      </c>
      <c r="H10" s="365">
        <f t="shared" si="0"/>
        <v>115474.80000000005</v>
      </c>
    </row>
    <row r="11" spans="1:8" s="17" customFormat="1">
      <c r="A11" s="180">
        <v>1.4</v>
      </c>
      <c r="B11" s="408" t="s">
        <v>295</v>
      </c>
      <c r="C11" s="409"/>
      <c r="D11" s="409"/>
      <c r="E11" s="390">
        <f t="shared" si="1"/>
        <v>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316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899999999999999" customHeight="1">
      <c r="A13" s="180">
        <v>3</v>
      </c>
      <c r="B13" s="182" t="s">
        <v>315</v>
      </c>
      <c r="C13" s="390">
        <f>C14+C15</f>
        <v>0</v>
      </c>
      <c r="D13" s="390">
        <f>D14+D15</f>
        <v>0</v>
      </c>
      <c r="E13" s="390">
        <f t="shared" si="1"/>
        <v>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>
      <c r="A14" s="180">
        <v>3.1</v>
      </c>
      <c r="B14" s="228" t="s">
        <v>296</v>
      </c>
      <c r="C14" s="409"/>
      <c r="D14" s="409"/>
      <c r="E14" s="390">
        <f t="shared" si="1"/>
        <v>0</v>
      </c>
      <c r="F14" s="409"/>
      <c r="G14" s="409"/>
      <c r="H14" s="365">
        <f t="shared" si="0"/>
        <v>0</v>
      </c>
    </row>
    <row r="15" spans="1:8" s="17" customFormat="1">
      <c r="A15" s="180">
        <v>3.2</v>
      </c>
      <c r="B15" s="228" t="s">
        <v>297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>
      <c r="A16" s="180">
        <v>4</v>
      </c>
      <c r="B16" s="230" t="s">
        <v>326</v>
      </c>
      <c r="C16" s="390">
        <f>C17+C18</f>
        <v>22872162</v>
      </c>
      <c r="D16" s="390">
        <f>D17+D18</f>
        <v>74921944.633564129</v>
      </c>
      <c r="E16" s="390">
        <f t="shared" si="1"/>
        <v>97794106.633564129</v>
      </c>
      <c r="F16" s="390">
        <f>F17+F18</f>
        <v>0</v>
      </c>
      <c r="G16" s="390">
        <f>G17+G18</f>
        <v>116429285.9263725</v>
      </c>
      <c r="H16" s="365">
        <f t="shared" si="0"/>
        <v>116429285.9263725</v>
      </c>
    </row>
    <row r="17" spans="1:8" s="17" customFormat="1">
      <c r="A17" s="180">
        <v>4.0999999999999996</v>
      </c>
      <c r="B17" s="228" t="s">
        <v>317</v>
      </c>
      <c r="C17" s="409"/>
      <c r="D17" s="409">
        <v>73842078.588780135</v>
      </c>
      <c r="E17" s="390">
        <f t="shared" si="1"/>
        <v>73842078.588780135</v>
      </c>
      <c r="F17" s="409"/>
      <c r="G17" s="409">
        <v>105475722.0262035</v>
      </c>
      <c r="H17" s="365">
        <f t="shared" si="0"/>
        <v>105475722.0262035</v>
      </c>
    </row>
    <row r="18" spans="1:8" s="17" customFormat="1">
      <c r="A18" s="180">
        <v>4.2</v>
      </c>
      <c r="B18" s="228" t="s">
        <v>311</v>
      </c>
      <c r="C18" s="409">
        <v>22872162</v>
      </c>
      <c r="D18" s="409">
        <v>1079866.0447839999</v>
      </c>
      <c r="E18" s="390">
        <f t="shared" si="1"/>
        <v>23952028.044783998</v>
      </c>
      <c r="F18" s="409"/>
      <c r="G18" s="409">
        <v>10953563.900169</v>
      </c>
      <c r="H18" s="365">
        <f t="shared" si="0"/>
        <v>10953563.900169</v>
      </c>
    </row>
    <row r="19" spans="1:8" s="17" customFormat="1">
      <c r="A19" s="180">
        <v>5</v>
      </c>
      <c r="B19" s="182" t="s">
        <v>325</v>
      </c>
      <c r="C19" s="390">
        <f>C20+C21+C22+SUM(C28:C31)</f>
        <v>193843.65</v>
      </c>
      <c r="D19" s="390">
        <f>D20+D21+D22+SUM(D28:D31)</f>
        <v>262540138.69827464</v>
      </c>
      <c r="E19" s="390">
        <f t="shared" si="1"/>
        <v>262733982.34827465</v>
      </c>
      <c r="F19" s="390">
        <f>F20+F21+F22+SUM(F28:F31)</f>
        <v>10000</v>
      </c>
      <c r="G19" s="390">
        <f>G20+G21+G22+SUM(G28:G31)</f>
        <v>479472178.15933156</v>
      </c>
      <c r="H19" s="365">
        <f t="shared" si="0"/>
        <v>479482178.15933156</v>
      </c>
    </row>
    <row r="20" spans="1:8" s="17" customFormat="1">
      <c r="A20" s="180">
        <v>5.0999999999999996</v>
      </c>
      <c r="B20" s="410" t="s">
        <v>300</v>
      </c>
      <c r="C20" s="409">
        <v>193843.65</v>
      </c>
      <c r="D20" s="409">
        <v>1344208.1824</v>
      </c>
      <c r="E20" s="390">
        <f t="shared" si="1"/>
        <v>1538051.8324</v>
      </c>
      <c r="F20" s="409">
        <v>10000</v>
      </c>
      <c r="G20" s="409">
        <v>9120938.8661249988</v>
      </c>
      <c r="H20" s="365">
        <f t="shared" si="0"/>
        <v>9130938.8661249988</v>
      </c>
    </row>
    <row r="21" spans="1:8" s="17" customFormat="1">
      <c r="A21" s="180">
        <v>5.2</v>
      </c>
      <c r="B21" s="410" t="s">
        <v>299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>
      <c r="A22" s="180">
        <v>5.3</v>
      </c>
      <c r="B22" s="410" t="s">
        <v>298</v>
      </c>
      <c r="C22" s="411">
        <f>SUM(C23:C27)</f>
        <v>0</v>
      </c>
      <c r="D22" s="411">
        <f>SUM(D23:D27)</f>
        <v>217959919.31951028</v>
      </c>
      <c r="E22" s="390">
        <f t="shared" si="1"/>
        <v>217959919.31951028</v>
      </c>
      <c r="F22" s="411">
        <f>SUM(F23:F27)</f>
        <v>0</v>
      </c>
      <c r="G22" s="411">
        <f>SUM(G23:G27)</f>
        <v>223048331.60817623</v>
      </c>
      <c r="H22" s="365">
        <f t="shared" si="0"/>
        <v>223048331.60817623</v>
      </c>
    </row>
    <row r="23" spans="1:8" s="17" customFormat="1">
      <c r="A23" s="180" t="s">
        <v>15</v>
      </c>
      <c r="B23" s="412" t="s">
        <v>75</v>
      </c>
      <c r="C23" s="409"/>
      <c r="D23" s="409">
        <v>32220350.734272663</v>
      </c>
      <c r="E23" s="390">
        <f t="shared" si="1"/>
        <v>32220350.734272663</v>
      </c>
      <c r="F23" s="409"/>
      <c r="G23" s="409">
        <v>17852766.802384626</v>
      </c>
      <c r="H23" s="365">
        <f t="shared" si="0"/>
        <v>17852766.802384626</v>
      </c>
    </row>
    <row r="24" spans="1:8" s="17" customFormat="1">
      <c r="A24" s="180" t="s">
        <v>16</v>
      </c>
      <c r="B24" s="412" t="s">
        <v>76</v>
      </c>
      <c r="C24" s="409"/>
      <c r="D24" s="409">
        <v>152573845.83322158</v>
      </c>
      <c r="E24" s="390">
        <f t="shared" si="1"/>
        <v>152573845.83322158</v>
      </c>
      <c r="F24" s="409"/>
      <c r="G24" s="409">
        <v>177233814.12698737</v>
      </c>
      <c r="H24" s="365">
        <f t="shared" si="0"/>
        <v>177233814.12698737</v>
      </c>
    </row>
    <row r="25" spans="1:8" s="17" customFormat="1">
      <c r="A25" s="180" t="s">
        <v>17</v>
      </c>
      <c r="B25" s="412" t="s">
        <v>77</v>
      </c>
      <c r="C25" s="409"/>
      <c r="D25" s="409">
        <v>1540965.1747702865</v>
      </c>
      <c r="E25" s="390">
        <f t="shared" si="1"/>
        <v>1540965.1747702865</v>
      </c>
      <c r="F25" s="409"/>
      <c r="G25" s="409">
        <v>1457670.7094402302</v>
      </c>
      <c r="H25" s="365">
        <f t="shared" si="0"/>
        <v>1457670.7094402302</v>
      </c>
    </row>
    <row r="26" spans="1:8" s="17" customFormat="1">
      <c r="A26" s="180" t="s">
        <v>18</v>
      </c>
      <c r="B26" s="412" t="s">
        <v>78</v>
      </c>
      <c r="C26" s="409"/>
      <c r="D26" s="409">
        <v>31510424.679205097</v>
      </c>
      <c r="E26" s="390">
        <f t="shared" si="1"/>
        <v>31510424.679205097</v>
      </c>
      <c r="F26" s="409"/>
      <c r="G26" s="409">
        <v>26395897.556425888</v>
      </c>
      <c r="H26" s="365">
        <f t="shared" si="0"/>
        <v>26395897.556425888</v>
      </c>
    </row>
    <row r="27" spans="1:8" s="17" customFormat="1">
      <c r="A27" s="180" t="s">
        <v>19</v>
      </c>
      <c r="B27" s="412" t="s">
        <v>79</v>
      </c>
      <c r="C27" s="409"/>
      <c r="D27" s="409">
        <v>114332.89804065187</v>
      </c>
      <c r="E27" s="390">
        <f t="shared" si="1"/>
        <v>114332.89804065187</v>
      </c>
      <c r="F27" s="409"/>
      <c r="G27" s="409">
        <v>108182.41293810497</v>
      </c>
      <c r="H27" s="365">
        <f t="shared" si="0"/>
        <v>108182.41293810497</v>
      </c>
    </row>
    <row r="28" spans="1:8" s="17" customFormat="1">
      <c r="A28" s="180">
        <v>5.4</v>
      </c>
      <c r="B28" s="410" t="s">
        <v>301</v>
      </c>
      <c r="C28" s="409"/>
      <c r="D28" s="409">
        <v>796372.19636436854</v>
      </c>
      <c r="E28" s="390">
        <f t="shared" si="1"/>
        <v>796372.19636436854</v>
      </c>
      <c r="F28" s="409"/>
      <c r="G28" s="409">
        <v>2835014.9006335619</v>
      </c>
      <c r="H28" s="365">
        <f t="shared" si="0"/>
        <v>2835014.9006335619</v>
      </c>
    </row>
    <row r="29" spans="1:8" s="17" customFormat="1">
      <c r="A29" s="180">
        <v>5.5</v>
      </c>
      <c r="B29" s="410" t="s">
        <v>302</v>
      </c>
      <c r="C29" s="409"/>
      <c r="D29" s="409">
        <v>0</v>
      </c>
      <c r="E29" s="390">
        <f t="shared" si="1"/>
        <v>0</v>
      </c>
      <c r="F29" s="409"/>
      <c r="G29" s="409">
        <v>15407234.784396781</v>
      </c>
      <c r="H29" s="365">
        <f t="shared" si="0"/>
        <v>15407234.784396781</v>
      </c>
    </row>
    <row r="30" spans="1:8" s="17" customFormat="1">
      <c r="A30" s="180">
        <v>5.6</v>
      </c>
      <c r="B30" s="410" t="s">
        <v>303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>
      <c r="A31" s="180">
        <v>5.7</v>
      </c>
      <c r="B31" s="410" t="s">
        <v>79</v>
      </c>
      <c r="C31" s="409"/>
      <c r="D31" s="409">
        <v>42439639</v>
      </c>
      <c r="E31" s="390">
        <f t="shared" si="1"/>
        <v>42439639</v>
      </c>
      <c r="F31" s="409"/>
      <c r="G31" s="409">
        <v>229060658</v>
      </c>
      <c r="H31" s="365">
        <f t="shared" si="0"/>
        <v>229060658</v>
      </c>
    </row>
    <row r="32" spans="1:8" s="17" customFormat="1">
      <c r="A32" s="180">
        <v>6</v>
      </c>
      <c r="B32" s="182" t="s">
        <v>331</v>
      </c>
      <c r="C32" s="390">
        <f>SUM(C33:C39)</f>
        <v>0</v>
      </c>
      <c r="D32" s="390">
        <f>SUM(D33:D39)</f>
        <v>0</v>
      </c>
      <c r="E32" s="390">
        <f t="shared" si="1"/>
        <v>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>
      <c r="A33" s="180">
        <v>6.1</v>
      </c>
      <c r="B33" s="229" t="s">
        <v>321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>
      <c r="A34" s="180">
        <v>6.2</v>
      </c>
      <c r="B34" s="229" t="s">
        <v>322</v>
      </c>
      <c r="C34" s="409"/>
      <c r="D34" s="409"/>
      <c r="E34" s="390">
        <f t="shared" si="1"/>
        <v>0</v>
      </c>
      <c r="F34" s="409"/>
      <c r="G34" s="409"/>
      <c r="H34" s="365">
        <f t="shared" si="0"/>
        <v>0</v>
      </c>
    </row>
    <row r="35" spans="1:8" s="17" customFormat="1">
      <c r="A35" s="180">
        <v>6.3</v>
      </c>
      <c r="B35" s="229" t="s">
        <v>318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>
      <c r="A36" s="180">
        <v>6.4</v>
      </c>
      <c r="B36" s="229" t="s">
        <v>319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>
      <c r="A37" s="180">
        <v>6.5</v>
      </c>
      <c r="B37" s="229" t="s">
        <v>320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>
      <c r="A38" s="180">
        <v>6.6</v>
      </c>
      <c r="B38" s="229" t="s">
        <v>323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>
      <c r="A39" s="180">
        <v>6.7</v>
      </c>
      <c r="B39" s="229" t="s">
        <v>324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>
      <c r="A40" s="180">
        <v>7</v>
      </c>
      <c r="B40" s="182" t="s">
        <v>327</v>
      </c>
      <c r="C40" s="390">
        <f>SUM(C41:C44)</f>
        <v>65439.429999999964</v>
      </c>
      <c r="D40" s="390">
        <f>SUM(D41:D44)</f>
        <v>4344.28</v>
      </c>
      <c r="E40" s="390">
        <f t="shared" si="1"/>
        <v>69783.709999999963</v>
      </c>
      <c r="F40" s="390">
        <f>SUM(F41:F44)</f>
        <v>40135.130000000063</v>
      </c>
      <c r="G40" s="390">
        <f>SUM(G41:G44)</f>
        <v>19314.27</v>
      </c>
      <c r="H40" s="365">
        <f t="shared" si="0"/>
        <v>59449.400000000067</v>
      </c>
    </row>
    <row r="41" spans="1:8" s="17" customFormat="1">
      <c r="A41" s="180">
        <v>7.1</v>
      </c>
      <c r="B41" s="181" t="s">
        <v>328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5.5">
      <c r="A42" s="180">
        <v>7.2</v>
      </c>
      <c r="B42" s="181" t="s">
        <v>329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5.5">
      <c r="A43" s="180">
        <v>7.3</v>
      </c>
      <c r="B43" s="181" t="s">
        <v>332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5.5">
      <c r="A44" s="180">
        <v>7.4</v>
      </c>
      <c r="B44" s="181" t="s">
        <v>333</v>
      </c>
      <c r="C44" s="409">
        <v>65439.429999999964</v>
      </c>
      <c r="D44" s="409">
        <v>4344.28</v>
      </c>
      <c r="E44" s="390">
        <f t="shared" si="1"/>
        <v>69783.709999999963</v>
      </c>
      <c r="F44" s="409">
        <v>40135.130000000063</v>
      </c>
      <c r="G44" s="409">
        <v>19314.27</v>
      </c>
      <c r="H44" s="365">
        <f t="shared" si="0"/>
        <v>59449.400000000067</v>
      </c>
    </row>
    <row r="45" spans="1:8" s="17" customFormat="1">
      <c r="A45" s="180">
        <v>8</v>
      </c>
      <c r="B45" s="182" t="s">
        <v>310</v>
      </c>
      <c r="C45" s="390">
        <f>SUM(C46:C52)</f>
        <v>1781923.2000000002</v>
      </c>
      <c r="D45" s="390">
        <f>SUM(D46:D52)</f>
        <v>540584.55000000005</v>
      </c>
      <c r="E45" s="390">
        <f t="shared" si="1"/>
        <v>2322507.75</v>
      </c>
      <c r="F45" s="390">
        <f>SUM(F46:F52)</f>
        <v>8150</v>
      </c>
      <c r="G45" s="390">
        <f>SUM(G46:G52)</f>
        <v>1387362.82784484</v>
      </c>
      <c r="H45" s="365">
        <f t="shared" si="0"/>
        <v>1395512.82784484</v>
      </c>
    </row>
    <row r="46" spans="1:8" s="17" customFormat="1">
      <c r="A46" s="180">
        <v>8.1</v>
      </c>
      <c r="B46" s="228" t="s">
        <v>334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>
      <c r="A47" s="180">
        <v>8.1999999999999993</v>
      </c>
      <c r="B47" s="228" t="s">
        <v>335</v>
      </c>
      <c r="C47" s="409">
        <v>796699.20000000007</v>
      </c>
      <c r="D47" s="409">
        <v>196576.2</v>
      </c>
      <c r="E47" s="390">
        <f t="shared" si="1"/>
        <v>993275.40000000014</v>
      </c>
      <c r="F47" s="409">
        <v>6050</v>
      </c>
      <c r="G47" s="409">
        <v>722578.38267384004</v>
      </c>
      <c r="H47" s="365">
        <f t="shared" si="0"/>
        <v>728628.38267384004</v>
      </c>
    </row>
    <row r="48" spans="1:8" s="17" customFormat="1">
      <c r="A48" s="180">
        <v>8.3000000000000007</v>
      </c>
      <c r="B48" s="228" t="s">
        <v>336</v>
      </c>
      <c r="C48" s="409">
        <v>788899.20000000007</v>
      </c>
      <c r="D48" s="409">
        <v>196576.2</v>
      </c>
      <c r="E48" s="390">
        <f t="shared" si="1"/>
        <v>985475.40000000014</v>
      </c>
      <c r="F48" s="409">
        <v>1500</v>
      </c>
      <c r="G48" s="409">
        <v>356632.75517100003</v>
      </c>
      <c r="H48" s="365">
        <f t="shared" si="0"/>
        <v>358132.75517100003</v>
      </c>
    </row>
    <row r="49" spans="1:8" s="17" customFormat="1">
      <c r="A49" s="180">
        <v>8.4</v>
      </c>
      <c r="B49" s="228" t="s">
        <v>337</v>
      </c>
      <c r="C49" s="409">
        <v>196324.8</v>
      </c>
      <c r="D49" s="409">
        <v>147432.15</v>
      </c>
      <c r="E49" s="390">
        <f t="shared" si="1"/>
        <v>343756.94999999995</v>
      </c>
      <c r="F49" s="409">
        <v>600</v>
      </c>
      <c r="G49" s="409">
        <v>176086.68</v>
      </c>
      <c r="H49" s="365">
        <f t="shared" si="0"/>
        <v>176686.68</v>
      </c>
    </row>
    <row r="50" spans="1:8" s="17" customFormat="1">
      <c r="A50" s="180">
        <v>8.5</v>
      </c>
      <c r="B50" s="228" t="s">
        <v>338</v>
      </c>
      <c r="C50" s="409"/>
      <c r="D50" s="409"/>
      <c r="E50" s="390">
        <f t="shared" si="1"/>
        <v>0</v>
      </c>
      <c r="F50" s="409"/>
      <c r="G50" s="409">
        <v>132065.00999999998</v>
      </c>
      <c r="H50" s="365">
        <f t="shared" si="0"/>
        <v>132065.00999999998</v>
      </c>
    </row>
    <row r="51" spans="1:8" s="17" customFormat="1">
      <c r="A51" s="180">
        <v>8.6</v>
      </c>
      <c r="B51" s="228" t="s">
        <v>339</v>
      </c>
      <c r="C51" s="409"/>
      <c r="D51" s="409"/>
      <c r="E51" s="390">
        <f t="shared" si="1"/>
        <v>0</v>
      </c>
      <c r="F51" s="409"/>
      <c r="G51" s="409"/>
      <c r="H51" s="365">
        <f t="shared" si="0"/>
        <v>0</v>
      </c>
    </row>
    <row r="52" spans="1:8" s="17" customFormat="1">
      <c r="A52" s="180">
        <v>8.6999999999999993</v>
      </c>
      <c r="B52" s="228" t="s">
        <v>340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330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2.7109375" style="4" customWidth="1"/>
    <col min="5" max="11" width="9.7109375" style="29" customWidth="1"/>
    <col min="12" max="16384" width="9.140625" style="29"/>
  </cols>
  <sheetData>
    <row r="1" spans="1:8">
      <c r="A1" s="337" t="s">
        <v>30</v>
      </c>
      <c r="B1" s="338" t="s">
        <v>442</v>
      </c>
      <c r="C1" s="3"/>
    </row>
    <row r="2" spans="1:8">
      <c r="A2" s="337" t="s">
        <v>31</v>
      </c>
      <c r="B2" s="339">
        <f>'1. key ratios '!B2</f>
        <v>43738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204</v>
      </c>
      <c r="B4" s="130" t="s">
        <v>304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3Q 2019</v>
      </c>
      <c r="D5" s="416" t="str">
        <f>'1. key ratios '!D5</f>
        <v xml:space="preserve"> 2Q 2019</v>
      </c>
    </row>
    <row r="6" spans="1:8" ht="15" customHeight="1">
      <c r="A6" s="39">
        <v>1</v>
      </c>
      <c r="B6" s="321" t="s">
        <v>308</v>
      </c>
      <c r="C6" s="417">
        <f>C7+C9+C10</f>
        <v>273059853.75849521</v>
      </c>
      <c r="D6" s="418">
        <f>D7+D9+D10</f>
        <v>281933529.6171481</v>
      </c>
    </row>
    <row r="7" spans="1:8" ht="15" customHeight="1">
      <c r="A7" s="39">
        <v>1.1000000000000001</v>
      </c>
      <c r="B7" s="321" t="s">
        <v>203</v>
      </c>
      <c r="C7" s="419">
        <v>233442839.88088718</v>
      </c>
      <c r="D7" s="420">
        <v>241239204.48214811</v>
      </c>
    </row>
    <row r="8" spans="1:8">
      <c r="A8" s="39" t="s">
        <v>14</v>
      </c>
      <c r="B8" s="321" t="s">
        <v>202</v>
      </c>
      <c r="C8" s="419"/>
      <c r="D8" s="420"/>
    </row>
    <row r="9" spans="1:8" ht="15" customHeight="1">
      <c r="A9" s="39">
        <v>1.2</v>
      </c>
      <c r="B9" s="322" t="s">
        <v>201</v>
      </c>
      <c r="C9" s="419">
        <v>39617013.877608001</v>
      </c>
      <c r="D9" s="420">
        <v>40694325.134999998</v>
      </c>
    </row>
    <row r="10" spans="1:8" ht="15" customHeight="1">
      <c r="A10" s="39">
        <v>1.3</v>
      </c>
      <c r="B10" s="421" t="s">
        <v>28</v>
      </c>
      <c r="C10" s="419"/>
      <c r="D10" s="420"/>
    </row>
    <row r="11" spans="1:8" ht="15" customHeight="1">
      <c r="A11" s="39">
        <v>2</v>
      </c>
      <c r="B11" s="321" t="s">
        <v>305</v>
      </c>
      <c r="C11" s="422">
        <v>1005490.2441514061</v>
      </c>
      <c r="D11" s="420">
        <v>492003.52899300196</v>
      </c>
    </row>
    <row r="12" spans="1:8" ht="15" customHeight="1">
      <c r="A12" s="39">
        <v>3</v>
      </c>
      <c r="B12" s="321" t="s">
        <v>306</v>
      </c>
      <c r="C12" s="419">
        <v>18304008.276357383</v>
      </c>
      <c r="D12" s="420">
        <v>18304008.276357383</v>
      </c>
    </row>
    <row r="13" spans="1:8" ht="15" customHeight="1" thickBot="1">
      <c r="A13" s="41">
        <v>4</v>
      </c>
      <c r="B13" s="42" t="s">
        <v>307</v>
      </c>
      <c r="C13" s="423">
        <f>C6+C11+C12</f>
        <v>292369352.27900398</v>
      </c>
      <c r="D13" s="424">
        <f>D6+D11+D12</f>
        <v>300729541.42249846</v>
      </c>
    </row>
    <row r="14" spans="1:8">
      <c r="A14" s="425"/>
      <c r="B14" s="426"/>
      <c r="C14" s="426"/>
      <c r="D14" s="426"/>
    </row>
    <row r="15" spans="1:8">
      <c r="B15" s="46"/>
    </row>
    <row r="16" spans="1:8">
      <c r="B16" s="46"/>
    </row>
    <row r="17" spans="1:4" ht="11.25">
      <c r="A17" s="29"/>
      <c r="B17" s="29"/>
      <c r="C17" s="29"/>
      <c r="D17" s="29"/>
    </row>
    <row r="18" spans="1:4" ht="11.25">
      <c r="A18" s="29"/>
      <c r="B18" s="29"/>
      <c r="C18" s="29"/>
      <c r="D18" s="29"/>
    </row>
    <row r="19" spans="1:4" ht="11.25">
      <c r="A19" s="29"/>
      <c r="B19" s="29"/>
      <c r="C19" s="29"/>
      <c r="D19" s="29"/>
    </row>
    <row r="20" spans="1:4" ht="11.25">
      <c r="A20" s="29"/>
      <c r="B20" s="29"/>
      <c r="C20" s="29"/>
      <c r="D20" s="29"/>
    </row>
    <row r="21" spans="1:4" ht="11.25">
      <c r="A21" s="29"/>
      <c r="B21" s="29"/>
      <c r="C21" s="29"/>
      <c r="D21" s="29"/>
    </row>
    <row r="22" spans="1:4" ht="11.25">
      <c r="A22" s="29"/>
      <c r="B22" s="29"/>
      <c r="C22" s="29"/>
      <c r="D22" s="29"/>
    </row>
    <row r="23" spans="1:4" ht="11.25">
      <c r="A23" s="29"/>
      <c r="B23" s="29"/>
      <c r="C23" s="29"/>
      <c r="D23" s="29"/>
    </row>
    <row r="24" spans="1:4" ht="11.25">
      <c r="A24" s="29"/>
      <c r="B24" s="29"/>
      <c r="C24" s="29"/>
      <c r="D24" s="29"/>
    </row>
    <row r="25" spans="1:4" ht="11.25">
      <c r="A25" s="29"/>
      <c r="B25" s="29"/>
      <c r="C25" s="29"/>
      <c r="D25" s="29"/>
    </row>
    <row r="26" spans="1:4" ht="11.25">
      <c r="A26" s="29"/>
      <c r="B26" s="29"/>
      <c r="C26" s="29"/>
      <c r="D26" s="29"/>
    </row>
    <row r="27" spans="1:4" ht="11.25">
      <c r="A27" s="29"/>
      <c r="B27" s="29"/>
      <c r="C27" s="29"/>
      <c r="D27" s="29"/>
    </row>
    <row r="28" spans="1:4" ht="11.25">
      <c r="A28" s="29"/>
      <c r="B28" s="29"/>
      <c r="C28" s="29"/>
      <c r="D28" s="29"/>
    </row>
    <row r="29" spans="1:4" ht="11.25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4.25"/>
  <cols>
    <col min="1" max="1" width="9.5703125" style="4" bestFit="1" customWidth="1"/>
    <col min="2" max="2" width="90.42578125" style="4" bestFit="1" customWidth="1"/>
    <col min="3" max="3" width="9.140625" style="4"/>
    <col min="4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43738</v>
      </c>
    </row>
    <row r="4" spans="1:8" ht="16.5" customHeight="1" thickBot="1">
      <c r="A4" s="47" t="s">
        <v>80</v>
      </c>
      <c r="B4" s="48" t="s">
        <v>274</v>
      </c>
      <c r="C4" s="49"/>
    </row>
    <row r="5" spans="1:8">
      <c r="A5" s="50"/>
      <c r="B5" s="543" t="s">
        <v>81</v>
      </c>
      <c r="C5" s="544"/>
    </row>
    <row r="6" spans="1:8">
      <c r="A6" s="51">
        <v>1</v>
      </c>
      <c r="B6" s="427" t="s">
        <v>446</v>
      </c>
      <c r="C6" s="53"/>
    </row>
    <row r="7" spans="1:8">
      <c r="A7" s="51">
        <v>2</v>
      </c>
      <c r="B7" s="427" t="s">
        <v>448</v>
      </c>
      <c r="C7" s="53"/>
    </row>
    <row r="8" spans="1:8">
      <c r="A8" s="51">
        <v>3</v>
      </c>
      <c r="B8" s="427" t="s">
        <v>461</v>
      </c>
      <c r="C8" s="53"/>
    </row>
    <row r="9" spans="1:8">
      <c r="A9" s="51">
        <v>4</v>
      </c>
      <c r="B9" s="427" t="s">
        <v>456</v>
      </c>
      <c r="C9" s="53"/>
    </row>
    <row r="10" spans="1:8">
      <c r="A10" s="51">
        <v>5</v>
      </c>
      <c r="B10" s="427" t="s">
        <v>457</v>
      </c>
      <c r="C10" s="53"/>
    </row>
    <row r="11" spans="1:8">
      <c r="A11" s="51">
        <v>6</v>
      </c>
      <c r="B11" s="427" t="s">
        <v>462</v>
      </c>
      <c r="C11" s="53"/>
    </row>
    <row r="12" spans="1:8">
      <c r="A12" s="51">
        <v>7</v>
      </c>
      <c r="B12" s="52" t="s">
        <v>447</v>
      </c>
      <c r="C12" s="53"/>
      <c r="H12" s="54"/>
    </row>
    <row r="13" spans="1:8">
      <c r="A13" s="51">
        <v>8</v>
      </c>
      <c r="B13" s="52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45"/>
      <c r="C16" s="546"/>
    </row>
    <row r="17" spans="1:3">
      <c r="A17" s="51"/>
      <c r="B17" s="547" t="s">
        <v>82</v>
      </c>
      <c r="C17" s="548"/>
    </row>
    <row r="18" spans="1:3">
      <c r="A18" s="51">
        <v>1</v>
      </c>
      <c r="B18" s="427" t="s">
        <v>444</v>
      </c>
      <c r="C18" s="55"/>
    </row>
    <row r="19" spans="1:3">
      <c r="A19" s="51">
        <v>2</v>
      </c>
      <c r="B19" s="427" t="s">
        <v>449</v>
      </c>
      <c r="C19" s="55"/>
    </row>
    <row r="20" spans="1:3">
      <c r="A20" s="51">
        <v>3</v>
      </c>
      <c r="B20" s="427" t="s">
        <v>459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47" t="s">
        <v>83</v>
      </c>
      <c r="C29" s="548"/>
    </row>
    <row r="30" spans="1:3">
      <c r="A30" s="51">
        <v>1</v>
      </c>
      <c r="B30" s="427" t="s">
        <v>450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47" t="s">
        <v>84</v>
      </c>
      <c r="C32" s="548"/>
    </row>
    <row r="33" spans="1:3">
      <c r="A33" s="51">
        <v>1</v>
      </c>
      <c r="B33" s="52" t="s">
        <v>451</v>
      </c>
      <c r="C33" s="591">
        <v>0.39989999999999998</v>
      </c>
    </row>
    <row r="34" spans="1:3" ht="15" thickBot="1">
      <c r="A34" s="57">
        <v>2</v>
      </c>
      <c r="B34" s="58" t="s">
        <v>452</v>
      </c>
      <c r="C34" s="592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337" t="s">
        <v>30</v>
      </c>
      <c r="B1" s="338" t="s">
        <v>442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43738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208</v>
      </c>
      <c r="B4" s="553" t="s">
        <v>354</v>
      </c>
      <c r="C4" s="554"/>
      <c r="D4" s="554"/>
      <c r="E4" s="554"/>
    </row>
    <row r="5" spans="1:7" s="63" customFormat="1" ht="17.45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5" customHeight="1">
      <c r="A6" s="257"/>
      <c r="B6" s="549" t="s">
        <v>361</v>
      </c>
      <c r="C6" s="549" t="s">
        <v>94</v>
      </c>
      <c r="D6" s="551" t="s">
        <v>207</v>
      </c>
      <c r="E6" s="552"/>
      <c r="G6" s="5"/>
    </row>
    <row r="7" spans="1:7" s="17" customFormat="1" ht="99.6" customHeight="1">
      <c r="A7" s="257"/>
      <c r="B7" s="550"/>
      <c r="C7" s="549"/>
      <c r="D7" s="294" t="s">
        <v>206</v>
      </c>
      <c r="E7" s="295" t="s">
        <v>362</v>
      </c>
      <c r="G7" s="5"/>
    </row>
    <row r="8" spans="1:7">
      <c r="A8" s="258">
        <v>1</v>
      </c>
      <c r="B8" s="296" t="s">
        <v>35</v>
      </c>
      <c r="C8" s="297">
        <f>'2.RC'!E7</f>
        <v>5139043.87</v>
      </c>
      <c r="D8" s="297"/>
      <c r="E8" s="298">
        <f>C8-D8</f>
        <v>5139043.87</v>
      </c>
      <c r="F8" s="17"/>
    </row>
    <row r="9" spans="1:7">
      <c r="A9" s="258">
        <v>2</v>
      </c>
      <c r="B9" s="296" t="s">
        <v>36</v>
      </c>
      <c r="C9" s="297">
        <f>'2.RC'!E8</f>
        <v>43212889.505398005</v>
      </c>
      <c r="D9" s="297"/>
      <c r="E9" s="298">
        <f t="shared" ref="E9:E20" si="0">C9-D9</f>
        <v>43212889.505398005</v>
      </c>
      <c r="F9" s="17"/>
    </row>
    <row r="10" spans="1:7">
      <c r="A10" s="258">
        <v>3</v>
      </c>
      <c r="B10" s="296" t="s">
        <v>37</v>
      </c>
      <c r="C10" s="297">
        <f>'2.RC'!E9</f>
        <v>65131388.936292</v>
      </c>
      <c r="D10" s="297"/>
      <c r="E10" s="298">
        <f t="shared" si="0"/>
        <v>65131388.936292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34154388.425368205</v>
      </c>
      <c r="D12" s="297"/>
      <c r="E12" s="298">
        <f t="shared" si="0"/>
        <v>34154388.425368205</v>
      </c>
      <c r="F12" s="17"/>
    </row>
    <row r="13" spans="1:7">
      <c r="A13" s="258">
        <v>6.1</v>
      </c>
      <c r="B13" s="299" t="s">
        <v>40</v>
      </c>
      <c r="C13" s="300">
        <f>'2.RC'!E12</f>
        <v>127538157.33</v>
      </c>
      <c r="D13" s="297"/>
      <c r="E13" s="298">
        <f t="shared" si="0"/>
        <v>127538157.33</v>
      </c>
      <c r="F13" s="17"/>
    </row>
    <row r="14" spans="1:7">
      <c r="A14" s="258">
        <v>6.2</v>
      </c>
      <c r="B14" s="301" t="s">
        <v>41</v>
      </c>
      <c r="C14" s="300">
        <f>'2.RC'!E13</f>
        <v>-5509575.0537999999</v>
      </c>
      <c r="D14" s="297"/>
      <c r="E14" s="298">
        <f t="shared" si="0"/>
        <v>-5509575.0537999999</v>
      </c>
      <c r="F14" s="17"/>
    </row>
    <row r="15" spans="1:7">
      <c r="A15" s="258">
        <v>6</v>
      </c>
      <c r="B15" s="296" t="s">
        <v>42</v>
      </c>
      <c r="C15" s="297">
        <f>'2.RC'!E14</f>
        <v>122028582.2762</v>
      </c>
      <c r="D15" s="297"/>
      <c r="E15" s="298">
        <f t="shared" si="0"/>
        <v>122028582.2762</v>
      </c>
      <c r="F15" s="17"/>
    </row>
    <row r="16" spans="1:7">
      <c r="A16" s="258">
        <v>7</v>
      </c>
      <c r="B16" s="296" t="s">
        <v>43</v>
      </c>
      <c r="C16" s="297">
        <f>'2.RC'!E15</f>
        <v>1760728.3928640005</v>
      </c>
      <c r="D16" s="297"/>
      <c r="E16" s="298">
        <f t="shared" si="0"/>
        <v>1760728.3928640005</v>
      </c>
      <c r="F16" s="17"/>
    </row>
    <row r="17" spans="1:7">
      <c r="A17" s="258">
        <v>8</v>
      </c>
      <c r="B17" s="296" t="s">
        <v>205</v>
      </c>
      <c r="C17" s="297">
        <f>'2.RC'!E16</f>
        <v>0</v>
      </c>
      <c r="D17" s="297"/>
      <c r="E17" s="298">
        <f t="shared" si="0"/>
        <v>0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883749.16000000015</v>
      </c>
      <c r="D19" s="297">
        <v>138603.8899999999</v>
      </c>
      <c r="E19" s="298">
        <f t="shared" si="0"/>
        <v>745145.27000000025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10151358.996920707</v>
      </c>
      <c r="D20" s="297"/>
      <c r="E20" s="298">
        <f t="shared" si="0"/>
        <v>10151358.996920707</v>
      </c>
      <c r="F20" s="17"/>
    </row>
    <row r="21" spans="1:7" ht="26.25" thickBot="1">
      <c r="A21" s="147"/>
      <c r="B21" s="260" t="s">
        <v>364</v>
      </c>
      <c r="C21" s="199">
        <f>SUM(C8:C12, C15:C20)</f>
        <v>282462129.56304294</v>
      </c>
      <c r="D21" s="199">
        <f>SUM(D8:D12, D15:D20)</f>
        <v>138603.8899999999</v>
      </c>
      <c r="E21" s="302">
        <f>SUM(E8:E12, E15:E20)</f>
        <v>282323525.67304289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B1" sqref="B1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337" t="s">
        <v>30</v>
      </c>
      <c r="B1" s="338" t="s">
        <v>442</v>
      </c>
    </row>
    <row r="2" spans="1:6" s="59" customFormat="1" ht="15.75" customHeight="1">
      <c r="A2" s="337" t="s">
        <v>31</v>
      </c>
      <c r="B2" s="339">
        <f>'1. key ratios '!B2</f>
        <v>43738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5" thickBot="1">
      <c r="A4" s="59" t="s">
        <v>85</v>
      </c>
      <c r="B4" s="261" t="s">
        <v>341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363</v>
      </c>
      <c r="C5" s="429">
        <f>'7. LI1 '!E21</f>
        <v>282323525.67304289</v>
      </c>
    </row>
    <row r="6" spans="1:6" s="205" customFormat="1">
      <c r="A6" s="67">
        <v>2.1</v>
      </c>
      <c r="B6" s="201" t="s">
        <v>342</v>
      </c>
      <c r="C6" s="139">
        <f>'4. Off-Balance'!E8+'4. Off-Balance'!E10</f>
        <v>52594358.609999999</v>
      </c>
    </row>
    <row r="7" spans="1:6" s="45" customFormat="1" outlineLevel="1">
      <c r="A7" s="39">
        <v>2.2000000000000002</v>
      </c>
      <c r="B7" s="40" t="s">
        <v>343</v>
      </c>
      <c r="C7" s="206"/>
    </row>
    <row r="8" spans="1:6" s="45" customFormat="1" ht="25.5">
      <c r="A8" s="39">
        <v>3</v>
      </c>
      <c r="B8" s="202" t="s">
        <v>344</v>
      </c>
      <c r="C8" s="430">
        <f>SUM(C5:C7)</f>
        <v>334917884.28304291</v>
      </c>
    </row>
    <row r="9" spans="1:6" s="205" customFormat="1">
      <c r="A9" s="67">
        <v>4</v>
      </c>
      <c r="B9" s="69" t="s">
        <v>88</v>
      </c>
      <c r="C9" s="139">
        <v>3406089.558036929</v>
      </c>
    </row>
    <row r="10" spans="1:6" s="45" customFormat="1" outlineLevel="1">
      <c r="A10" s="39">
        <v>5.0999999999999996</v>
      </c>
      <c r="B10" s="40" t="s">
        <v>345</v>
      </c>
      <c r="C10" s="432">
        <v>-12017662.412391998</v>
      </c>
    </row>
    <row r="11" spans="1:6" s="45" customFormat="1" outlineLevel="1">
      <c r="A11" s="39">
        <v>5.2</v>
      </c>
      <c r="B11" s="40" t="s">
        <v>346</v>
      </c>
      <c r="C11" s="206"/>
    </row>
    <row r="12" spans="1:6" s="45" customFormat="1">
      <c r="A12" s="39">
        <v>6</v>
      </c>
      <c r="B12" s="200" t="s">
        <v>87</v>
      </c>
      <c r="C12" s="206"/>
    </row>
    <row r="13" spans="1:6" s="45" customFormat="1" ht="13.5" thickBot="1">
      <c r="A13" s="41">
        <v>7</v>
      </c>
      <c r="B13" s="203" t="s">
        <v>292</v>
      </c>
      <c r="C13" s="431">
        <f>SUM(C8:C12)</f>
        <v>326306311.42868781</v>
      </c>
    </row>
    <row r="15" spans="1:6">
      <c r="A15" s="221"/>
      <c r="B15" s="221"/>
    </row>
    <row r="16" spans="1:6">
      <c r="A16" s="221"/>
      <c r="B16" s="221"/>
    </row>
    <row r="17" spans="1:5" ht="15">
      <c r="A17" s="216"/>
      <c r="B17" s="217"/>
      <c r="C17" s="221"/>
      <c r="D17" s="221"/>
      <c r="E17" s="221"/>
    </row>
    <row r="18" spans="1:5" ht="15">
      <c r="A18" s="222"/>
      <c r="B18" s="223"/>
      <c r="C18" s="221"/>
      <c r="D18" s="221"/>
      <c r="E18" s="221"/>
    </row>
    <row r="19" spans="1:5">
      <c r="A19" s="224"/>
      <c r="B19" s="218"/>
      <c r="C19" s="221"/>
      <c r="D19" s="221"/>
      <c r="E19" s="221"/>
    </row>
    <row r="20" spans="1:5">
      <c r="A20" s="225"/>
      <c r="B20" s="219"/>
      <c r="C20" s="221"/>
      <c r="D20" s="221"/>
      <c r="E20" s="221"/>
    </row>
    <row r="21" spans="1:5">
      <c r="A21" s="225"/>
      <c r="B21" s="223"/>
      <c r="C21" s="221"/>
      <c r="D21" s="221"/>
      <c r="E21" s="221"/>
    </row>
    <row r="22" spans="1:5">
      <c r="A22" s="224"/>
      <c r="B22" s="220"/>
      <c r="C22" s="221"/>
      <c r="D22" s="221"/>
      <c r="E22" s="221"/>
    </row>
    <row r="23" spans="1:5">
      <c r="A23" s="225"/>
      <c r="B23" s="219"/>
      <c r="C23" s="221"/>
      <c r="D23" s="221"/>
      <c r="E23" s="221"/>
    </row>
    <row r="24" spans="1:5">
      <c r="A24" s="225"/>
      <c r="B24" s="219"/>
      <c r="C24" s="221"/>
      <c r="D24" s="221"/>
      <c r="E24" s="221"/>
    </row>
    <row r="25" spans="1:5">
      <c r="A25" s="225"/>
      <c r="B25" s="226"/>
      <c r="C25" s="221"/>
      <c r="D25" s="221"/>
      <c r="E25" s="221"/>
    </row>
    <row r="26" spans="1:5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xsyPza2edbidXogr4Lb7j/K47eDTsrTqwxD2gvmsA0k=</DigestValue>
    </Reference>
    <Reference Type="http://www.w3.org/2000/09/xmldsig#Object" URI="#idOfficeObject">
      <DigestMethod Algorithm="http://www.w3.org/2001/04/xmlenc#sha256"/>
      <DigestValue>uA9tDED2FCzy/4318sp/gpE/g3uyJsWM+WN4jcaP1YQ=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3axwRN4HhDUUaLQvFxGKW/GsInAsHnfL2rcx4mgZ5TQ=</DigestValue>
    </Reference>
  </SignedInfo>
  <SignatureValue>BFHEON+b//LBrvJbwe/Vce1qEuRZZs88mKp11Mvk7qT8XiGBhpX+3GdO+r1E7LW5JwCGTYBc6ZiZ
tlHTds+0/5Pip3f/MHHZtQ+NgPKvC3jDhTHV26UCBPE1oxn1lIUq53YHepTfbigEOmjPKT3lHTHD
RuV21kex1wW+YsECO9Rc6B1BRSJHGi6X2yllOuNdsHe1IK32dV/0e1MnXCQGQtP8TJ1sLy/NbqAp
vmg+QR6CzhLHn7geiyuW2PFMz3tLT7Zbds/BPMbdYrnSBxHqdNzh5YQ+ropd9fGmVfYKpuc0wlIC
PeGqDC2INIckDAvj005bvyrxXOrJwpxvQFJi2A==</SignatureValue>
  <KeyInfo>
    <X509Data>
      <X509Certificate>MIIGODCCBSCgAwIBAgIKfHQE7wACAAERezANBgkqhkiG9w0BAQsFADBKMRIwEAYKCZImiZPyLGQBGRYCZ2UxEzARBgoJkiaJk/IsZAEZFgNuYmcxHzAdBgNVBAMTFk5CRyBDbGFzcyAyIElOVCBTdWIgQ0EwHhcNMTkwMjI4MTM0MjE1WhcNMjEwMjI3MTM0MjE1WjA2MRswGQYDVQQKExJKU0MgSXNiYW5rIEdlb3JnaWExFzAVBgNVBAMTDkJJUyAtIE96YW4gR3VyMIIBIjANBgkqhkiG9w0BAQEFAAOCAQ8AMIIBCgKCAQEA4Cemm0wH9P7U50foRteBhLVpjwJWzCgjtJqz8/+6PJJLoZH6bCMlKwtSzHUCK8tc0df7v1iqKxIetPmlxHXq4dd6xCCDSucm4MpVEgm0AMgqHrGDmKnMnl5Wcdm4dquvVFuwQrZhv9YSUfUZlQP5WswcIR5uGr9ArtZ36kCTJZ7W1ChkDYkR6UjUstyOnILbOoouUT/BlBawKCXsUq2N95Eenud5010FlP4HRf4DmSd4E1ohCXEH2CdFCViwPHwftwo85PRVwo4/d94xmcuFAjWY++b0jnzlRbQbr50g2xjpYKSseh/uX9ey8/nJRoalzN7fIBMGoKw2RQe1+GikJQIDAQABo4IDMjCCAy4wPAYJKwYBBAGCNxUHBC8wLQYlKwYBBAGCNxUI5rJgg431RIaBmQmDuKFKg76EcQSDxJEzhIOIXQIBZAIBIzAdBgNVHSUEFjAUBggrBgEFBQcDAgYIKwYBBQUHAwQwCwYDVR0PBAQDAgeAMCcGCSsGAQQBgjcVCgQaMBgwCgYIKwYBBQUHAwIwCgYIKwYBBQUHAwQwHQYDVR0OBBYEFKUSPIUfoVLJEo3UmBplNogAfk2B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B0mo0Zs053gMwW8yCdRcfu1ODhVvCgZgAtkbbPFlUH5aTa/s2ac6GM0Ep2zitgUathslAElAHUQ2EXJF03T3IG8JDxULA3RJH6QE6JjA9ehmHwo07cNnnCwHYUyPukuywq4g8/0mP5VwVEZ7zvFFfbnhfsTgvvcecexw2eG51rIisRwXGr3An87dvjzt37hK2o+DKEX5UnfnJ/s+3F8kz8CW7yHwiwcXmE/qBGTEPhpnTRDmDT3QuAjkhKaLvUMgGojwOoXsclBFQoZCD2OWExIhZbWXYb4m4ssQ6m06HGOUB+KZt6xhwqyt4kokFmSMwTyYc4xuQNalEbgqpNwwrq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DgdFIVNeghHtSErCm55uu73RHoaCl4wl/2S9CRvuL2g=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0tQspILqB8qfvnb6WjpbM1qcDvqm9kas/bzqYR574gY=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2m6CW85rBYKpJKifjkFVt0n58BwBksWMXfva2VqaA+I=</DigestValue>
      </Reference>
      <Reference URI="/xl/sharedStrings.xml?ContentType=application/vnd.openxmlformats-officedocument.spreadsheetml.sharedStrings+xml">
        <DigestMethod Algorithm="http://www.w3.org/2001/04/xmlenc#sha256"/>
        <DigestValue>4c7JaGvIgEvp1lPFgx4ByAtd30gqlPd63QclAEq6GPk=</DigestValue>
      </Reference>
      <Reference URI="/xl/styles.xml?ContentType=application/vnd.openxmlformats-officedocument.spreadsheetml.styles+xml">
        <DigestMethod Algorithm="http://www.w3.org/2001/04/xmlenc#sha256"/>
        <DigestValue>+cLp6L/l3hkk/SxX5/hfeIMXHe/UYIVj+4QmiuuvjKM=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Kj+G9G1WbASYhNHghCf9HF7OMOblxgpVfkzttUiD4i0=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6wjT5EaVK5onESuy5rSpu9FVkDWubEybsZ8c3CVsk3Y=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GjiZEmJ32M0HA6MDtH2AyAY9MS9vVHr/geSrkJB6vi4=</DigestValue>
      </Reference>
      <Reference URI="/xl/worksheets/sheet10.xml?ContentType=application/vnd.openxmlformats-officedocument.spreadsheetml.worksheet+xml">
        <DigestMethod Algorithm="http://www.w3.org/2001/04/xmlenc#sha256"/>
        <DigestValue>yD8OX7GG1fAXwBGvWoad3mlTp2Ig8DNv8vg0WAYrQvQ=</DigestValue>
      </Reference>
      <Reference URI="/xl/worksheets/sheet11.xml?ContentType=application/vnd.openxmlformats-officedocument.spreadsheetml.worksheet+xml">
        <DigestMethod Algorithm="http://www.w3.org/2001/04/xmlenc#sha256"/>
        <DigestValue>Cv6H/H4AgKfefk30vODW85ivi9cLqEFPMmd+n+YthLs=</DigestValue>
      </Reference>
      <Reference URI="/xl/worksheets/sheet12.xml?ContentType=application/vnd.openxmlformats-officedocument.spreadsheetml.worksheet+xml">
        <DigestMethod Algorithm="http://www.w3.org/2001/04/xmlenc#sha256"/>
        <DigestValue>XPOqbi4KTAz1js70cO7F317ssTYwgUiTg8v+hpPWDV4=</DigestValue>
      </Reference>
      <Reference URI="/xl/worksheets/sheet13.xml?ContentType=application/vnd.openxmlformats-officedocument.spreadsheetml.worksheet+xml">
        <DigestMethod Algorithm="http://www.w3.org/2001/04/xmlenc#sha256"/>
        <DigestValue>0OecKsTLDPGlItgfwVS2ZVlC4an+jBUoqc2dtcljE0U=</DigestValue>
      </Reference>
      <Reference URI="/xl/worksheets/sheet14.xml?ContentType=application/vnd.openxmlformats-officedocument.spreadsheetml.worksheet+xml">
        <DigestMethod Algorithm="http://www.w3.org/2001/04/xmlenc#sha256"/>
        <DigestValue>1JvP5vxqjeLnL/ivoD4U8L2C2lxIg76ytIB3rVwmhA8=</DigestValue>
      </Reference>
      <Reference URI="/xl/worksheets/sheet15.xml?ContentType=application/vnd.openxmlformats-officedocument.spreadsheetml.worksheet+xml">
        <DigestMethod Algorithm="http://www.w3.org/2001/04/xmlenc#sha256"/>
        <DigestValue>CEF7rPk0Q4+ctqduifmpqfiGFjOsWnepfcPlybBa8EI=</DigestValue>
      </Reference>
      <Reference URI="/xl/worksheets/sheet16.xml?ContentType=application/vnd.openxmlformats-officedocument.spreadsheetml.worksheet+xml">
        <DigestMethod Algorithm="http://www.w3.org/2001/04/xmlenc#sha256"/>
        <DigestValue>0XNaD+06P/PHBD9pDaEI5l+VJOjQXARPAWqq2W4KLKM=</DigestValue>
      </Reference>
      <Reference URI="/xl/worksheets/sheet17.xml?ContentType=application/vnd.openxmlformats-officedocument.spreadsheetml.worksheet+xml">
        <DigestMethod Algorithm="http://www.w3.org/2001/04/xmlenc#sha256"/>
        <DigestValue>OG31kh2CHsg01jB15RY+iRW89+gsjiiINb1WKhPyKRM=</DigestValue>
      </Reference>
      <Reference URI="/xl/worksheets/sheet18.xml?ContentType=application/vnd.openxmlformats-officedocument.spreadsheetml.worksheet+xml">
        <DigestMethod Algorithm="http://www.w3.org/2001/04/xmlenc#sha256"/>
        <DigestValue>+xPx7+s3BTIqjcQJ5hUAKPbAFEhtfgklpmDid3aBJC0=</DigestValue>
      </Reference>
      <Reference URI="/xl/worksheets/sheet2.xml?ContentType=application/vnd.openxmlformats-officedocument.spreadsheetml.worksheet+xml">
        <DigestMethod Algorithm="http://www.w3.org/2001/04/xmlenc#sha256"/>
        <DigestValue>zYyAPjTywwyNv7OftNoewxCwWvunruLAotEmLMMdx3A=</DigestValue>
      </Reference>
      <Reference URI="/xl/worksheets/sheet3.xml?ContentType=application/vnd.openxmlformats-officedocument.spreadsheetml.worksheet+xml">
        <DigestMethod Algorithm="http://www.w3.org/2001/04/xmlenc#sha256"/>
        <DigestValue>nTkE7KSp3jqzsoar30wpDuY56iFjkavzMrvvIfbn9/o=</DigestValue>
      </Reference>
      <Reference URI="/xl/worksheets/sheet4.xml?ContentType=application/vnd.openxmlformats-officedocument.spreadsheetml.worksheet+xml">
        <DigestMethod Algorithm="http://www.w3.org/2001/04/xmlenc#sha256"/>
        <DigestValue>JAWhywMVkVRTr2dpY/xSAkyIHOKkSaz/rUYbr1DnA4I=</DigestValue>
      </Reference>
      <Reference URI="/xl/worksheets/sheet5.xml?ContentType=application/vnd.openxmlformats-officedocument.spreadsheetml.worksheet+xml">
        <DigestMethod Algorithm="http://www.w3.org/2001/04/xmlenc#sha256"/>
        <DigestValue>b/SE3nRcGYYw1cDyI5z4EM+QTuPF/DmxiRXBaXEADkg=</DigestValue>
      </Reference>
      <Reference URI="/xl/worksheets/sheet6.xml?ContentType=application/vnd.openxmlformats-officedocument.spreadsheetml.worksheet+xml">
        <DigestMethod Algorithm="http://www.w3.org/2001/04/xmlenc#sha256"/>
        <DigestValue>mZP2EXNCAUA2NKC6Gs4BqawN8QuLB3FBS/A/twKwJvE=</DigestValue>
      </Reference>
      <Reference URI="/xl/worksheets/sheet7.xml?ContentType=application/vnd.openxmlformats-officedocument.spreadsheetml.worksheet+xml">
        <DigestMethod Algorithm="http://www.w3.org/2001/04/xmlenc#sha256"/>
        <DigestValue>lq6YlVTYgNgflOp38Rj83fmXusFXzccktTeZvHoNs4U=</DigestValue>
      </Reference>
      <Reference URI="/xl/worksheets/sheet8.xml?ContentType=application/vnd.openxmlformats-officedocument.spreadsheetml.worksheet+xml">
        <DigestMethod Algorithm="http://www.w3.org/2001/04/xmlenc#sha256"/>
        <DigestValue>bhQJNueEwixLg0nSzz13cut1UPXVmYD8x9khnaeHxbI=</DigestValue>
      </Reference>
      <Reference URI="/xl/worksheets/sheet9.xml?ContentType=application/vnd.openxmlformats-officedocument.spreadsheetml.worksheet+xml">
        <DigestMethod Algorithm="http://www.w3.org/2001/04/xmlenc#sha256"/>
        <DigestValue>OkT3D+y8jSc/K06FCKyrnaaINtiM2JoNGF508qf3Z5Q=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2019-10-22T06:31:16Z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2019-10-22T06:31:16Z</xd:SigningTime>
          <xd:SigningCertificate>
            <xd:Cert>
              <xd:CertDigest>
                <DigestMethod Algorithm="http://www.w3.org/2001/04/xmlenc#sha256"/>
                <DigestValue>aUkd6OYd1KqD45mTxfi3hAkqp8c/CaNa5/kjD2a3MjA=</DigestValue>
              </xd:CertDigest>
              <xd:IssuerSerial>
                <X509IssuerName>CN=NBG Class 2 INT Sub CA, DC=nbg, DC=ge</X509IssuerName>
                <X509SerialNumber>587713621691290490048891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  <xd:SignerRole>
            <xd:ClaimedRoles>
              <xd:ClaimedRole>CEO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I0NZ3AUNRrxC0PgwSevv2TYL0M4DHkf3YBloYs+3Y0c=</DigestValue>
    </Reference>
    <Reference Type="http://www.w3.org/2000/09/xmldsig#Object" URI="#idOfficeObject">
      <DigestMethod Algorithm="http://www.w3.org/2001/04/xmlenc#sha256"/>
      <DigestValue>uA9tDED2FCzy/4318sp/gpE/g3uyJsWM+WN4jcaP1YQ=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QSWnnuLE8Bp8BMnB3YtYxxTQM7HdI2wS8ZA+TKycnpM=</DigestValue>
    </Reference>
  </SignedInfo>
  <SignatureValue>iNa/SRotyAxHi6zIJu8VW211WyHEwkLifJjmW/Rmtu3MUJWNXSAi90Z7GkMeZje/GSkKXxenWTfm
GfX+ErmBpd9Yj8kI7hFGhRaKBYtHnCHekUyok8aWNUKyauL6Wun6VymfQmsFDHh2ZMVZkxWb6G9t
YvAyhxIXT/Pk8993+PqTA7+OY83jp5if0mmZVXQqDj/kgw4zHBI2Ipbi7GsWU/TMruejhLLwtrgc
xsiP+/3mYRH9UpD+0PCXGsBRvWSy+j04hFhpnN06xgRLRWk1yG5rJR00QiCzx5348p4emm6hnEzA
UqI1IvsTtUh85ZEOQoOczHcb6ATevB5WmRqD6Q==</SignatureValue>
  <KeyInfo>
    <X509Data>
      <X509Certificate>MIIGPjCCBSagAwIBAgIKfIKsZAACAAERgzANBgkqhkiG9w0BAQsFADBKMRIwEAYKCZImiZPyLGQBGRYCZ2UxEzARBgoJkiaJk/IsZAEZFgNuYmcxHzAdBgNVBAMTFk5CRyBDbGFzcyAyIElOVCBTdWIgQ0EwHhcNMTkwMjI4MTM1ODE2WhcNMjEwMjI3MTM1ODE2WjA8MRswGQYDVQQKExJKU0MgSXNiYW5rIEdlb3JnaWExHTAbBgNVBAMTFEJJUyAtIFVjaGEgU2FyYWxpZHplMIIBIjANBgkqhkiG9w0BAQEFAAOCAQ8AMIIBCgKCAQEA5XqvG0GcuA0yT4Q+BUTZwpiKfVhl0Q/rhhtJLjC9pxhQPMcdlqH81F8OOBvvVz/Wv8QWsS6uy2MrMS/hW9qn7fI36oscmYisO1RTX2+NBdt6fVIkASYbmyewyJcQn39r4uUxPWoEW/MzAS6bu3PVd1a8eAeX+JfYOxLERNp1CBXcXnvkY/82XH3Nbn+IyyuefItwmTIEtBfd8r2FzfKaJ0eG1/N+XXUXSe1dUKxusm+8xe7bDQlBCl3rfsUHcVFd9jM/ityQPG2rw/tnCu3ipKwG8GaWqVTCHKJTUZpeyrLTuZFB3EtvHptFib/0RUx7bH45Cf0YuvBqpWcRk0/gZwIDAQABo4IDMjCCAy4wPAYJKwYBBAGCNxUHBC8wLQYlKwYBBAGCNxUI5rJgg431RIaBmQmDuKFKg76EcQSDxJEzhIOIXQIBZAIBIzAdBgNVHSUEFjAUBggrBgEFBQcDAgYIKwYBBQUHAwQwCwYDVR0PBAQDAgeAMCcGCSsGAQQBgjcVCgQaMBgwCgYIKwYBBQUHAwIwCgYIKwYBBQUHAwQwHQYDVR0OBBYEFCXZvSVzVsGMqFqHRWJW/ROIkwwS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AvXMXHqr2jwgkTBHw/VIOvXVNNbTzrl1xezUjBzR70IxG/GcbEckaqfi4t7aaGXM643ELJu9VDHTkFe1nKK9PR5sy5CLXu7NZ0Kyuxlp7Yx8YrMlfTP7PqDXim/5xYM/kXI3QfdlSGqg/WyWHtJr8SsBiVp1p0yTssWTSpjqbQj1gn6T2NpPoIljKiTmx+i807nuczz1dqAWMt5ukWLM7dIoKNf6/SsoIvdz3AXX9L8qRjCr5Y2fMiqWY9JAdVtdFJHCDNjW7be33kA1A/jYUrXFTly+llaTFGtVqATRid4CfIfncBgHmHbGdxFmWvSHvGaPFCJ87P03dPlMbxp7R0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DgdFIVNeghHtSErCm55uu73RHoaCl4wl/2S9CRvuL2g=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0tQspILqB8qfvnb6WjpbM1qcDvqm9kas/bzqYR574gY=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6JnUOBSq3qQvivt7ufR97pp2ohiag4WY+ApzR/9Roh4=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2m6CW85rBYKpJKifjkFVt0n58BwBksWMXfva2VqaA+I=</DigestValue>
      </Reference>
      <Reference URI="/xl/sharedStrings.xml?ContentType=application/vnd.openxmlformats-officedocument.spreadsheetml.sharedStrings+xml">
        <DigestMethod Algorithm="http://www.w3.org/2001/04/xmlenc#sha256"/>
        <DigestValue>4c7JaGvIgEvp1lPFgx4ByAtd30gqlPd63QclAEq6GPk=</DigestValue>
      </Reference>
      <Reference URI="/xl/styles.xml?ContentType=application/vnd.openxmlformats-officedocument.spreadsheetml.styles+xml">
        <DigestMethod Algorithm="http://www.w3.org/2001/04/xmlenc#sha256"/>
        <DigestValue>+cLp6L/l3hkk/SxX5/hfeIMXHe/UYIVj+4QmiuuvjKM=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Kj+G9G1WbASYhNHghCf9HF7OMOblxgpVfkzttUiD4i0=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6wjT5EaVK5onESuy5rSpu9FVkDWubEybsZ8c3CVsk3Y=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GjiZEmJ32M0HA6MDtH2AyAY9MS9vVHr/geSrkJB6vi4=</DigestValue>
      </Reference>
      <Reference URI="/xl/worksheets/sheet10.xml?ContentType=application/vnd.openxmlformats-officedocument.spreadsheetml.worksheet+xml">
        <DigestMethod Algorithm="http://www.w3.org/2001/04/xmlenc#sha256"/>
        <DigestValue>yD8OX7GG1fAXwBGvWoad3mlTp2Ig8DNv8vg0WAYrQvQ=</DigestValue>
      </Reference>
      <Reference URI="/xl/worksheets/sheet11.xml?ContentType=application/vnd.openxmlformats-officedocument.spreadsheetml.worksheet+xml">
        <DigestMethod Algorithm="http://www.w3.org/2001/04/xmlenc#sha256"/>
        <DigestValue>Cv6H/H4AgKfefk30vODW85ivi9cLqEFPMmd+n+YthLs=</DigestValue>
      </Reference>
      <Reference URI="/xl/worksheets/sheet12.xml?ContentType=application/vnd.openxmlformats-officedocument.spreadsheetml.worksheet+xml">
        <DigestMethod Algorithm="http://www.w3.org/2001/04/xmlenc#sha256"/>
        <DigestValue>XPOqbi4KTAz1js70cO7F317ssTYwgUiTg8v+hpPWDV4=</DigestValue>
      </Reference>
      <Reference URI="/xl/worksheets/sheet13.xml?ContentType=application/vnd.openxmlformats-officedocument.spreadsheetml.worksheet+xml">
        <DigestMethod Algorithm="http://www.w3.org/2001/04/xmlenc#sha256"/>
        <DigestValue>0OecKsTLDPGlItgfwVS2ZVlC4an+jBUoqc2dtcljE0U=</DigestValue>
      </Reference>
      <Reference URI="/xl/worksheets/sheet14.xml?ContentType=application/vnd.openxmlformats-officedocument.spreadsheetml.worksheet+xml">
        <DigestMethod Algorithm="http://www.w3.org/2001/04/xmlenc#sha256"/>
        <DigestValue>1JvP5vxqjeLnL/ivoD4U8L2C2lxIg76ytIB3rVwmhA8=</DigestValue>
      </Reference>
      <Reference URI="/xl/worksheets/sheet15.xml?ContentType=application/vnd.openxmlformats-officedocument.spreadsheetml.worksheet+xml">
        <DigestMethod Algorithm="http://www.w3.org/2001/04/xmlenc#sha256"/>
        <DigestValue>CEF7rPk0Q4+ctqduifmpqfiGFjOsWnepfcPlybBa8EI=</DigestValue>
      </Reference>
      <Reference URI="/xl/worksheets/sheet16.xml?ContentType=application/vnd.openxmlformats-officedocument.spreadsheetml.worksheet+xml">
        <DigestMethod Algorithm="http://www.w3.org/2001/04/xmlenc#sha256"/>
        <DigestValue>0XNaD+06P/PHBD9pDaEI5l+VJOjQXARPAWqq2W4KLKM=</DigestValue>
      </Reference>
      <Reference URI="/xl/worksheets/sheet17.xml?ContentType=application/vnd.openxmlformats-officedocument.spreadsheetml.worksheet+xml">
        <DigestMethod Algorithm="http://www.w3.org/2001/04/xmlenc#sha256"/>
        <DigestValue>OG31kh2CHsg01jB15RY+iRW89+gsjiiINb1WKhPyKRM=</DigestValue>
      </Reference>
      <Reference URI="/xl/worksheets/sheet18.xml?ContentType=application/vnd.openxmlformats-officedocument.spreadsheetml.worksheet+xml">
        <DigestMethod Algorithm="http://www.w3.org/2001/04/xmlenc#sha256"/>
        <DigestValue>+xPx7+s3BTIqjcQJ5hUAKPbAFEhtfgklpmDid3aBJC0=</DigestValue>
      </Reference>
      <Reference URI="/xl/worksheets/sheet2.xml?ContentType=application/vnd.openxmlformats-officedocument.spreadsheetml.worksheet+xml">
        <DigestMethod Algorithm="http://www.w3.org/2001/04/xmlenc#sha256"/>
        <DigestValue>zYyAPjTywwyNv7OftNoewxCwWvunruLAotEmLMMdx3A=</DigestValue>
      </Reference>
      <Reference URI="/xl/worksheets/sheet3.xml?ContentType=application/vnd.openxmlformats-officedocument.spreadsheetml.worksheet+xml">
        <DigestMethod Algorithm="http://www.w3.org/2001/04/xmlenc#sha256"/>
        <DigestValue>nTkE7KSp3jqzsoar30wpDuY56iFjkavzMrvvIfbn9/o=</DigestValue>
      </Reference>
      <Reference URI="/xl/worksheets/sheet4.xml?ContentType=application/vnd.openxmlformats-officedocument.spreadsheetml.worksheet+xml">
        <DigestMethod Algorithm="http://www.w3.org/2001/04/xmlenc#sha256"/>
        <DigestValue>JAWhywMVkVRTr2dpY/xSAkyIHOKkSaz/rUYbr1DnA4I=</DigestValue>
      </Reference>
      <Reference URI="/xl/worksheets/sheet5.xml?ContentType=application/vnd.openxmlformats-officedocument.spreadsheetml.worksheet+xml">
        <DigestMethod Algorithm="http://www.w3.org/2001/04/xmlenc#sha256"/>
        <DigestValue>b/SE3nRcGYYw1cDyI5z4EM+QTuPF/DmxiRXBaXEADkg=</DigestValue>
      </Reference>
      <Reference URI="/xl/worksheets/sheet6.xml?ContentType=application/vnd.openxmlformats-officedocument.spreadsheetml.worksheet+xml">
        <DigestMethod Algorithm="http://www.w3.org/2001/04/xmlenc#sha256"/>
        <DigestValue>mZP2EXNCAUA2NKC6Gs4BqawN8QuLB3FBS/A/twKwJvE=</DigestValue>
      </Reference>
      <Reference URI="/xl/worksheets/sheet7.xml?ContentType=application/vnd.openxmlformats-officedocument.spreadsheetml.worksheet+xml">
        <DigestMethod Algorithm="http://www.w3.org/2001/04/xmlenc#sha256"/>
        <DigestValue>lq6YlVTYgNgflOp38Rj83fmXusFXzccktTeZvHoNs4U=</DigestValue>
      </Reference>
      <Reference URI="/xl/worksheets/sheet8.xml?ContentType=application/vnd.openxmlformats-officedocument.spreadsheetml.worksheet+xml">
        <DigestMethod Algorithm="http://www.w3.org/2001/04/xmlenc#sha256"/>
        <DigestValue>bhQJNueEwixLg0nSzz13cut1UPXVmYD8x9khnaeHxbI=</DigestValue>
      </Reference>
      <Reference URI="/xl/worksheets/sheet9.xml?ContentType=application/vnd.openxmlformats-officedocument.spreadsheetml.worksheet+xml">
        <DigestMethod Algorithm="http://www.w3.org/2001/04/xmlenc#sha256"/>
        <DigestValue>OkT3D+y8jSc/K06FCKyrnaaINtiM2JoNGF508qf3Z5Q=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2019-10-22T06:32:10Z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2019-10-22T06:32:10Z</xd:SigningTime>
          <xd:SigningCertificate>
            <xd:Cert>
              <xd:CertDigest>
                <DigestMethod Algorithm="http://www.w3.org/2001/04/xmlenc#sha256"/>
                <DigestValue>17XkmpXT/J+cR02kr9wDZ1Gy4CqPXAQp/fSriMUtklI=</DigestValue>
              </xd:CertDigest>
              <xd:IssuerSerial>
                <X509IssuerName>CN=NBG Class 2 INT Sub CA, DC=nbg, DC=ge</X509IssuerName>
                <X509SerialNumber>587983942659099032883587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  <xd:SignerRole>
            <xd:ClaimedRoles>
              <xd:ClaimedRole>CFO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2019-10-22T06:28:06Z</dcterms:modified>
</cp:coreProperties>
</file>