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992" windowWidth="23256" windowHeight="6936" tabRatio="761" activeTab="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C14" i="69" l="1"/>
  <c r="C12" i="95" l="1"/>
  <c r="M22" i="90" l="1"/>
  <c r="C22" i="90"/>
  <c r="D32" i="75" l="1"/>
  <c r="C46" i="89" l="1"/>
  <c r="G32" i="75" l="1"/>
  <c r="D13" i="91" l="1"/>
  <c r="C29" i="95" l="1"/>
  <c r="B2" i="95" l="1"/>
  <c r="C26" i="95"/>
  <c r="C18" i="95"/>
  <c r="C21" i="94" l="1"/>
  <c r="B17" i="84" s="1"/>
  <c r="C20" i="94"/>
  <c r="B16" i="84" s="1"/>
  <c r="C19" i="94"/>
  <c r="B15" i="84" s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H10" i="93"/>
  <c r="E21" i="93"/>
  <c r="D16" i="93"/>
  <c r="E19" i="93"/>
  <c r="E11" i="93"/>
  <c r="E10" i="93"/>
  <c r="C5" i="86"/>
  <c r="G24" i="93" l="1"/>
  <c r="G25" i="93" s="1"/>
  <c r="J24" i="93"/>
  <c r="J25" i="93" s="1"/>
  <c r="I16" i="93"/>
  <c r="I24" i="93" s="1"/>
  <c r="F16" i="93"/>
  <c r="F24" i="93" s="1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3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D14" i="83"/>
  <c r="D20" i="83" s="1"/>
  <c r="C14" i="83"/>
  <c r="C20" i="83" s="1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E15" i="83"/>
  <c r="C16" i="69" s="1"/>
  <c r="H15" i="83"/>
  <c r="E16" i="83"/>
  <c r="C17" i="69" s="1"/>
  <c r="H16" i="83"/>
  <c r="E17" i="83"/>
  <c r="C18" i="69" s="1"/>
  <c r="H17" i="83"/>
  <c r="E18" i="83"/>
  <c r="C22" i="69" s="1"/>
  <c r="H18" i="83"/>
  <c r="E19" i="83"/>
  <c r="C24" i="69" s="1"/>
  <c r="H19" i="83"/>
  <c r="F20" i="83"/>
  <c r="E22" i="83"/>
  <c r="C26" i="69" s="1"/>
  <c r="H22" i="83"/>
  <c r="E23" i="83"/>
  <c r="C27" i="69" s="1"/>
  <c r="H23" i="83"/>
  <c r="E24" i="83"/>
  <c r="C28" i="69" s="1"/>
  <c r="H24" i="83"/>
  <c r="E25" i="83"/>
  <c r="C29" i="69" s="1"/>
  <c r="H25" i="83"/>
  <c r="E26" i="83"/>
  <c r="C30" i="69" s="1"/>
  <c r="H26" i="83"/>
  <c r="E27" i="83"/>
  <c r="C31" i="69" s="1"/>
  <c r="H27" i="83"/>
  <c r="E28" i="83"/>
  <c r="C32" i="69" s="1"/>
  <c r="H28" i="83"/>
  <c r="E29" i="83"/>
  <c r="C33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7" i="69" s="1"/>
  <c r="H33" i="83"/>
  <c r="E34" i="83"/>
  <c r="H34" i="83"/>
  <c r="E35" i="83"/>
  <c r="H35" i="83"/>
  <c r="E36" i="83"/>
  <c r="H36" i="83"/>
  <c r="E37" i="83"/>
  <c r="H37" i="83"/>
  <c r="E38" i="83"/>
  <c r="C11" i="89" s="1"/>
  <c r="C42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5" i="69" s="1"/>
  <c r="C34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E20" i="83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I21" i="92"/>
  <c r="M21" i="92"/>
  <c r="C21" i="92"/>
  <c r="C21" i="88"/>
  <c r="C8" i="95" l="1"/>
  <c r="T21" i="64"/>
  <c r="U21" i="64"/>
  <c r="S21" i="64"/>
  <c r="C21" i="64"/>
  <c r="F22" i="91"/>
  <c r="E22" i="91"/>
  <c r="C22" i="91"/>
  <c r="K22" i="90" l="1"/>
  <c r="L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5" i="69" l="1"/>
  <c r="C25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4" i="69" l="1"/>
  <c r="C36" i="69"/>
</calcChain>
</file>

<file path=xl/sharedStrings.xml><?xml version="1.0" encoding="utf-8"?>
<sst xmlns="http://schemas.openxmlformats.org/spreadsheetml/2006/main" count="745" uniqueCount="520">
  <si>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</si>
  <si>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</si>
  <si>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</si>
  <si>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</si>
  <si>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</si>
  <si>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</si>
  <si>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</si>
  <si>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</si>
  <si>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</si>
  <si>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</si>
  <si>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</si>
  <si>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</si>
  <si>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</si>
  <si>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</si>
  <si>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</si>
  <si>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</si>
  <si>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</si>
  <si>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</si>
  <si>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</si>
  <si>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</si>
  <si>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</si>
  <si>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</si>
  <si>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</si>
  <si>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</si>
  <si>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</si>
  <si>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</si>
  <si>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</si>
  <si>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</si>
  <si>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</si>
  <si>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</si>
  <si>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</si>
  <si>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</si>
  <si>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</si>
  <si>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</si>
  <si>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</si>
  <si>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</si>
  <si>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</si>
  <si>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</si>
  <si>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</si>
  <si>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</si>
  <si>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</si>
  <si>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</si>
  <si>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</si>
  <si>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</si>
  <si>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</si>
  <si>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</si>
  <si>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</si>
  <si>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</si>
  <si>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</si>
  <si>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</si>
  <si>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</si>
  <si>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</si>
  <si>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</si>
  <si>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</si>
  <si>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</si>
  <si>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</si>
  <si>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</si>
  <si>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</si>
  <si>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</si>
  <si>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</si>
  <si>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</si>
  <si>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</si>
  <si>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</si>
  <si>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</si>
  <si>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</si>
  <si>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</si>
  <si>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</si>
  <si>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</si>
  <si>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</si>
  <si>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</si>
  <si>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</si>
  <si>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</si>
  <si>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</si>
  <si>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</si>
  <si>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</si>
  <si>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</si>
  <si>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</si>
  <si>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</si>
  <si>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</si>
  <si>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</si>
  <si>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</si>
  <si>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</si>
  <si>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</si>
  <si>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</si>
  <si>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</si>
  <si>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</si>
  <si>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</si>
  <si>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</si>
  <si>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</si>
  <si>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</si>
  <si>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</si>
  <si>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</si>
  <si>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</si>
  <si>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</si>
  <si>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</si>
  <si>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</si>
  <si>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</si>
  <si>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</si>
  <si>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</si>
  <si>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</si>
  <si>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</si>
  <si>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</si>
  <si>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</si>
  <si>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</si>
  <si>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</si>
  <si>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</si>
  <si>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</si>
  <si>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</si>
  <si>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</si>
  <si>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</si>
  <si>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</si>
  <si>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</si>
  <si>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</si>
  <si>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</si>
  <si>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</si>
  <si>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</si>
  <si>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</si>
  <si>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</si>
  <si>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</si>
  <si>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</si>
  <si>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</si>
  <si>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</si>
  <si>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</si>
  <si>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</si>
  <si>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</si>
  <si>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</si>
  <si>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</si>
  <si>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</si>
  <si>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</si>
  <si>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</si>
  <si>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</si>
  <si>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</si>
  <si>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</si>
  <si>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</si>
  <si>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</si>
  <si>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</si>
  <si>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</si>
  <si>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</si>
  <si>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</si>
  <si>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</si>
  <si>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</si>
  <si>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</si>
  <si>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</si>
  <si>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</si>
  <si>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</si>
  <si>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</si>
  <si>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</si>
  <si>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</si>
  <si>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</si>
  <si>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</si>
  <si>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</si>
  <si>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</si>
  <si>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</si>
  <si>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</si>
  <si>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</si>
  <si>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</si>
  <si>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</si>
  <si>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</si>
  <si>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</si>
  <si>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</si>
  <si>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</si>
  <si>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</si>
  <si>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</si>
  <si>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</si>
  <si>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</si>
  <si>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</si>
  <si>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</si>
  <si>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</si>
  <si>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</si>
  <si>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</si>
  <si>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</si>
  <si>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</si>
  <si>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</si>
  <si>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</si>
  <si>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</si>
  <si>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</si>
  <si>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</si>
  <si>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</si>
  <si>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</si>
  <si>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</si>
  <si>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</si>
  <si>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</si>
  <si>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</si>
  <si>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</si>
  <si>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</si>
  <si>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</si>
  <si>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</si>
  <si>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</si>
  <si>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</si>
  <si>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</si>
  <si>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</si>
  <si>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</si>
  <si>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</si>
  <si>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</si>
  <si>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</si>
  <si>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</si>
  <si>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</si>
  <si>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</si>
  <si>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</si>
  <si>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</si>
  <si>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</si>
  <si>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</si>
  <si>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</si>
  <si>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</si>
  <si>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</si>
  <si>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</si>
  <si>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</si>
  <si>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</si>
  <si>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</si>
  <si>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</si>
  <si>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</si>
  <si>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</si>
  <si>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</si>
  <si>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</si>
  <si>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</si>
  <si>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</si>
  <si>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</si>
  <si>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</si>
  <si>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</si>
  <si>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</si>
  <si>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</si>
  <si>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</si>
  <si>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</si>
  <si>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</si>
  <si>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</si>
  <si>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</si>
  <si>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</si>
  <si>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</si>
  <si>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</si>
  <si>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</si>
  <si>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</si>
  <si>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</si>
  <si>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</si>
  <si>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</si>
  <si>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</si>
  <si>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</si>
  <si>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</si>
  <si>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</si>
  <si>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</si>
  <si>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</si>
  <si>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</si>
  <si>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</si>
  <si>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</si>
  <si>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</si>
  <si>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</si>
  <si>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</si>
  <si>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</si>
  <si>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</si>
  <si>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</si>
  <si>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</si>
  <si>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</si>
  <si>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</si>
  <si>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</si>
  <si>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</si>
  <si>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</si>
  <si>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</si>
  <si>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</si>
  <si>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</si>
  <si>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</si>
  <si>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</si>
  <si>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</si>
  <si>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</si>
  <si>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</si>
  <si>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</si>
  <si>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</si>
  <si>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</si>
  <si>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</si>
  <si>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</si>
  <si>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</si>
  <si>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</si>
  <si>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</si>
  <si>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</si>
  <si>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</si>
  <si>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</si>
  <si>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</si>
  <si>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</si>
  <si>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</si>
  <si>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</si>
  <si>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</si>
  <si>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</si>
  <si>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</si>
  <si>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</si>
  <si>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</si>
  <si>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</si>
  <si>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</si>
  <si>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</si>
  <si>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</si>
  <si>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</si>
  <si>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</si>
  <si>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</si>
  <si>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</si>
  <si>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</si>
  <si>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</si>
  <si>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</si>
  <si>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</si>
  <si>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</si>
  <si>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</si>
  <si>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</si>
  <si>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</si>
  <si>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</si>
  <si>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</si>
  <si>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</si>
  <si>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</si>
  <si>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</si>
  <si>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</si>
  <si>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</si>
  <si>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</si>
  <si>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</si>
  <si>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</si>
  <si>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</si>
  <si>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</si>
  <si>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</si>
  <si>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</si>
  <si>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</si>
  <si>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</si>
  <si>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</si>
  <si>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</si>
  <si>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</si>
  <si>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</si>
  <si>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</si>
  <si>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</si>
  <si>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</si>
  <si>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</si>
  <si>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</si>
  <si>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</si>
  <si>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</si>
  <si>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</si>
  <si>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</si>
  <si>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</si>
  <si>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</si>
  <si>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</si>
  <si>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</si>
  <si>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</si>
  <si>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</si>
  <si>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</si>
  <si>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</si>
  <si>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</si>
  <si>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</si>
  <si>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</si>
  <si>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</si>
  <si>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</si>
  <si>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</si>
  <si>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</si>
  <si>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</si>
  <si>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</si>
  <si>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</si>
  <si>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</si>
  <si>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</si>
  <si>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</si>
  <si>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</si>
  <si>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</si>
  <si>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</si>
  <si>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</si>
  <si>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</si>
  <si>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</si>
  <si>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</si>
  <si>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</si>
  <si>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</si>
  <si>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</si>
  <si>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</si>
  <si>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</si>
  <si>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</si>
  <si>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</si>
  <si>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</si>
  <si>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</si>
  <si>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</si>
  <si>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</si>
  <si>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</si>
  <si>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</si>
  <si>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</si>
  <si>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</si>
  <si>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</si>
  <si>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</si>
  <si>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</si>
  <si>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</si>
  <si>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</si>
  <si>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</si>
  <si>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</si>
  <si>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</si>
  <si>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</si>
  <si>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</si>
  <si>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</si>
  <si>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</si>
  <si>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</si>
  <si>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</si>
  <si>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</si>
  <si>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</si>
  <si>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</si>
  <si>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</si>
  <si>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</si>
  <si>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</si>
  <si>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</si>
  <si>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</si>
  <si>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</si>
  <si>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</si>
  <si>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</si>
  <si>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</si>
  <si>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</si>
  <si>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</si>
  <si>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</si>
  <si>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</si>
  <si>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</si>
  <si>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</si>
  <si>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</si>
  <si>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</si>
  <si>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</si>
  <si>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</si>
  <si>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</si>
  <si>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</si>
  <si>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</si>
  <si>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</si>
  <si>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</si>
  <si>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</si>
  <si>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</si>
  <si>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</si>
  <si>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</si>
  <si>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</si>
  <si>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</si>
  <si>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</si>
  <si>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</si>
  <si>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</si>
  <si>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</si>
  <si>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</si>
  <si>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</si>
  <si>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</si>
  <si>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</si>
  <si>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</si>
  <si>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</si>
  <si>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</si>
  <si>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</si>
  <si>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</si>
  <si>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</si>
  <si>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</si>
  <si>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</si>
  <si>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</si>
  <si>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</si>
  <si>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</si>
  <si>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</si>
  <si>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</si>
  <si>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</si>
  <si>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</si>
  <si>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</si>
  <si>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</si>
  <si>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>Murat Bılgıç</t>
  </si>
  <si>
    <t>Yavuz Ergın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</si>
  <si>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</si>
  <si>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</si>
  <si>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</si>
  <si>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</si>
  <si>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</si>
  <si>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</si>
  <si>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>Sezgin Lüle</t>
  </si>
  <si>
    <t>Onur Kütük</t>
  </si>
  <si>
    <t>Teimuraz Pirmisashvili</t>
  </si>
  <si>
    <t>Can Yücel</t>
  </si>
  <si>
    <t>Huseyn Serdar Yücel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</si>
  <si>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</si>
  <si>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</si>
  <si>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</si>
  <si>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</si>
  <si>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</si>
  <si>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</si>
  <si>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</si>
  <si>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</si>
  <si>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</si>
  <si>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</si>
  <si>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</si>
  <si>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</si>
  <si>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</si>
  <si>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</si>
  <si>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</si>
  <si>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</si>
  <si>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</si>
  <si>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</si>
  <si>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</si>
  <si>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</si>
  <si>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</si>
  <si>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</si>
  <si>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</si>
  <si>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</si>
  <si>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</si>
  <si>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</si>
  <si>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</si>
  <si>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</si>
  <si>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</si>
  <si>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</si>
  <si>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</si>
  <si>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</si>
  <si>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</si>
  <si>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</si>
  <si>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</si>
  <si>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</si>
  <si>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</si>
  <si>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</si>
  <si>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</si>
  <si>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</si>
  <si>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</si>
  <si>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</si>
  <si>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</si>
  <si>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</si>
  <si>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1Q 2019</t>
  </si>
  <si>
    <t xml:space="preserve"> 2Q 2019</t>
  </si>
  <si>
    <t xml:space="preserve"> 3Q 2019</t>
  </si>
  <si>
    <t xml:space="preserve"> 4Q 2019</t>
  </si>
  <si>
    <t>Natia Janelidze</t>
  </si>
  <si>
    <t>Hakan Kural</t>
  </si>
  <si>
    <t xml:space="preserve"> 1Q 2020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</si>
  <si>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</si>
  <si>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Based on Basel III framework *</t>
  </si>
  <si>
    <t>* COVID 19 related provisions are deducted from balance sheet items after applying relevant risks weights and mitigation</t>
  </si>
  <si>
    <t>Balance sheet items *</t>
  </si>
  <si>
    <t>*Other adjustments include COVID 19 related provisions too. These provisions are deducted from risk weighted balance sheet items. See table "5.RWA"</t>
  </si>
  <si>
    <t>Effect of other adjustments *</t>
  </si>
  <si>
    <t>Capital Conservation Buffer *</t>
  </si>
  <si>
    <t>COVID 19 related provisions</t>
  </si>
  <si>
    <t>6.2.1</t>
  </si>
  <si>
    <t>*COVID 19 related provisions are deducted from balance sheet items</t>
  </si>
  <si>
    <t>On-balance sheet items (excluding derivatives, SFTs and fiduciary assets, but including collateral) *</t>
  </si>
  <si>
    <t>6.2.2</t>
  </si>
  <si>
    <t>Loan Loss 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</si>
</sst>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5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43" fontId="3" fillId="0" borderId="85" xfId="0" applyNumberFormat="1" applyFont="1" applyFill="1" applyBorder="1" applyAlignment="1">
      <alignment vertical="center"/>
    </xf>
    <xf numFmtId="164" fontId="3" fillId="0" borderId="85" xfId="0" applyNumberFormat="1" applyFont="1" applyFill="1" applyBorder="1" applyAlignment="1">
      <alignment vertical="center"/>
    </xf>
    <xf numFmtId="0" fontId="115" fillId="0" borderId="0" xfId="0" applyFont="1" applyFill="1"/>
    <xf numFmtId="193" fontId="3" fillId="0" borderId="0" xfId="0" applyNumberFormat="1" applyFo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zoomScaleNormal="100" workbookViewId="0">
      <selection activeCell="B1" sqref="B1"/>
    </sheetView>
  </sheetViews>
  <sheetFormatPr defaultColWidth="9.109375" defaultRowHeight="13.8"/>
  <cols>
    <col min="1" max="1" width="10.33203125" style="4" customWidth="1"/>
    <col min="2" max="2" width="134.6640625" style="5" bestFit="1" customWidth="1"/>
    <col min="3" max="3" width="39.44140625" style="5" customWidth="1"/>
    <col min="4" max="6" width="9.109375" style="5"/>
    <col min="7" max="7" width="25" style="5" customWidth="1"/>
    <col min="8" max="16384" width="9.109375" style="5"/>
  </cols>
  <sheetData>
    <row r="1" spans="1:3">
      <c r="A1" s="145"/>
      <c r="B1" s="185" t="s">
        <v>349</v>
      </c>
      <c r="C1" s="145"/>
    </row>
    <row r="2" spans="1:3">
      <c r="A2" s="186">
        <v>1</v>
      </c>
      <c r="B2" s="325" t="s">
        <v>350</v>
      </c>
      <c r="C2" s="335" t="s">
        <v>439</v>
      </c>
    </row>
    <row r="3" spans="1:3">
      <c r="A3" s="186">
        <v>2</v>
      </c>
      <c r="B3" s="326" t="s">
        <v>346</v>
      </c>
      <c r="C3" s="335" t="s">
        <v>440</v>
      </c>
    </row>
    <row r="4" spans="1:3">
      <c r="A4" s="186">
        <v>3</v>
      </c>
      <c r="B4" s="327" t="s">
        <v>351</v>
      </c>
      <c r="C4" s="335" t="s">
        <v>441</v>
      </c>
    </row>
    <row r="5" spans="1:3">
      <c r="A5" s="187">
        <v>4</v>
      </c>
      <c r="B5" s="328" t="s">
        <v>347</v>
      </c>
      <c r="C5" s="336" t="s">
        <v>442</v>
      </c>
    </row>
    <row r="6" spans="1:3" s="188" customFormat="1" ht="45.75" customHeight="1">
      <c r="A6" s="537" t="s">
        <v>427</v>
      </c>
      <c r="B6" s="538"/>
      <c r="C6" s="538"/>
    </row>
    <row r="7" spans="1:3">
      <c r="A7" s="189" t="s">
        <v>29</v>
      </c>
      <c r="B7" s="185" t="s">
        <v>348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358</v>
      </c>
    </row>
    <row r="14" spans="1:3">
      <c r="A14" s="145">
        <v>7</v>
      </c>
      <c r="B14" s="232" t="s">
        <v>352</v>
      </c>
    </row>
    <row r="15" spans="1:3">
      <c r="A15" s="145">
        <v>8</v>
      </c>
      <c r="B15" s="232" t="s">
        <v>353</v>
      </c>
    </row>
    <row r="16" spans="1:3">
      <c r="A16" s="145">
        <v>9</v>
      </c>
      <c r="B16" s="232" t="s">
        <v>25</v>
      </c>
    </row>
    <row r="17" spans="1:2">
      <c r="A17" s="324" t="s">
        <v>426</v>
      </c>
      <c r="B17" s="323" t="s">
        <v>411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354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355</v>
      </c>
    </row>
    <row r="22" spans="1:2">
      <c r="A22" s="145">
        <v>14</v>
      </c>
      <c r="B22" s="231" t="s">
        <v>382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9.5546875" style="71" bestFit="1" customWidth="1"/>
    <col min="2" max="2" width="132.44140625" style="4" customWidth="1"/>
    <col min="3" max="3" width="18.44140625" style="4" customWidth="1"/>
    <col min="4" max="16384" width="9.109375" style="4"/>
  </cols>
  <sheetData>
    <row r="1" spans="1:3">
      <c r="A1" s="337" t="s">
        <v>30</v>
      </c>
      <c r="B1" s="338" t="s">
        <v>439</v>
      </c>
    </row>
    <row r="2" spans="1:3" s="59" customFormat="1" ht="15.75" customHeight="1">
      <c r="A2" s="337" t="s">
        <v>31</v>
      </c>
      <c r="B2" s="339">
        <f>'1. key ratios '!B2</f>
        <v>43921</v>
      </c>
    </row>
    <row r="3" spans="1:3" s="59" customFormat="1" ht="15.75" customHeight="1"/>
    <row r="4" spans="1:3" ht="13.8" thickBot="1">
      <c r="A4" s="71" t="s">
        <v>250</v>
      </c>
      <c r="B4" s="130" t="s">
        <v>249</v>
      </c>
    </row>
    <row r="5" spans="1:3">
      <c r="A5" s="72" t="s">
        <v>6</v>
      </c>
      <c r="B5" s="73"/>
      <c r="C5" s="74" t="s">
        <v>73</v>
      </c>
    </row>
    <row r="6" spans="1:3" ht="13.8">
      <c r="A6" s="75">
        <v>1</v>
      </c>
      <c r="B6" s="76" t="s">
        <v>248</v>
      </c>
      <c r="C6" s="433">
        <f>SUM(C7:C11)</f>
        <v>77922937.577568486</v>
      </c>
    </row>
    <row r="7" spans="1:3" ht="13.8">
      <c r="A7" s="75">
        <v>2</v>
      </c>
      <c r="B7" s="77" t="s">
        <v>247</v>
      </c>
      <c r="C7" s="434">
        <f>'2.RC'!E33</f>
        <v>69161600</v>
      </c>
    </row>
    <row r="8" spans="1:3" ht="13.8">
      <c r="A8" s="75">
        <v>3</v>
      </c>
      <c r="B8" s="78" t="s">
        <v>246</v>
      </c>
      <c r="C8" s="434"/>
    </row>
    <row r="9" spans="1:3" ht="13.8">
      <c r="A9" s="75">
        <v>4</v>
      </c>
      <c r="B9" s="78" t="s">
        <v>245</v>
      </c>
      <c r="C9" s="434"/>
    </row>
    <row r="10" spans="1:3" ht="13.8">
      <c r="A10" s="75">
        <v>5</v>
      </c>
      <c r="B10" s="78" t="s">
        <v>244</v>
      </c>
      <c r="C10" s="434"/>
    </row>
    <row r="11" spans="1:3" ht="13.8">
      <c r="A11" s="75">
        <v>6</v>
      </c>
      <c r="B11" s="79" t="s">
        <v>243</v>
      </c>
      <c r="C11" s="434">
        <f>'2.RC'!E38</f>
        <v>8761337.5775684863</v>
      </c>
    </row>
    <row r="12" spans="1:3" s="45" customFormat="1" ht="13.8">
      <c r="A12" s="75">
        <v>7</v>
      </c>
      <c r="B12" s="76" t="s">
        <v>242</v>
      </c>
      <c r="C12" s="435">
        <f>SUM(C13:C27)</f>
        <v>84928.889999999898</v>
      </c>
    </row>
    <row r="13" spans="1:3" s="45" customFormat="1" ht="13.8">
      <c r="A13" s="75">
        <v>8</v>
      </c>
      <c r="B13" s="80" t="s">
        <v>241</v>
      </c>
      <c r="C13" s="436"/>
    </row>
    <row r="14" spans="1:3" s="45" customFormat="1" ht="26.4">
      <c r="A14" s="75">
        <v>9</v>
      </c>
      <c r="B14" s="81" t="s">
        <v>240</v>
      </c>
      <c r="C14" s="436"/>
    </row>
    <row r="15" spans="1:3" s="45" customFormat="1" ht="13.8">
      <c r="A15" s="75">
        <v>10</v>
      </c>
      <c r="B15" s="82" t="s">
        <v>239</v>
      </c>
      <c r="C15" s="436">
        <f>'7. LI1 '!D19</f>
        <v>84928.889999999898</v>
      </c>
    </row>
    <row r="16" spans="1:3" s="45" customFormat="1" ht="13.8">
      <c r="A16" s="75">
        <v>11</v>
      </c>
      <c r="B16" s="83" t="s">
        <v>238</v>
      </c>
      <c r="C16" s="436"/>
    </row>
    <row r="17" spans="1:3" s="45" customFormat="1" ht="13.8">
      <c r="A17" s="75">
        <v>12</v>
      </c>
      <c r="B17" s="82" t="s">
        <v>237</v>
      </c>
      <c r="C17" s="436"/>
    </row>
    <row r="18" spans="1:3" s="45" customFormat="1" ht="13.8">
      <c r="A18" s="75">
        <v>13</v>
      </c>
      <c r="B18" s="82" t="s">
        <v>236</v>
      </c>
      <c r="C18" s="436"/>
    </row>
    <row r="19" spans="1:3" s="45" customFormat="1" ht="13.8">
      <c r="A19" s="75">
        <v>14</v>
      </c>
      <c r="B19" s="82" t="s">
        <v>235</v>
      </c>
      <c r="C19" s="436"/>
    </row>
    <row r="20" spans="1:3" s="45" customFormat="1" ht="13.8">
      <c r="A20" s="75">
        <v>15</v>
      </c>
      <c r="B20" s="82" t="s">
        <v>234</v>
      </c>
      <c r="C20" s="436"/>
    </row>
    <row r="21" spans="1:3" s="45" customFormat="1" ht="26.4">
      <c r="A21" s="75">
        <v>16</v>
      </c>
      <c r="B21" s="81" t="s">
        <v>233</v>
      </c>
      <c r="C21" s="436"/>
    </row>
    <row r="22" spans="1:3" s="45" customFormat="1" ht="13.8">
      <c r="A22" s="75">
        <v>17</v>
      </c>
      <c r="B22" s="84" t="s">
        <v>232</v>
      </c>
      <c r="C22" s="436"/>
    </row>
    <row r="23" spans="1:3" s="45" customFormat="1" ht="13.8">
      <c r="A23" s="75">
        <v>18</v>
      </c>
      <c r="B23" s="81" t="s">
        <v>231</v>
      </c>
      <c r="C23" s="436"/>
    </row>
    <row r="24" spans="1:3" s="45" customFormat="1" ht="26.4">
      <c r="A24" s="75">
        <v>19</v>
      </c>
      <c r="B24" s="81" t="s">
        <v>208</v>
      </c>
      <c r="C24" s="436"/>
    </row>
    <row r="25" spans="1:3" s="45" customFormat="1" ht="13.8">
      <c r="A25" s="75">
        <v>20</v>
      </c>
      <c r="B25" s="85" t="s">
        <v>230</v>
      </c>
      <c r="C25" s="436"/>
    </row>
    <row r="26" spans="1:3" s="45" customFormat="1" ht="13.8">
      <c r="A26" s="75">
        <v>21</v>
      </c>
      <c r="B26" s="85" t="s">
        <v>229</v>
      </c>
      <c r="C26" s="436"/>
    </row>
    <row r="27" spans="1:3" s="45" customFormat="1" ht="13.8">
      <c r="A27" s="75">
        <v>22</v>
      </c>
      <c r="B27" s="85" t="s">
        <v>228</v>
      </c>
      <c r="C27" s="436"/>
    </row>
    <row r="28" spans="1:3" s="45" customFormat="1" ht="13.8">
      <c r="A28" s="75">
        <v>23</v>
      </c>
      <c r="B28" s="86" t="s">
        <v>227</v>
      </c>
      <c r="C28" s="435">
        <f>C6-C12</f>
        <v>77838008.687568486</v>
      </c>
    </row>
    <row r="29" spans="1:3" s="45" customFormat="1" ht="13.8">
      <c r="A29" s="87"/>
      <c r="B29" s="88"/>
      <c r="C29" s="436"/>
    </row>
    <row r="30" spans="1:3" s="45" customFormat="1" ht="13.8">
      <c r="A30" s="87">
        <v>24</v>
      </c>
      <c r="B30" s="86" t="s">
        <v>226</v>
      </c>
      <c r="C30" s="435">
        <f>C31+C34</f>
        <v>0</v>
      </c>
    </row>
    <row r="31" spans="1:3" s="45" customFormat="1" ht="13.8">
      <c r="A31" s="87">
        <v>25</v>
      </c>
      <c r="B31" s="78" t="s">
        <v>225</v>
      </c>
      <c r="C31" s="437">
        <f>C32+C33</f>
        <v>0</v>
      </c>
    </row>
    <row r="32" spans="1:3" s="45" customFormat="1" ht="13.8">
      <c r="A32" s="87">
        <v>26</v>
      </c>
      <c r="B32" s="89" t="s">
        <v>307</v>
      </c>
      <c r="C32" s="436"/>
    </row>
    <row r="33" spans="1:3" s="45" customFormat="1" ht="13.8">
      <c r="A33" s="87">
        <v>27</v>
      </c>
      <c r="B33" s="89" t="s">
        <v>224</v>
      </c>
      <c r="C33" s="436"/>
    </row>
    <row r="34" spans="1:3" s="45" customFormat="1" ht="13.8">
      <c r="A34" s="87">
        <v>28</v>
      </c>
      <c r="B34" s="78" t="s">
        <v>223</v>
      </c>
      <c r="C34" s="436"/>
    </row>
    <row r="35" spans="1:3" s="45" customFormat="1" ht="13.8">
      <c r="A35" s="87">
        <v>29</v>
      </c>
      <c r="B35" s="86" t="s">
        <v>222</v>
      </c>
      <c r="C35" s="435">
        <f>SUM(C36:C40)</f>
        <v>0</v>
      </c>
    </row>
    <row r="36" spans="1:3" s="45" customFormat="1" ht="13.8">
      <c r="A36" s="87">
        <v>30</v>
      </c>
      <c r="B36" s="81" t="s">
        <v>221</v>
      </c>
      <c r="C36" s="436"/>
    </row>
    <row r="37" spans="1:3" s="45" customFormat="1" ht="13.8">
      <c r="A37" s="87">
        <v>31</v>
      </c>
      <c r="B37" s="82" t="s">
        <v>220</v>
      </c>
      <c r="C37" s="436"/>
    </row>
    <row r="38" spans="1:3" s="45" customFormat="1" ht="13.8">
      <c r="A38" s="87">
        <v>32</v>
      </c>
      <c r="B38" s="81" t="s">
        <v>219</v>
      </c>
      <c r="C38" s="436"/>
    </row>
    <row r="39" spans="1:3" s="45" customFormat="1" ht="26.4">
      <c r="A39" s="87">
        <v>33</v>
      </c>
      <c r="B39" s="81" t="s">
        <v>208</v>
      </c>
      <c r="C39" s="436"/>
    </row>
    <row r="40" spans="1:3" s="45" customFormat="1" ht="13.8">
      <c r="A40" s="87">
        <v>34</v>
      </c>
      <c r="B40" s="85" t="s">
        <v>218</v>
      </c>
      <c r="C40" s="436"/>
    </row>
    <row r="41" spans="1:3" s="45" customFormat="1" ht="13.8">
      <c r="A41" s="87">
        <v>35</v>
      </c>
      <c r="B41" s="86" t="s">
        <v>217</v>
      </c>
      <c r="C41" s="435">
        <f>C30-C35</f>
        <v>0</v>
      </c>
    </row>
    <row r="42" spans="1:3" s="45" customFormat="1" ht="13.8">
      <c r="A42" s="87"/>
      <c r="B42" s="88"/>
      <c r="C42" s="436"/>
    </row>
    <row r="43" spans="1:3" s="45" customFormat="1" ht="13.8">
      <c r="A43" s="87">
        <v>36</v>
      </c>
      <c r="B43" s="90" t="s">
        <v>216</v>
      </c>
      <c r="C43" s="435">
        <f>SUM(C44:C46)</f>
        <v>4032872.8296369687</v>
      </c>
    </row>
    <row r="44" spans="1:3" s="45" customFormat="1" ht="13.8">
      <c r="A44" s="87">
        <v>37</v>
      </c>
      <c r="B44" s="78" t="s">
        <v>215</v>
      </c>
      <c r="C44" s="436">
        <f>'2.RC'!E30</f>
        <v>0</v>
      </c>
    </row>
    <row r="45" spans="1:3" s="45" customFormat="1" ht="13.8">
      <c r="A45" s="87">
        <v>38</v>
      </c>
      <c r="B45" s="78" t="s">
        <v>214</v>
      </c>
      <c r="C45" s="436"/>
    </row>
    <row r="46" spans="1:3" s="45" customFormat="1" ht="13.8">
      <c r="A46" s="87">
        <v>39</v>
      </c>
      <c r="B46" s="78" t="s">
        <v>213</v>
      </c>
      <c r="C46" s="436">
        <f>'8. LI2'!C9</f>
        <v>4032872.8296369687</v>
      </c>
    </row>
    <row r="47" spans="1:3" s="45" customFormat="1" ht="13.8">
      <c r="A47" s="87">
        <v>40</v>
      </c>
      <c r="B47" s="90" t="s">
        <v>212</v>
      </c>
      <c r="C47" s="435">
        <f>SUM(C48:C51)</f>
        <v>0</v>
      </c>
    </row>
    <row r="48" spans="1:3" s="45" customFormat="1" ht="13.8">
      <c r="A48" s="87">
        <v>41</v>
      </c>
      <c r="B48" s="81" t="s">
        <v>211</v>
      </c>
      <c r="C48" s="436"/>
    </row>
    <row r="49" spans="1:3" s="45" customFormat="1" ht="13.8">
      <c r="A49" s="87">
        <v>42</v>
      </c>
      <c r="B49" s="82" t="s">
        <v>210</v>
      </c>
      <c r="C49" s="436"/>
    </row>
    <row r="50" spans="1:3" s="45" customFormat="1" ht="13.8">
      <c r="A50" s="87">
        <v>43</v>
      </c>
      <c r="B50" s="81" t="s">
        <v>209</v>
      </c>
      <c r="C50" s="436"/>
    </row>
    <row r="51" spans="1:3" s="45" customFormat="1" ht="26.4">
      <c r="A51" s="87">
        <v>44</v>
      </c>
      <c r="B51" s="81" t="s">
        <v>208</v>
      </c>
      <c r="C51" s="436"/>
    </row>
    <row r="52" spans="1:3" s="45" customFormat="1" ht="14.4" thickBot="1">
      <c r="A52" s="91">
        <v>45</v>
      </c>
      <c r="B52" s="92" t="s">
        <v>207</v>
      </c>
      <c r="C52" s="438">
        <f>C43-C47</f>
        <v>4032872.8296369687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4" sqref="B4"/>
    </sheetView>
  </sheetViews>
  <sheetFormatPr defaultColWidth="9.109375" defaultRowHeight="13.8"/>
  <cols>
    <col min="1" max="1" width="9.44140625" style="246" bestFit="1" customWidth="1"/>
    <col min="2" max="2" width="59" style="246" customWidth="1"/>
    <col min="3" max="3" width="6.6640625" style="246" bestFit="1" customWidth="1"/>
    <col min="4" max="4" width="13.5546875" style="246" bestFit="1" customWidth="1"/>
    <col min="5" max="16384" width="9.109375" style="246"/>
  </cols>
  <sheetData>
    <row r="1" spans="1:4">
      <c r="A1" s="337" t="s">
        <v>30</v>
      </c>
      <c r="B1" s="338" t="s">
        <v>439</v>
      </c>
    </row>
    <row r="2" spans="1:4" s="216" customFormat="1" ht="15.75" customHeight="1">
      <c r="A2" s="337" t="s">
        <v>31</v>
      </c>
      <c r="B2" s="339">
        <f>'1. key ratios '!B2</f>
        <v>43921</v>
      </c>
    </row>
    <row r="3" spans="1:4" s="216" customFormat="1" ht="15.75" customHeight="1"/>
    <row r="4" spans="1:4" ht="14.4" thickBot="1">
      <c r="A4" s="533" t="s">
        <v>410</v>
      </c>
      <c r="B4" s="315" t="s">
        <v>411</v>
      </c>
    </row>
    <row r="5" spans="1:4" s="316" customFormat="1">
      <c r="A5" s="559" t="s">
        <v>414</v>
      </c>
      <c r="B5" s="560"/>
      <c r="C5" s="304" t="s">
        <v>412</v>
      </c>
      <c r="D5" s="305" t="s">
        <v>413</v>
      </c>
    </row>
    <row r="6" spans="1:4" s="317" customFormat="1">
      <c r="A6" s="306">
        <v>1</v>
      </c>
      <c r="B6" s="307" t="s">
        <v>415</v>
      </c>
      <c r="C6" s="307"/>
      <c r="D6" s="308"/>
    </row>
    <row r="7" spans="1:4" s="317" customFormat="1">
      <c r="A7" s="309" t="s">
        <v>401</v>
      </c>
      <c r="B7" s="310" t="s">
        <v>416</v>
      </c>
      <c r="C7" s="495">
        <v>4.4999999999999998E-2</v>
      </c>
      <c r="D7" s="489">
        <f>C7*'5. RWA '!$C$13</f>
        <v>15518045.661391307</v>
      </c>
    </row>
    <row r="8" spans="1:4" s="317" customFormat="1">
      <c r="A8" s="309" t="s">
        <v>402</v>
      </c>
      <c r="B8" s="310" t="s">
        <v>417</v>
      </c>
      <c r="C8" s="496">
        <v>0.06</v>
      </c>
      <c r="D8" s="489">
        <f>C8*'5. RWA '!$C$13</f>
        <v>20690727.548521742</v>
      </c>
    </row>
    <row r="9" spans="1:4" s="317" customFormat="1">
      <c r="A9" s="309" t="s">
        <v>403</v>
      </c>
      <c r="B9" s="310" t="s">
        <v>418</v>
      </c>
      <c r="C9" s="496">
        <v>0.08</v>
      </c>
      <c r="D9" s="489">
        <f>C9*'5. RWA '!$C$13</f>
        <v>27587636.731362324</v>
      </c>
    </row>
    <row r="10" spans="1:4" s="317" customFormat="1">
      <c r="A10" s="306" t="s">
        <v>404</v>
      </c>
      <c r="B10" s="307" t="s">
        <v>419</v>
      </c>
      <c r="C10" s="307"/>
      <c r="D10" s="308"/>
    </row>
    <row r="11" spans="1:4" s="318" customFormat="1">
      <c r="A11" s="311" t="s">
        <v>405</v>
      </c>
      <c r="B11" s="312" t="s">
        <v>513</v>
      </c>
      <c r="C11" s="487">
        <v>0</v>
      </c>
      <c r="D11" s="490">
        <f>C11*'5. RWA '!$C$13</f>
        <v>0</v>
      </c>
    </row>
    <row r="12" spans="1:4" s="318" customFormat="1">
      <c r="A12" s="311" t="s">
        <v>406</v>
      </c>
      <c r="B12" s="312" t="s">
        <v>420</v>
      </c>
      <c r="C12" s="487">
        <v>0</v>
      </c>
      <c r="D12" s="490">
        <f>C12*'5. RWA '!$C$13</f>
        <v>0</v>
      </c>
    </row>
    <row r="13" spans="1:4" s="318" customFormat="1">
      <c r="A13" s="311" t="s">
        <v>407</v>
      </c>
      <c r="B13" s="312" t="s">
        <v>421</v>
      </c>
      <c r="C13" s="312"/>
      <c r="D13" s="490">
        <f>C13*'5. RWA '!$C$13</f>
        <v>0</v>
      </c>
    </row>
    <row r="14" spans="1:4" s="318" customFormat="1">
      <c r="A14" s="306" t="s">
        <v>408</v>
      </c>
      <c r="B14" s="307" t="s">
        <v>422</v>
      </c>
      <c r="C14" s="313"/>
      <c r="D14" s="491"/>
    </row>
    <row r="15" spans="1:4" s="318" customFormat="1">
      <c r="A15" s="311">
        <v>3.1</v>
      </c>
      <c r="B15" s="312" t="s">
        <v>428</v>
      </c>
      <c r="C15" s="487">
        <v>1.5299239954013019E-2</v>
      </c>
      <c r="D15" s="490">
        <f>C15*'5. RWA '!$C$13</f>
        <v>5275873.4264656948</v>
      </c>
    </row>
    <row r="16" spans="1:4" s="318" customFormat="1">
      <c r="A16" s="311">
        <v>3.2</v>
      </c>
      <c r="B16" s="312" t="s">
        <v>429</v>
      </c>
      <c r="C16" s="487">
        <v>2.0420350869670569E-2</v>
      </c>
      <c r="D16" s="490">
        <f>C16*'5. RWA '!$C$13</f>
        <v>7041865.2714928789</v>
      </c>
    </row>
    <row r="17" spans="1:6" s="317" customFormat="1">
      <c r="A17" s="311">
        <v>3.3</v>
      </c>
      <c r="B17" s="312" t="s">
        <v>430</v>
      </c>
      <c r="C17" s="529">
        <v>8.4476236284453499E-2</v>
      </c>
      <c r="D17" s="492">
        <f>C17*'5. RWA '!$C$13</f>
        <v>29131246.488102902</v>
      </c>
    </row>
    <row r="18" spans="1:6" s="316" customFormat="1">
      <c r="A18" s="561" t="s">
        <v>425</v>
      </c>
      <c r="B18" s="562"/>
      <c r="C18" s="493" t="s">
        <v>412</v>
      </c>
      <c r="D18" s="494" t="s">
        <v>413</v>
      </c>
    </row>
    <row r="19" spans="1:6" s="317" customFormat="1">
      <c r="A19" s="314">
        <v>4</v>
      </c>
      <c r="B19" s="312" t="s">
        <v>423</v>
      </c>
      <c r="C19" s="487">
        <f>C7+C11+C12+C13+C15</f>
        <v>6.0299239954013019E-2</v>
      </c>
      <c r="D19" s="485">
        <f>C19*'5. RWA '!$C$13</f>
        <v>20793919.087857001</v>
      </c>
    </row>
    <row r="20" spans="1:6" s="317" customFormat="1">
      <c r="A20" s="314">
        <v>5</v>
      </c>
      <c r="B20" s="312" t="s">
        <v>140</v>
      </c>
      <c r="C20" s="487">
        <f>C8+C11+C12+C13+C16</f>
        <v>8.0420350869670559E-2</v>
      </c>
      <c r="D20" s="485">
        <f>C20*'5. RWA '!$C$13</f>
        <v>27732592.820014618</v>
      </c>
    </row>
    <row r="21" spans="1:6" s="317" customFormat="1" ht="14.4" thickBot="1">
      <c r="A21" s="319" t="s">
        <v>409</v>
      </c>
      <c r="B21" s="320" t="s">
        <v>424</v>
      </c>
      <c r="C21" s="488">
        <f>C9+C11+C12+C13+C17</f>
        <v>0.16447623628445351</v>
      </c>
      <c r="D21" s="486">
        <f>C21*'5. RWA '!$C$13</f>
        <v>56718883.219465233</v>
      </c>
    </row>
    <row r="22" spans="1:6">
      <c r="F22" s="267"/>
    </row>
    <row r="23" spans="1:6" ht="53.4">
      <c r="B23" s="266" t="s">
        <v>507</v>
      </c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4" sqref="B4"/>
    </sheetView>
  </sheetViews>
  <sheetFormatPr defaultColWidth="9.109375" defaultRowHeight="13.8"/>
  <cols>
    <col min="1" max="1" width="10.6640625" style="4" customWidth="1"/>
    <col min="2" max="2" width="91.88671875" style="4" customWidth="1"/>
    <col min="3" max="3" width="53.109375" style="4" customWidth="1"/>
    <col min="4" max="4" width="32.33203125" style="4" customWidth="1"/>
    <col min="5" max="5" width="9.44140625" style="5" customWidth="1"/>
    <col min="6" max="16384" width="9.109375" style="5"/>
  </cols>
  <sheetData>
    <row r="1" spans="1:6">
      <c r="A1" s="337" t="s">
        <v>30</v>
      </c>
      <c r="B1" s="338" t="s">
        <v>439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43921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291</v>
      </c>
      <c r="D4" s="31" t="s">
        <v>73</v>
      </c>
    </row>
    <row r="5" spans="1:6" ht="26.4">
      <c r="A5" s="94" t="s">
        <v>6</v>
      </c>
      <c r="B5" s="237" t="s">
        <v>345</v>
      </c>
      <c r="C5" s="95" t="s">
        <v>93</v>
      </c>
      <c r="D5" s="96" t="s">
        <v>94</v>
      </c>
    </row>
    <row r="6" spans="1:6">
      <c r="A6" s="64">
        <v>1</v>
      </c>
      <c r="B6" s="97" t="s">
        <v>35</v>
      </c>
      <c r="C6" s="98">
        <f>'2.RC'!E7</f>
        <v>3589134.79</v>
      </c>
      <c r="D6" s="99"/>
      <c r="E6" s="100"/>
    </row>
    <row r="7" spans="1:6">
      <c r="A7" s="64">
        <v>2</v>
      </c>
      <c r="B7" s="101" t="s">
        <v>36</v>
      </c>
      <c r="C7" s="102">
        <f>'2.RC'!E8</f>
        <v>71595263.189999998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19539389.380316988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43275371.022330701</v>
      </c>
      <c r="D10" s="103"/>
      <c r="E10" s="100"/>
    </row>
    <row r="11" spans="1:6" ht="14.4">
      <c r="A11" s="64">
        <v>6.1</v>
      </c>
      <c r="B11" s="208" t="s">
        <v>40</v>
      </c>
      <c r="C11" s="104">
        <f>'2.RC'!E12</f>
        <v>182627271.05000001</v>
      </c>
      <c r="D11" s="105"/>
      <c r="E11" s="106"/>
    </row>
    <row r="12" spans="1:6" ht="14.4">
      <c r="A12" s="64">
        <v>6.2</v>
      </c>
      <c r="B12" s="209" t="s">
        <v>41</v>
      </c>
      <c r="C12" s="439">
        <f>'2.RC'!E13</f>
        <v>-11478184.554399999</v>
      </c>
      <c r="D12" s="105"/>
      <c r="E12" s="106"/>
    </row>
    <row r="13" spans="1:6" ht="14.4">
      <c r="A13" s="64" t="s">
        <v>515</v>
      </c>
      <c r="B13" s="209" t="s">
        <v>519</v>
      </c>
      <c r="C13" s="439">
        <v>-3401677.3343999991</v>
      </c>
      <c r="D13" s="105"/>
      <c r="E13" s="106"/>
    </row>
    <row r="14" spans="1:6" ht="14.4">
      <c r="A14" s="64" t="s">
        <v>518</v>
      </c>
      <c r="B14" s="209" t="s">
        <v>514</v>
      </c>
      <c r="C14" s="439">
        <f>-'8. LI2'!C12</f>
        <v>-4533786</v>
      </c>
      <c r="D14" s="105"/>
      <c r="E14" s="106"/>
    </row>
    <row r="15" spans="1:6">
      <c r="A15" s="64">
        <v>6</v>
      </c>
      <c r="B15" s="101" t="s">
        <v>42</v>
      </c>
      <c r="C15" s="107">
        <f>C11+C12</f>
        <v>171149086.49560001</v>
      </c>
      <c r="D15" s="105"/>
      <c r="E15" s="100"/>
    </row>
    <row r="16" spans="1:6">
      <c r="A16" s="64">
        <v>7</v>
      </c>
      <c r="B16" s="101" t="s">
        <v>43</v>
      </c>
      <c r="C16" s="102">
        <f>'2.RC'!E15</f>
        <v>2319331.2010150007</v>
      </c>
      <c r="D16" s="103"/>
      <c r="E16" s="100"/>
    </row>
    <row r="17" spans="1:5">
      <c r="A17" s="64">
        <v>8</v>
      </c>
      <c r="B17" s="235" t="s">
        <v>203</v>
      </c>
      <c r="C17" s="102">
        <f>'2.RC'!E16</f>
        <v>0</v>
      </c>
      <c r="D17" s="103"/>
      <c r="E17" s="100"/>
    </row>
    <row r="18" spans="1:5">
      <c r="A18" s="64">
        <v>9</v>
      </c>
      <c r="B18" s="101" t="s">
        <v>44</v>
      </c>
      <c r="C18" s="102">
        <f>'2.RC'!E17</f>
        <v>0</v>
      </c>
      <c r="D18" s="103"/>
      <c r="E18" s="100"/>
    </row>
    <row r="19" spans="1:5">
      <c r="A19" s="64">
        <v>9.1</v>
      </c>
      <c r="B19" s="108" t="s">
        <v>88</v>
      </c>
      <c r="C19" s="104"/>
      <c r="D19" s="103"/>
      <c r="E19" s="100"/>
    </row>
    <row r="20" spans="1:5">
      <c r="A20" s="64">
        <v>9.1999999999999993</v>
      </c>
      <c r="B20" s="108" t="s">
        <v>89</v>
      </c>
      <c r="C20" s="104"/>
      <c r="D20" s="103"/>
      <c r="E20" s="100"/>
    </row>
    <row r="21" spans="1:5">
      <c r="A21" s="64">
        <v>9.3000000000000007</v>
      </c>
      <c r="B21" s="210" t="s">
        <v>273</v>
      </c>
      <c r="C21" s="104"/>
      <c r="D21" s="103"/>
      <c r="E21" s="100"/>
    </row>
    <row r="22" spans="1:5">
      <c r="A22" s="64">
        <v>10</v>
      </c>
      <c r="B22" s="101" t="s">
        <v>45</v>
      </c>
      <c r="C22" s="102">
        <f>'2.RC'!E18</f>
        <v>821953.47999999952</v>
      </c>
      <c r="D22" s="103"/>
      <c r="E22" s="100"/>
    </row>
    <row r="23" spans="1:5">
      <c r="A23" s="64">
        <v>10.1</v>
      </c>
      <c r="B23" s="108" t="s">
        <v>90</v>
      </c>
      <c r="C23" s="102">
        <f>'9.Capital'!C15</f>
        <v>84928.889999999898</v>
      </c>
      <c r="D23" s="109" t="s">
        <v>92</v>
      </c>
      <c r="E23" s="100"/>
    </row>
    <row r="24" spans="1:5">
      <c r="A24" s="64">
        <v>11</v>
      </c>
      <c r="B24" s="110" t="s">
        <v>46</v>
      </c>
      <c r="C24" s="111">
        <f>'2.RC'!E19</f>
        <v>1101731.7243283787</v>
      </c>
      <c r="D24" s="112"/>
      <c r="E24" s="100"/>
    </row>
    <row r="25" spans="1:5">
      <c r="A25" s="64">
        <v>12</v>
      </c>
      <c r="B25" s="113" t="s">
        <v>47</v>
      </c>
      <c r="C25" s="114">
        <f>SUM(C6:C10,C15:C18,C22,C24)</f>
        <v>313391261.28359115</v>
      </c>
      <c r="D25" s="115"/>
      <c r="E25" s="116"/>
    </row>
    <row r="26" spans="1:5">
      <c r="A26" s="64">
        <v>13</v>
      </c>
      <c r="B26" s="101" t="s">
        <v>49</v>
      </c>
      <c r="C26" s="117">
        <f>'2.RC'!E22</f>
        <v>168452870.48666501</v>
      </c>
      <c r="D26" s="118"/>
      <c r="E26" s="100"/>
    </row>
    <row r="27" spans="1:5">
      <c r="A27" s="64">
        <v>14</v>
      </c>
      <c r="B27" s="101" t="s">
        <v>50</v>
      </c>
      <c r="C27" s="102">
        <f>'2.RC'!E23</f>
        <v>21864679.730000004</v>
      </c>
      <c r="D27" s="103"/>
      <c r="E27" s="100"/>
    </row>
    <row r="28" spans="1:5">
      <c r="A28" s="64">
        <v>15</v>
      </c>
      <c r="B28" s="101" t="s">
        <v>51</v>
      </c>
      <c r="C28" s="102">
        <f>'2.RC'!E24</f>
        <v>0</v>
      </c>
      <c r="D28" s="103"/>
      <c r="E28" s="100"/>
    </row>
    <row r="29" spans="1:5">
      <c r="A29" s="64">
        <v>16</v>
      </c>
      <c r="B29" s="101" t="s">
        <v>52</v>
      </c>
      <c r="C29" s="102">
        <f>'2.RC'!E25</f>
        <v>21773286.079999994</v>
      </c>
      <c r="D29" s="103"/>
      <c r="E29" s="100"/>
    </row>
    <row r="30" spans="1:5">
      <c r="A30" s="64">
        <v>17</v>
      </c>
      <c r="B30" s="101" t="s">
        <v>53</v>
      </c>
      <c r="C30" s="102">
        <f>'2.RC'!E26</f>
        <v>0</v>
      </c>
      <c r="D30" s="103"/>
      <c r="E30" s="100"/>
    </row>
    <row r="31" spans="1:5">
      <c r="A31" s="64">
        <v>18</v>
      </c>
      <c r="B31" s="101" t="s">
        <v>54</v>
      </c>
      <c r="C31" s="102">
        <f>'2.RC'!E27</f>
        <v>20882277.763180003</v>
      </c>
      <c r="D31" s="103"/>
      <c r="E31" s="100"/>
    </row>
    <row r="32" spans="1:5">
      <c r="A32" s="64">
        <v>19</v>
      </c>
      <c r="B32" s="101" t="s">
        <v>55</v>
      </c>
      <c r="C32" s="102">
        <f>'2.RC'!E28</f>
        <v>1307222.0699999998</v>
      </c>
      <c r="D32" s="103"/>
      <c r="E32" s="100"/>
    </row>
    <row r="33" spans="1:5">
      <c r="A33" s="64">
        <v>20</v>
      </c>
      <c r="B33" s="101" t="s">
        <v>56</v>
      </c>
      <c r="C33" s="102">
        <f>'2.RC'!E29</f>
        <v>1187987.5601999997</v>
      </c>
      <c r="D33" s="103"/>
      <c r="E33" s="100"/>
    </row>
    <row r="34" spans="1:5">
      <c r="A34" s="64">
        <v>21</v>
      </c>
      <c r="B34" s="110" t="s">
        <v>57</v>
      </c>
      <c r="C34" s="111">
        <f>'2.RC'!E30</f>
        <v>0</v>
      </c>
      <c r="D34" s="112"/>
      <c r="E34" s="100"/>
    </row>
    <row r="35" spans="1:5">
      <c r="A35" s="64">
        <v>21.1</v>
      </c>
      <c r="B35" s="119" t="s">
        <v>91</v>
      </c>
      <c r="C35" s="120">
        <f>'9.Capital'!C44</f>
        <v>0</v>
      </c>
      <c r="D35" s="109" t="s">
        <v>448</v>
      </c>
      <c r="E35" s="100"/>
    </row>
    <row r="36" spans="1:5">
      <c r="A36" s="64">
        <v>22</v>
      </c>
      <c r="B36" s="113" t="s">
        <v>58</v>
      </c>
      <c r="C36" s="114">
        <f>SUM(C26:C34)</f>
        <v>235468323.69004503</v>
      </c>
      <c r="D36" s="115"/>
      <c r="E36" s="116"/>
    </row>
    <row r="37" spans="1:5">
      <c r="A37" s="64">
        <v>23</v>
      </c>
      <c r="B37" s="110" t="s">
        <v>60</v>
      </c>
      <c r="C37" s="102">
        <f>'9.Capital'!C7</f>
        <v>69161600</v>
      </c>
      <c r="D37" s="109" t="s">
        <v>449</v>
      </c>
      <c r="E37" s="100"/>
    </row>
    <row r="38" spans="1:5">
      <c r="A38" s="64">
        <v>24</v>
      </c>
      <c r="B38" s="110" t="s">
        <v>61</v>
      </c>
      <c r="C38" s="102"/>
      <c r="D38" s="103"/>
      <c r="E38" s="100"/>
    </row>
    <row r="39" spans="1:5">
      <c r="A39" s="64">
        <v>25</v>
      </c>
      <c r="B39" s="110" t="s">
        <v>62</v>
      </c>
      <c r="C39" s="102"/>
      <c r="D39" s="103"/>
      <c r="E39" s="100"/>
    </row>
    <row r="40" spans="1:5">
      <c r="A40" s="64">
        <v>26</v>
      </c>
      <c r="B40" s="110" t="s">
        <v>63</v>
      </c>
      <c r="C40" s="102"/>
      <c r="D40" s="103"/>
      <c r="E40" s="100"/>
    </row>
    <row r="41" spans="1:5">
      <c r="A41" s="64">
        <v>27</v>
      </c>
      <c r="B41" s="110" t="s">
        <v>64</v>
      </c>
      <c r="C41" s="102"/>
      <c r="D41" s="103"/>
      <c r="E41" s="100"/>
    </row>
    <row r="42" spans="1:5">
      <c r="A42" s="64">
        <v>28</v>
      </c>
      <c r="B42" s="110" t="s">
        <v>65</v>
      </c>
      <c r="C42" s="102">
        <f>'9.Capital'!C11</f>
        <v>8761337.5775684863</v>
      </c>
      <c r="D42" s="109" t="s">
        <v>450</v>
      </c>
      <c r="E42" s="100"/>
    </row>
    <row r="43" spans="1:5">
      <c r="A43" s="64">
        <v>29</v>
      </c>
      <c r="B43" s="110" t="s">
        <v>66</v>
      </c>
      <c r="C43" s="102"/>
      <c r="D43" s="103"/>
      <c r="E43" s="100"/>
    </row>
    <row r="44" spans="1:5" ht="14.4" thickBot="1">
      <c r="A44" s="121">
        <v>30</v>
      </c>
      <c r="B44" s="122" t="s">
        <v>271</v>
      </c>
      <c r="C44" s="123">
        <f>SUM(C37:C43)</f>
        <v>77922937.577568486</v>
      </c>
      <c r="D44" s="124"/>
      <c r="E44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80.5546875" style="4" bestFit="1" customWidth="1"/>
    <col min="3" max="3" width="13" style="4" bestFit="1" customWidth="1"/>
    <col min="4" max="4" width="16.44140625" style="4" bestFit="1" customWidth="1"/>
    <col min="5" max="5" width="13" style="4" bestFit="1" customWidth="1"/>
    <col min="6" max="6" width="16.44140625" style="4" bestFit="1" customWidth="1"/>
    <col min="7" max="7" width="13" style="4" bestFit="1" customWidth="1"/>
    <col min="8" max="8" width="13.33203125" style="4" bestFit="1" customWidth="1"/>
    <col min="9" max="9" width="13" style="4" bestFit="1" customWidth="1"/>
    <col min="10" max="10" width="13.33203125" style="4" bestFit="1" customWidth="1"/>
    <col min="11" max="11" width="13" style="4" bestFit="1" customWidth="1"/>
    <col min="12" max="12" width="13" style="29" bestFit="1" customWidth="1"/>
    <col min="13" max="13" width="16.33203125" style="29" bestFit="1" customWidth="1"/>
    <col min="14" max="14" width="13" style="29" bestFit="1" customWidth="1"/>
    <col min="15" max="17" width="12.33203125" style="29" bestFit="1" customWidth="1"/>
    <col min="18" max="18" width="13" style="29" bestFit="1" customWidth="1"/>
    <col min="19" max="19" width="18.5546875" style="29" customWidth="1"/>
    <col min="20" max="16384" width="9.109375" style="29"/>
  </cols>
  <sheetData>
    <row r="1" spans="1:19">
      <c r="A1" s="337" t="s">
        <v>30</v>
      </c>
      <c r="B1" s="338" t="s">
        <v>439</v>
      </c>
    </row>
    <row r="2" spans="1:19">
      <c r="A2" s="337" t="s">
        <v>31</v>
      </c>
      <c r="B2" s="339">
        <f>'1. key ratios '!B2</f>
        <v>43921</v>
      </c>
    </row>
    <row r="4" spans="1:19" ht="27" thickBot="1">
      <c r="A4" s="4" t="s">
        <v>253</v>
      </c>
      <c r="B4" s="254" t="s">
        <v>380</v>
      </c>
    </row>
    <row r="5" spans="1:19" s="244" customFormat="1" ht="13.8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363</v>
      </c>
      <c r="P5" s="241" t="s">
        <v>364</v>
      </c>
      <c r="Q5" s="241" t="s">
        <v>365</v>
      </c>
      <c r="R5" s="242" t="s">
        <v>366</v>
      </c>
      <c r="S5" s="243" t="s">
        <v>367</v>
      </c>
    </row>
    <row r="6" spans="1:19" s="244" customFormat="1" ht="99" customHeight="1">
      <c r="A6" s="245"/>
      <c r="B6" s="567" t="s">
        <v>368</v>
      </c>
      <c r="C6" s="563">
        <v>0</v>
      </c>
      <c r="D6" s="564"/>
      <c r="E6" s="563">
        <v>0.2</v>
      </c>
      <c r="F6" s="564"/>
      <c r="G6" s="563">
        <v>0.35</v>
      </c>
      <c r="H6" s="564"/>
      <c r="I6" s="563">
        <v>0.5</v>
      </c>
      <c r="J6" s="564"/>
      <c r="K6" s="563">
        <v>0.75</v>
      </c>
      <c r="L6" s="564"/>
      <c r="M6" s="563">
        <v>1</v>
      </c>
      <c r="N6" s="564"/>
      <c r="O6" s="563">
        <v>1.5</v>
      </c>
      <c r="P6" s="564"/>
      <c r="Q6" s="563">
        <v>2.5</v>
      </c>
      <c r="R6" s="564"/>
      <c r="S6" s="565" t="s">
        <v>252</v>
      </c>
    </row>
    <row r="7" spans="1:19" s="244" customFormat="1" ht="30.75" customHeight="1">
      <c r="A7" s="245"/>
      <c r="B7" s="568"/>
      <c r="C7" s="236" t="s">
        <v>255</v>
      </c>
      <c r="D7" s="236" t="s">
        <v>254</v>
      </c>
      <c r="E7" s="236" t="s">
        <v>255</v>
      </c>
      <c r="F7" s="236" t="s">
        <v>254</v>
      </c>
      <c r="G7" s="236" t="s">
        <v>255</v>
      </c>
      <c r="H7" s="236" t="s">
        <v>254</v>
      </c>
      <c r="I7" s="236" t="s">
        <v>255</v>
      </c>
      <c r="J7" s="236" t="s">
        <v>254</v>
      </c>
      <c r="K7" s="236" t="s">
        <v>255</v>
      </c>
      <c r="L7" s="236" t="s">
        <v>254</v>
      </c>
      <c r="M7" s="236" t="s">
        <v>255</v>
      </c>
      <c r="N7" s="236" t="s">
        <v>254</v>
      </c>
      <c r="O7" s="236" t="s">
        <v>255</v>
      </c>
      <c r="P7" s="236" t="s">
        <v>254</v>
      </c>
      <c r="Q7" s="236" t="s">
        <v>255</v>
      </c>
      <c r="R7" s="236" t="s">
        <v>254</v>
      </c>
      <c r="S7" s="566"/>
    </row>
    <row r="8" spans="1:19" s="127" customFormat="1">
      <c r="A8" s="125">
        <v>1</v>
      </c>
      <c r="B8" s="1" t="s">
        <v>96</v>
      </c>
      <c r="C8" s="126">
        <v>27376937.878462385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77269864.44370538</v>
      </c>
      <c r="N8" s="126"/>
      <c r="O8" s="126"/>
      <c r="P8" s="126"/>
      <c r="Q8" s="126"/>
      <c r="R8" s="126"/>
      <c r="S8" s="442">
        <f>$C$6*SUM(C8:D8)+$E$6*SUM(E8:F8)+$G$6*SUM(G8:H8)+$I$6*SUM(I8:J8)+$K$6*SUM(K8:L8)+$M$6*SUM(M8:N8)+$O$6*SUM(O8:P8)+$Q$6*SUM(Q8:R8)</f>
        <v>77269864.44370538</v>
      </c>
    </row>
    <row r="9" spans="1:19" s="127" customFormat="1">
      <c r="A9" s="125">
        <v>2</v>
      </c>
      <c r="B9" s="1" t="s">
        <v>97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2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2">
        <f t="shared" si="0"/>
        <v>0</v>
      </c>
    </row>
    <row r="11" spans="1:19" s="127" customFormat="1">
      <c r="A11" s="125">
        <v>4</v>
      </c>
      <c r="B11" s="1" t="s">
        <v>98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2">
        <f t="shared" si="0"/>
        <v>0</v>
      </c>
    </row>
    <row r="12" spans="1:19" s="127" customFormat="1">
      <c r="A12" s="125">
        <v>5</v>
      </c>
      <c r="B12" s="1" t="s">
        <v>99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2">
        <f t="shared" si="0"/>
        <v>0</v>
      </c>
    </row>
    <row r="13" spans="1:19" s="127" customFormat="1">
      <c r="A13" s="125">
        <v>6</v>
      </c>
      <c r="B13" s="1" t="s">
        <v>100</v>
      </c>
      <c r="C13" s="126"/>
      <c r="D13" s="126"/>
      <c r="E13" s="126">
        <v>25934.52</v>
      </c>
      <c r="F13" s="126">
        <v>0</v>
      </c>
      <c r="G13" s="126"/>
      <c r="H13" s="126"/>
      <c r="I13" s="126">
        <v>20077801.885146994</v>
      </c>
      <c r="J13" s="126">
        <v>1443796.3399999999</v>
      </c>
      <c r="K13" s="126"/>
      <c r="L13" s="126"/>
      <c r="M13" s="126">
        <v>1334941.4751699965</v>
      </c>
      <c r="N13" s="126">
        <v>23793337.045000006</v>
      </c>
      <c r="O13" s="126"/>
      <c r="P13" s="126"/>
      <c r="Q13" s="126"/>
      <c r="R13" s="126"/>
      <c r="S13" s="442">
        <f t="shared" si="0"/>
        <v>35894264.536743499</v>
      </c>
    </row>
    <row r="14" spans="1:19" s="127" customFormat="1">
      <c r="A14" s="125">
        <v>7</v>
      </c>
      <c r="B14" s="1" t="s">
        <v>101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180031466.23318022</v>
      </c>
      <c r="N14" s="126">
        <v>22716514.285</v>
      </c>
      <c r="O14" s="126"/>
      <c r="P14" s="126"/>
      <c r="Q14" s="126"/>
      <c r="R14" s="126"/>
      <c r="S14" s="442">
        <f t="shared" si="0"/>
        <v>202747980.51818022</v>
      </c>
    </row>
    <row r="15" spans="1:19" s="127" customFormat="1">
      <c r="A15" s="125">
        <v>8</v>
      </c>
      <c r="B15" s="1" t="s">
        <v>102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>
        <v>38672.64499999999</v>
      </c>
      <c r="O15" s="126"/>
      <c r="P15" s="126"/>
      <c r="Q15" s="126"/>
      <c r="R15" s="126"/>
      <c r="S15" s="442">
        <f t="shared" si="0"/>
        <v>38672.64499999999</v>
      </c>
    </row>
    <row r="16" spans="1:19" s="127" customFormat="1">
      <c r="A16" s="125">
        <v>9</v>
      </c>
      <c r="B16" s="1" t="s">
        <v>103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442">
        <f t="shared" si="0"/>
        <v>0</v>
      </c>
    </row>
    <row r="17" spans="1:19" s="127" customFormat="1">
      <c r="A17" s="125">
        <v>10</v>
      </c>
      <c r="B17" s="1" t="s">
        <v>104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2401623.399999999</v>
      </c>
      <c r="N17" s="126"/>
      <c r="O17" s="126"/>
      <c r="P17" s="126"/>
      <c r="Q17" s="126"/>
      <c r="R17" s="126"/>
      <c r="S17" s="442">
        <f t="shared" si="0"/>
        <v>2401623.399999999</v>
      </c>
    </row>
    <row r="18" spans="1:19" s="127" customFormat="1">
      <c r="A18" s="125">
        <v>11</v>
      </c>
      <c r="B18" s="1" t="s">
        <v>105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2">
        <f t="shared" si="0"/>
        <v>0</v>
      </c>
    </row>
    <row r="19" spans="1:19" s="127" customFormat="1">
      <c r="A19" s="125">
        <v>12</v>
      </c>
      <c r="B19" s="1" t="s">
        <v>106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2">
        <f t="shared" si="0"/>
        <v>0</v>
      </c>
    </row>
    <row r="20" spans="1:19" s="127" customFormat="1">
      <c r="A20" s="125">
        <v>13</v>
      </c>
      <c r="B20" s="1" t="s">
        <v>251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2">
        <f t="shared" si="0"/>
        <v>0</v>
      </c>
    </row>
    <row r="21" spans="1:19" s="127" customFormat="1">
      <c r="A21" s="125">
        <v>14</v>
      </c>
      <c r="B21" s="1" t="s">
        <v>108</v>
      </c>
      <c r="C21" s="126">
        <v>3589134.79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9567793.4273283798</v>
      </c>
      <c r="N21" s="126"/>
      <c r="O21" s="126">
        <v>0</v>
      </c>
      <c r="P21" s="126"/>
      <c r="Q21" s="126">
        <v>0</v>
      </c>
      <c r="R21" s="126"/>
      <c r="S21" s="442">
        <f t="shared" si="0"/>
        <v>9567793.4273283798</v>
      </c>
    </row>
    <row r="22" spans="1:19" ht="13.8" thickBot="1">
      <c r="A22" s="128"/>
      <c r="B22" s="129" t="s">
        <v>109</v>
      </c>
      <c r="C22" s="440">
        <f>SUM(C8:C21)</f>
        <v>30966072.668462384</v>
      </c>
      <c r="D22" s="440">
        <f t="shared" ref="D22:J22" si="1">SUM(D8:D21)</f>
        <v>0</v>
      </c>
      <c r="E22" s="440">
        <f t="shared" si="1"/>
        <v>25934.52</v>
      </c>
      <c r="F22" s="440">
        <f t="shared" si="1"/>
        <v>0</v>
      </c>
      <c r="G22" s="440">
        <f t="shared" si="1"/>
        <v>0</v>
      </c>
      <c r="H22" s="440">
        <f t="shared" si="1"/>
        <v>0</v>
      </c>
      <c r="I22" s="440">
        <f t="shared" si="1"/>
        <v>20077801.885146994</v>
      </c>
      <c r="J22" s="440">
        <f t="shared" si="1"/>
        <v>1443796.3399999999</v>
      </c>
      <c r="K22" s="440">
        <f t="shared" ref="K22:S22" si="2">SUM(K8:K21)</f>
        <v>0</v>
      </c>
      <c r="L22" s="440">
        <f t="shared" si="2"/>
        <v>0</v>
      </c>
      <c r="M22" s="440">
        <f t="shared" si="2"/>
        <v>270605688.97938401</v>
      </c>
      <c r="N22" s="440">
        <f t="shared" si="2"/>
        <v>46548523.975000009</v>
      </c>
      <c r="O22" s="440">
        <f t="shared" si="2"/>
        <v>0</v>
      </c>
      <c r="P22" s="440">
        <f t="shared" si="2"/>
        <v>0</v>
      </c>
      <c r="Q22" s="440">
        <f t="shared" si="2"/>
        <v>0</v>
      </c>
      <c r="R22" s="440">
        <f t="shared" si="2"/>
        <v>0</v>
      </c>
      <c r="S22" s="441">
        <f t="shared" si="2"/>
        <v>327920198.97095746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63.6640625" style="4" bestFit="1" customWidth="1"/>
    <col min="3" max="3" width="19" style="4" customWidth="1"/>
    <col min="4" max="4" width="19.5546875" style="4" customWidth="1"/>
    <col min="5" max="5" width="31.109375" style="4" customWidth="1"/>
    <col min="6" max="6" width="29.109375" style="4" customWidth="1"/>
    <col min="7" max="7" width="28.5546875" style="4" customWidth="1"/>
    <col min="8" max="8" width="26.44140625" style="4" customWidth="1"/>
    <col min="9" max="9" width="23.6640625" style="4" customWidth="1"/>
    <col min="10" max="10" width="21.5546875" style="4" customWidth="1"/>
    <col min="11" max="11" width="15.6640625" style="4" customWidth="1"/>
    <col min="12" max="12" width="13.33203125" style="4" customWidth="1"/>
    <col min="13" max="13" width="20.88671875" style="4" customWidth="1"/>
    <col min="14" max="14" width="19.33203125" style="4" customWidth="1"/>
    <col min="15" max="15" width="18.44140625" style="4" customWidth="1"/>
    <col min="16" max="16" width="19" style="4" customWidth="1"/>
    <col min="17" max="17" width="20.33203125" style="4" customWidth="1"/>
    <col min="18" max="18" width="18" style="4" customWidth="1"/>
    <col min="19" max="19" width="36" style="4" customWidth="1"/>
    <col min="20" max="20" width="26.109375" style="4" customWidth="1"/>
    <col min="21" max="21" width="24.88671875" style="4" customWidth="1"/>
    <col min="22" max="22" width="20" style="4" customWidth="1"/>
    <col min="23" max="16384" width="9.109375" style="29"/>
  </cols>
  <sheetData>
    <row r="1" spans="1:22">
      <c r="A1" s="337" t="s">
        <v>30</v>
      </c>
      <c r="B1" s="338" t="s">
        <v>439</v>
      </c>
    </row>
    <row r="2" spans="1:22">
      <c r="A2" s="337" t="s">
        <v>31</v>
      </c>
      <c r="B2" s="339">
        <f>'1. key ratios '!B2</f>
        <v>43921</v>
      </c>
    </row>
    <row r="4" spans="1:22" ht="13.8" thickBot="1">
      <c r="A4" s="4" t="s">
        <v>371</v>
      </c>
      <c r="B4" s="130" t="s">
        <v>95</v>
      </c>
      <c r="V4" s="31" t="s">
        <v>73</v>
      </c>
    </row>
    <row r="5" spans="1:22" ht="12.75" customHeight="1">
      <c r="A5" s="131"/>
      <c r="B5" s="132"/>
      <c r="C5" s="569" t="s">
        <v>282</v>
      </c>
      <c r="D5" s="570"/>
      <c r="E5" s="570"/>
      <c r="F5" s="570"/>
      <c r="G5" s="570"/>
      <c r="H5" s="570"/>
      <c r="I5" s="570"/>
      <c r="J5" s="570"/>
      <c r="K5" s="570"/>
      <c r="L5" s="571"/>
      <c r="M5" s="572" t="s">
        <v>283</v>
      </c>
      <c r="N5" s="573"/>
      <c r="O5" s="573"/>
      <c r="P5" s="573"/>
      <c r="Q5" s="573"/>
      <c r="R5" s="573"/>
      <c r="S5" s="574"/>
      <c r="T5" s="577" t="s">
        <v>369</v>
      </c>
      <c r="U5" s="577" t="s">
        <v>370</v>
      </c>
      <c r="V5" s="575" t="s">
        <v>121</v>
      </c>
    </row>
    <row r="6" spans="1:22" s="70" customFormat="1" ht="105.6">
      <c r="A6" s="67"/>
      <c r="B6" s="133"/>
      <c r="C6" s="134" t="s">
        <v>110</v>
      </c>
      <c r="D6" s="213" t="s">
        <v>111</v>
      </c>
      <c r="E6" s="157" t="s">
        <v>285</v>
      </c>
      <c r="F6" s="157" t="s">
        <v>286</v>
      </c>
      <c r="G6" s="213" t="s">
        <v>289</v>
      </c>
      <c r="H6" s="213" t="s">
        <v>284</v>
      </c>
      <c r="I6" s="213" t="s">
        <v>112</v>
      </c>
      <c r="J6" s="213" t="s">
        <v>113</v>
      </c>
      <c r="K6" s="135" t="s">
        <v>114</v>
      </c>
      <c r="L6" s="136" t="s">
        <v>115</v>
      </c>
      <c r="M6" s="134" t="s">
        <v>287</v>
      </c>
      <c r="N6" s="135" t="s">
        <v>116</v>
      </c>
      <c r="O6" s="135" t="s">
        <v>117</v>
      </c>
      <c r="P6" s="135" t="s">
        <v>118</v>
      </c>
      <c r="Q6" s="135" t="s">
        <v>119</v>
      </c>
      <c r="R6" s="135" t="s">
        <v>120</v>
      </c>
      <c r="S6" s="238" t="s">
        <v>288</v>
      </c>
      <c r="T6" s="578"/>
      <c r="U6" s="578"/>
      <c r="V6" s="576"/>
    </row>
    <row r="7" spans="1:22" s="127" customFormat="1">
      <c r="A7" s="137">
        <v>1</v>
      </c>
      <c r="B7" s="1" t="s">
        <v>96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7"/>
      <c r="U7" s="447"/>
      <c r="V7" s="446">
        <f>SUM(C7:S7)</f>
        <v>0</v>
      </c>
    </row>
    <row r="8" spans="1:22" s="127" customFormat="1">
      <c r="A8" s="137">
        <v>2</v>
      </c>
      <c r="B8" s="1" t="s">
        <v>97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7"/>
      <c r="U8" s="447"/>
      <c r="V8" s="446">
        <f t="shared" ref="V8:V20" si="0">SUM(C8:S8)</f>
        <v>0</v>
      </c>
    </row>
    <row r="9" spans="1:22" s="127" customFormat="1">
      <c r="A9" s="137">
        <v>3</v>
      </c>
      <c r="B9" s="1" t="s">
        <v>275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7"/>
      <c r="U9" s="447"/>
      <c r="V9" s="446">
        <f t="shared" si="0"/>
        <v>0</v>
      </c>
    </row>
    <row r="10" spans="1:22" s="127" customFormat="1">
      <c r="A10" s="137">
        <v>4</v>
      </c>
      <c r="B10" s="1" t="s">
        <v>98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7"/>
      <c r="U10" s="447"/>
      <c r="V10" s="446">
        <f t="shared" si="0"/>
        <v>0</v>
      </c>
    </row>
    <row r="11" spans="1:22" s="127" customFormat="1">
      <c r="A11" s="137">
        <v>5</v>
      </c>
      <c r="B11" s="1" t="s">
        <v>99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7"/>
      <c r="U11" s="447"/>
      <c r="V11" s="446">
        <f t="shared" si="0"/>
        <v>0</v>
      </c>
    </row>
    <row r="12" spans="1:22" s="127" customFormat="1">
      <c r="A12" s="137">
        <v>6</v>
      </c>
      <c r="B12" s="1" t="s">
        <v>100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7"/>
      <c r="U12" s="447"/>
      <c r="V12" s="446">
        <f t="shared" si="0"/>
        <v>0</v>
      </c>
    </row>
    <row r="13" spans="1:22" s="127" customFormat="1">
      <c r="A13" s="137">
        <v>7</v>
      </c>
      <c r="B13" s="1" t="s">
        <v>101</v>
      </c>
      <c r="C13" s="138"/>
      <c r="D13" s="126">
        <v>828845.60000000009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7">
        <v>0</v>
      </c>
      <c r="U13" s="447">
        <v>828845.60000000009</v>
      </c>
      <c r="V13" s="446">
        <f t="shared" si="0"/>
        <v>828845.60000000009</v>
      </c>
    </row>
    <row r="14" spans="1:22" s="127" customFormat="1">
      <c r="A14" s="137">
        <v>8</v>
      </c>
      <c r="B14" s="1" t="s">
        <v>102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7">
        <v>0</v>
      </c>
      <c r="U14" s="447"/>
      <c r="V14" s="446">
        <f t="shared" si="0"/>
        <v>0</v>
      </c>
    </row>
    <row r="15" spans="1:22" s="127" customFormat="1">
      <c r="A15" s="137">
        <v>9</v>
      </c>
      <c r="B15" s="1" t="s">
        <v>103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7"/>
      <c r="U15" s="447"/>
      <c r="V15" s="446">
        <f t="shared" si="0"/>
        <v>0</v>
      </c>
    </row>
    <row r="16" spans="1:22" s="127" customFormat="1">
      <c r="A16" s="137">
        <v>10</v>
      </c>
      <c r="B16" s="1" t="s">
        <v>104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7"/>
      <c r="U16" s="447"/>
      <c r="V16" s="446">
        <f t="shared" si="0"/>
        <v>0</v>
      </c>
    </row>
    <row r="17" spans="1:22" s="127" customFormat="1">
      <c r="A17" s="137">
        <v>11</v>
      </c>
      <c r="B17" s="1" t="s">
        <v>105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7"/>
      <c r="U17" s="447"/>
      <c r="V17" s="446">
        <f t="shared" si="0"/>
        <v>0</v>
      </c>
    </row>
    <row r="18" spans="1:22" s="127" customFormat="1">
      <c r="A18" s="137">
        <v>12</v>
      </c>
      <c r="B18" s="1" t="s">
        <v>106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7"/>
      <c r="U18" s="447"/>
      <c r="V18" s="446">
        <f t="shared" si="0"/>
        <v>0</v>
      </c>
    </row>
    <row r="19" spans="1:22" s="127" customFormat="1">
      <c r="A19" s="137">
        <v>13</v>
      </c>
      <c r="B19" s="1" t="s">
        <v>107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7"/>
      <c r="U19" s="447"/>
      <c r="V19" s="446">
        <f t="shared" si="0"/>
        <v>0</v>
      </c>
    </row>
    <row r="20" spans="1:22" s="127" customFormat="1">
      <c r="A20" s="137">
        <v>14</v>
      </c>
      <c r="B20" s="1" t="s">
        <v>108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7"/>
      <c r="U20" s="447"/>
      <c r="V20" s="446">
        <f t="shared" si="0"/>
        <v>0</v>
      </c>
    </row>
    <row r="21" spans="1:22" ht="13.8" thickBot="1">
      <c r="A21" s="128"/>
      <c r="B21" s="140" t="s">
        <v>109</v>
      </c>
      <c r="C21" s="443">
        <f>SUM(C7:C20)</f>
        <v>0</v>
      </c>
      <c r="D21" s="440">
        <f t="shared" ref="D21:V21" si="1">SUM(D7:D20)</f>
        <v>828845.60000000009</v>
      </c>
      <c r="E21" s="440">
        <f t="shared" si="1"/>
        <v>0</v>
      </c>
      <c r="F21" s="440">
        <f t="shared" si="1"/>
        <v>0</v>
      </c>
      <c r="G21" s="440">
        <f t="shared" si="1"/>
        <v>0</v>
      </c>
      <c r="H21" s="440">
        <f t="shared" si="1"/>
        <v>0</v>
      </c>
      <c r="I21" s="440">
        <f t="shared" si="1"/>
        <v>0</v>
      </c>
      <c r="J21" s="440">
        <f t="shared" si="1"/>
        <v>0</v>
      </c>
      <c r="K21" s="440">
        <f t="shared" si="1"/>
        <v>0</v>
      </c>
      <c r="L21" s="444">
        <f t="shared" si="1"/>
        <v>0</v>
      </c>
      <c r="M21" s="443">
        <f t="shared" si="1"/>
        <v>0</v>
      </c>
      <c r="N21" s="440">
        <f t="shared" si="1"/>
        <v>0</v>
      </c>
      <c r="O21" s="440">
        <f t="shared" si="1"/>
        <v>0</v>
      </c>
      <c r="P21" s="440">
        <f t="shared" si="1"/>
        <v>0</v>
      </c>
      <c r="Q21" s="440">
        <f t="shared" si="1"/>
        <v>0</v>
      </c>
      <c r="R21" s="440">
        <f t="shared" si="1"/>
        <v>0</v>
      </c>
      <c r="S21" s="444">
        <f>SUM(S7:S20)</f>
        <v>0</v>
      </c>
      <c r="T21" s="444">
        <f>SUM(T7:T20)</f>
        <v>0</v>
      </c>
      <c r="U21" s="444">
        <f t="shared" ref="U21" si="2">SUM(U7:U20)</f>
        <v>828845.60000000009</v>
      </c>
      <c r="V21" s="445">
        <f t="shared" si="1"/>
        <v>828845.60000000009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8"/>
  <cols>
    <col min="1" max="1" width="10.5546875" style="4" bestFit="1" customWidth="1"/>
    <col min="2" max="2" width="101.88671875" style="4" customWidth="1"/>
    <col min="3" max="3" width="13.6640625" style="246" customWidth="1"/>
    <col min="4" max="4" width="14.88671875" style="246" bestFit="1" customWidth="1"/>
    <col min="5" max="5" width="17.6640625" style="246" customWidth="1"/>
    <col min="6" max="6" width="15.88671875" style="246" customWidth="1"/>
    <col min="7" max="7" width="17.44140625" style="246" customWidth="1"/>
    <col min="8" max="8" width="15.33203125" style="246" customWidth="1"/>
    <col min="9" max="16384" width="9.109375" style="29"/>
  </cols>
  <sheetData>
    <row r="1" spans="1:9">
      <c r="A1" s="337" t="s">
        <v>30</v>
      </c>
      <c r="B1" s="338" t="s">
        <v>439</v>
      </c>
    </row>
    <row r="2" spans="1:9">
      <c r="A2" s="337" t="s">
        <v>31</v>
      </c>
      <c r="B2" s="339">
        <f>'1. key ratios '!B2</f>
        <v>43921</v>
      </c>
    </row>
    <row r="4" spans="1:9" ht="14.4" thickBot="1">
      <c r="A4" s="2" t="s">
        <v>257</v>
      </c>
      <c r="B4" s="130" t="s">
        <v>381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81" t="s">
        <v>256</v>
      </c>
      <c r="C6" s="583" t="s">
        <v>373</v>
      </c>
      <c r="D6" s="585" t="s">
        <v>372</v>
      </c>
      <c r="E6" s="586"/>
      <c r="F6" s="583" t="s">
        <v>377</v>
      </c>
      <c r="G6" s="583" t="s">
        <v>378</v>
      </c>
      <c r="H6" s="579" t="s">
        <v>376</v>
      </c>
    </row>
    <row r="7" spans="1:9" ht="41.4">
      <c r="A7" s="146"/>
      <c r="B7" s="582"/>
      <c r="C7" s="584"/>
      <c r="D7" s="250" t="s">
        <v>375</v>
      </c>
      <c r="E7" s="250" t="s">
        <v>374</v>
      </c>
      <c r="F7" s="584"/>
      <c r="G7" s="584"/>
      <c r="H7" s="580"/>
      <c r="I7" s="143"/>
    </row>
    <row r="8" spans="1:9">
      <c r="A8" s="144">
        <v>1</v>
      </c>
      <c r="B8" s="1" t="s">
        <v>96</v>
      </c>
      <c r="C8" s="251">
        <f>'11. CRWA '!C8+'11. CRWA '!E8+'11. CRWA '!G8+'11. CRWA '!I8+'11. CRWA '!K8+'11. CRWA '!M8+'11. CRWA '!O8+'11. CRWA '!Q8</f>
        <v>104646802.32216777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77269864.44370538</v>
      </c>
      <c r="G8" s="253">
        <f>F8-'12. CRM'!V7</f>
        <v>77269864.44370538</v>
      </c>
      <c r="H8" s="449">
        <f>IFERROR(G8/(C8+E8),0)</f>
        <v>0.73838724862151839</v>
      </c>
    </row>
    <row r="9" spans="1:9" ht="15" customHeight="1">
      <c r="A9" s="144">
        <v>2</v>
      </c>
      <c r="B9" s="1" t="s">
        <v>97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49">
        <f t="shared" ref="H9:H21" si="0">IFERROR(G9/(C9+E9),0)</f>
        <v>0</v>
      </c>
    </row>
    <row r="10" spans="1:9">
      <c r="A10" s="144">
        <v>3</v>
      </c>
      <c r="B10" s="1" t="s">
        <v>275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49">
        <f t="shared" si="0"/>
        <v>0</v>
      </c>
    </row>
    <row r="11" spans="1:9">
      <c r="A11" s="144">
        <v>4</v>
      </c>
      <c r="B11" s="1" t="s">
        <v>98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49">
        <f t="shared" si="0"/>
        <v>0</v>
      </c>
    </row>
    <row r="12" spans="1:9">
      <c r="A12" s="144">
        <v>5</v>
      </c>
      <c r="B12" s="1" t="s">
        <v>99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49">
        <f t="shared" si="0"/>
        <v>0</v>
      </c>
    </row>
    <row r="13" spans="1:9">
      <c r="A13" s="144">
        <v>6</v>
      </c>
      <c r="B13" s="1" t="s">
        <v>100</v>
      </c>
      <c r="C13" s="251">
        <f>'11. CRWA '!C13+'11. CRWA '!E13+'11. CRWA '!G13+'11. CRWA '!I13+'11. CRWA '!K13+'11. CRWA '!M13+'11. CRWA '!O13+'11. CRWA '!Q13</f>
        <v>21438677.880316991</v>
      </c>
      <c r="D13" s="252">
        <f>'11. CRWA '!D13+'11. CRWA '!F13+'11. CRWA '!H13+'11. CRWA '!J13+'11. CRWA '!L13+'11. CRWA '!N13+'11. CRWA '!P13+'11. CRWA '!R13</f>
        <v>25237133.385000005</v>
      </c>
      <c r="E13" s="251">
        <f>'11. CRWA '!D13+'11. CRWA '!F13+'11. CRWA '!H13+'11. CRWA '!J13+'11. CRWA '!L13+'11. CRWA '!N13+'11. CRWA '!P13+'11. CRWA '!R13</f>
        <v>25237133.385000005</v>
      </c>
      <c r="F13" s="251">
        <f>'11. CRWA '!S13</f>
        <v>35894264.536743499</v>
      </c>
      <c r="G13" s="253">
        <f>F13-'12. CRM'!V12</f>
        <v>35894264.536743499</v>
      </c>
      <c r="H13" s="449">
        <f t="shared" si="0"/>
        <v>0.7690121192047743</v>
      </c>
    </row>
    <row r="14" spans="1:9">
      <c r="A14" s="144">
        <v>7</v>
      </c>
      <c r="B14" s="1" t="s">
        <v>101</v>
      </c>
      <c r="C14" s="251">
        <f>'11. CRWA '!C14+'11. CRWA '!E14+'11. CRWA '!G14+'11. CRWA '!I14+'11. CRWA '!K14+'11. CRWA '!M14+'11. CRWA '!O14+'11. CRWA '!Q14</f>
        <v>180031466.23318022</v>
      </c>
      <c r="D14" s="252">
        <f>'4. Off-Balance'!E7-D13</f>
        <v>52833231.684999987</v>
      </c>
      <c r="E14" s="251">
        <f>'11. CRWA '!D14+'11. CRWA '!F14+'11. CRWA '!H14+'11. CRWA '!J14+'11. CRWA '!L14+'11. CRWA '!N14+'11. CRWA '!P14+'11. CRWA '!R14</f>
        <v>22716514.285</v>
      </c>
      <c r="F14" s="251">
        <f>'11. CRWA '!S14</f>
        <v>202747980.51818022</v>
      </c>
      <c r="G14" s="253">
        <f>F14-'12. CRM'!V13</f>
        <v>201919134.91818023</v>
      </c>
      <c r="H14" s="449">
        <f t="shared" si="0"/>
        <v>0.99591194152522933</v>
      </c>
    </row>
    <row r="15" spans="1:9">
      <c r="A15" s="144">
        <v>8</v>
      </c>
      <c r="B15" s="1" t="s">
        <v>102</v>
      </c>
      <c r="C15" s="251">
        <f>'11. CRWA '!C15+'11. CRWA '!E15+'11. CRWA '!G15+'11. CRWA '!I15+'11. CRWA '!K15+'11. CRWA '!M15+'11. CRWA '!O15+'11. CRWA '!Q15</f>
        <v>0</v>
      </c>
      <c r="D15" s="252"/>
      <c r="E15" s="251">
        <f>'11. CRWA '!D15+'11. CRWA '!F15+'11. CRWA '!H15+'11. CRWA '!J15+'11. CRWA '!L15+'11. CRWA '!N15+'11. CRWA '!P15+'11. CRWA '!R15</f>
        <v>38672.64499999999</v>
      </c>
      <c r="F15" s="251">
        <f>'11. CRWA '!S15</f>
        <v>38672.64499999999</v>
      </c>
      <c r="G15" s="253">
        <f>F15-'12. CRM'!V14</f>
        <v>38672.64499999999</v>
      </c>
      <c r="H15" s="449">
        <f t="shared" si="0"/>
        <v>1</v>
      </c>
    </row>
    <row r="16" spans="1:9">
      <c r="A16" s="144">
        <v>9</v>
      </c>
      <c r="B16" s="1" t="s">
        <v>103</v>
      </c>
      <c r="C16" s="251">
        <f>'11. CRWA '!C16+'11. CRWA '!E16+'11. CRWA '!G16+'11. CRWA '!I16+'11. CRWA '!K16+'11. CRWA '!M16+'11. CRWA '!O16+'11. CRWA '!Q16</f>
        <v>0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0</v>
      </c>
      <c r="G16" s="253">
        <f>F16-'12. CRM'!V15</f>
        <v>0</v>
      </c>
      <c r="H16" s="449">
        <f t="shared" si="0"/>
        <v>0</v>
      </c>
    </row>
    <row r="17" spans="1:8">
      <c r="A17" s="144">
        <v>10</v>
      </c>
      <c r="B17" s="1" t="s">
        <v>104</v>
      </c>
      <c r="C17" s="251">
        <f>'11. CRWA '!C17+'11. CRWA '!E17+'11. CRWA '!G17+'11. CRWA '!I17+'11. CRWA '!K17+'11. CRWA '!M17+'11. CRWA '!O17+'11. CRWA '!Q17</f>
        <v>2401623.399999999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2401623.399999999</v>
      </c>
      <c r="G17" s="253">
        <f>F17-'12. CRM'!V16</f>
        <v>2401623.399999999</v>
      </c>
      <c r="H17" s="449">
        <f t="shared" si="0"/>
        <v>1</v>
      </c>
    </row>
    <row r="18" spans="1:8">
      <c r="A18" s="144">
        <v>11</v>
      </c>
      <c r="B18" s="1" t="s">
        <v>105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49">
        <f t="shared" si="0"/>
        <v>0</v>
      </c>
    </row>
    <row r="19" spans="1:8">
      <c r="A19" s="144">
        <v>12</v>
      </c>
      <c r="B19" s="1" t="s">
        <v>106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49">
        <f t="shared" si="0"/>
        <v>0</v>
      </c>
    </row>
    <row r="20" spans="1:8">
      <c r="A20" s="144">
        <v>13</v>
      </c>
      <c r="B20" s="1" t="s">
        <v>251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49">
        <f t="shared" si="0"/>
        <v>0</v>
      </c>
    </row>
    <row r="21" spans="1:8">
      <c r="A21" s="144">
        <v>14</v>
      </c>
      <c r="B21" s="1" t="s">
        <v>108</v>
      </c>
      <c r="C21" s="251">
        <f>'11. CRWA '!C21+'11. CRWA '!E21+'11. CRWA '!G21+'11. CRWA '!I21+'11. CRWA '!K21+'11. CRWA '!M21+'11. CRWA '!O21+'11. CRWA '!Q21</f>
        <v>13156928.217328381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9567793.4273283798</v>
      </c>
      <c r="G21" s="253">
        <f>F21-'12. CRM'!V20</f>
        <v>9567793.4273283798</v>
      </c>
      <c r="H21" s="449">
        <f t="shared" si="0"/>
        <v>0.72720571772422393</v>
      </c>
    </row>
    <row r="22" spans="1:8" ht="14.4" thickBot="1">
      <c r="A22" s="147"/>
      <c r="B22" s="148" t="s">
        <v>109</v>
      </c>
      <c r="C22" s="448">
        <f>SUM(C8:C21)</f>
        <v>321675498.05299336</v>
      </c>
      <c r="D22" s="448">
        <f>SUM(D8:D21)</f>
        <v>78070365.069999993</v>
      </c>
      <c r="E22" s="448">
        <f>SUM(E8:E21)</f>
        <v>47992320.315000005</v>
      </c>
      <c r="F22" s="448">
        <f>SUM(F8:F21)</f>
        <v>327920198.97095746</v>
      </c>
      <c r="G22" s="448">
        <f>SUM(G8:G21)</f>
        <v>327091353.37095743</v>
      </c>
      <c r="H22" s="450"/>
    </row>
    <row r="23" spans="1:8">
      <c r="G23" s="534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8"/>
  <cols>
    <col min="1" max="1" width="10.5546875" style="246" bestFit="1" customWidth="1"/>
    <col min="2" max="2" width="104.109375" style="246" customWidth="1"/>
    <col min="3" max="9" width="12.6640625" style="246" customWidth="1"/>
    <col min="10" max="10" width="13.5546875" style="246" bestFit="1" customWidth="1"/>
    <col min="11" max="11" width="12.6640625" style="246" customWidth="1"/>
    <col min="12" max="16384" width="9.109375" style="246"/>
  </cols>
  <sheetData>
    <row r="1" spans="1:11">
      <c r="A1" s="337" t="s">
        <v>30</v>
      </c>
      <c r="B1" s="338" t="s">
        <v>439</v>
      </c>
    </row>
    <row r="2" spans="1:11">
      <c r="A2" s="337" t="s">
        <v>31</v>
      </c>
      <c r="B2" s="339">
        <f>'1. key ratios '!B2</f>
        <v>43921</v>
      </c>
      <c r="C2" s="267"/>
      <c r="D2" s="267"/>
    </row>
    <row r="3" spans="1:11">
      <c r="B3" s="267"/>
      <c r="C3" s="267"/>
      <c r="D3" s="267"/>
    </row>
    <row r="4" spans="1:11" ht="14.4" thickBot="1">
      <c r="A4" s="246" t="s">
        <v>253</v>
      </c>
      <c r="B4" s="293" t="s">
        <v>382</v>
      </c>
      <c r="C4" s="267"/>
      <c r="D4" s="267"/>
    </row>
    <row r="5" spans="1:11" ht="30" customHeight="1">
      <c r="A5" s="587"/>
      <c r="B5" s="588"/>
      <c r="C5" s="589" t="s">
        <v>436</v>
      </c>
      <c r="D5" s="590"/>
      <c r="E5" s="591"/>
      <c r="F5" s="589" t="s">
        <v>437</v>
      </c>
      <c r="G5" s="590"/>
      <c r="H5" s="591"/>
      <c r="I5" s="590" t="s">
        <v>438</v>
      </c>
      <c r="J5" s="590"/>
      <c r="K5" s="591"/>
    </row>
    <row r="6" spans="1:11">
      <c r="A6" s="268"/>
      <c r="B6" s="269"/>
      <c r="C6" s="481" t="s">
        <v>69</v>
      </c>
      <c r="D6" s="384" t="s">
        <v>70</v>
      </c>
      <c r="E6" s="397" t="s">
        <v>71</v>
      </c>
      <c r="F6" s="481" t="s">
        <v>69</v>
      </c>
      <c r="G6" s="384" t="s">
        <v>70</v>
      </c>
      <c r="H6" s="397" t="s">
        <v>71</v>
      </c>
      <c r="I6" s="475" t="s">
        <v>69</v>
      </c>
      <c r="J6" s="191" t="s">
        <v>70</v>
      </c>
      <c r="K6" s="191" t="s">
        <v>71</v>
      </c>
    </row>
    <row r="7" spans="1:11">
      <c r="A7" s="270" t="s">
        <v>385</v>
      </c>
      <c r="B7" s="271"/>
      <c r="C7" s="466"/>
      <c r="D7" s="271"/>
      <c r="E7" s="272"/>
      <c r="F7" s="466"/>
      <c r="G7" s="271"/>
      <c r="H7" s="272"/>
      <c r="I7" s="271"/>
      <c r="J7" s="271"/>
      <c r="K7" s="272"/>
    </row>
    <row r="8" spans="1:11">
      <c r="A8" s="273">
        <v>1</v>
      </c>
      <c r="B8" s="275" t="s">
        <v>383</v>
      </c>
      <c r="C8" s="482"/>
      <c r="D8" s="274"/>
      <c r="E8" s="303"/>
      <c r="F8" s="460">
        <v>34522196.009120882</v>
      </c>
      <c r="G8" s="472">
        <v>64272988.390219763</v>
      </c>
      <c r="H8" s="462">
        <f>F8+G8</f>
        <v>98795184.399340644</v>
      </c>
      <c r="I8" s="476">
        <v>31772704.922307711</v>
      </c>
      <c r="J8" s="472">
        <v>33781644.816813178</v>
      </c>
      <c r="K8" s="462">
        <f>I8+J8</f>
        <v>65554349.739120886</v>
      </c>
    </row>
    <row r="9" spans="1:11">
      <c r="A9" s="270" t="s">
        <v>386</v>
      </c>
      <c r="B9" s="271"/>
      <c r="C9" s="466"/>
      <c r="D9" s="271"/>
      <c r="E9" s="272"/>
      <c r="F9" s="466"/>
      <c r="G9" s="271"/>
      <c r="H9" s="272"/>
      <c r="I9" s="271"/>
      <c r="J9" s="271"/>
      <c r="K9" s="272"/>
    </row>
    <row r="10" spans="1:11">
      <c r="A10" s="276">
        <v>2</v>
      </c>
      <c r="B10" s="277" t="s">
        <v>394</v>
      </c>
      <c r="C10" s="460">
        <v>533491.55747252773</v>
      </c>
      <c r="D10" s="461">
        <v>21096322.435384624</v>
      </c>
      <c r="E10" s="462">
        <f>C10+D10</f>
        <v>21629813.992857151</v>
      </c>
      <c r="F10" s="460">
        <v>167194.80466923074</v>
      </c>
      <c r="G10" s="461">
        <v>5518196.3544879118</v>
      </c>
      <c r="H10" s="462">
        <f>F10+G10</f>
        <v>5685391.159157143</v>
      </c>
      <c r="I10" s="476">
        <v>30131.071263736249</v>
      </c>
      <c r="J10" s="461">
        <v>1416463.6703021973</v>
      </c>
      <c r="K10" s="462">
        <f>I10+J10</f>
        <v>1446594.7415659337</v>
      </c>
    </row>
    <row r="11" spans="1:11">
      <c r="A11" s="276">
        <v>3</v>
      </c>
      <c r="B11" s="277" t="s">
        <v>388</v>
      </c>
      <c r="C11" s="460">
        <v>7752322.5045054965</v>
      </c>
      <c r="D11" s="461">
        <v>151940198.61404398</v>
      </c>
      <c r="E11" s="462">
        <f>C11+D11</f>
        <v>159692521.11854947</v>
      </c>
      <c r="F11" s="460">
        <v>3776453.5551840663</v>
      </c>
      <c r="G11" s="460">
        <v>52243344.385659367</v>
      </c>
      <c r="H11" s="462">
        <f>F11+G11</f>
        <v>56019797.940843433</v>
      </c>
      <c r="I11" s="476">
        <v>2791366.5556813185</v>
      </c>
      <c r="J11" s="460">
        <v>54071548.180730775</v>
      </c>
      <c r="K11" s="462">
        <f>I11+J11</f>
        <v>56862914.736412093</v>
      </c>
    </row>
    <row r="12" spans="1:11">
      <c r="A12" s="276">
        <v>4</v>
      </c>
      <c r="B12" s="277" t="s">
        <v>389</v>
      </c>
      <c r="C12" s="463"/>
      <c r="D12" s="277"/>
      <c r="E12" s="278"/>
      <c r="F12" s="463"/>
      <c r="G12" s="277"/>
      <c r="H12" s="278"/>
      <c r="I12" s="477"/>
      <c r="J12" s="277"/>
      <c r="K12" s="278"/>
    </row>
    <row r="13" spans="1:11">
      <c r="A13" s="276">
        <v>5</v>
      </c>
      <c r="B13" s="277" t="s">
        <v>397</v>
      </c>
      <c r="C13" s="460">
        <v>30714049.801208783</v>
      </c>
      <c r="D13" s="461">
        <v>27934874.036182426</v>
      </c>
      <c r="E13" s="462">
        <f>C13+D13</f>
        <v>58648923.837391213</v>
      </c>
      <c r="F13" s="460">
        <v>3106940.4217178044</v>
      </c>
      <c r="G13" s="461">
        <v>2966546.2362271422</v>
      </c>
      <c r="H13" s="462">
        <f>F13+G13</f>
        <v>6073486.6579449465</v>
      </c>
      <c r="I13" s="476">
        <v>1545169.5669835163</v>
      </c>
      <c r="J13" s="461">
        <v>1402442.6248860448</v>
      </c>
      <c r="K13" s="462">
        <f>I13+J13</f>
        <v>2947612.1918695611</v>
      </c>
    </row>
    <row r="14" spans="1:11">
      <c r="A14" s="276">
        <v>6</v>
      </c>
      <c r="B14" s="277" t="s">
        <v>431</v>
      </c>
      <c r="C14" s="463"/>
      <c r="D14" s="277"/>
      <c r="E14" s="278"/>
      <c r="F14" s="463"/>
      <c r="G14" s="277"/>
      <c r="H14" s="278"/>
      <c r="I14" s="477"/>
      <c r="J14" s="277"/>
      <c r="K14" s="278"/>
    </row>
    <row r="15" spans="1:11">
      <c r="A15" s="276">
        <v>7</v>
      </c>
      <c r="B15" s="277" t="s">
        <v>432</v>
      </c>
      <c r="C15" s="460">
        <v>1011237.4342857144</v>
      </c>
      <c r="D15" s="461">
        <v>1097351.3729670336</v>
      </c>
      <c r="E15" s="462">
        <f>C15+D15</f>
        <v>2108588.8072527479</v>
      </c>
      <c r="F15" s="460">
        <v>0</v>
      </c>
      <c r="G15" s="461">
        <v>0</v>
      </c>
      <c r="H15" s="462">
        <f>F15+G15</f>
        <v>0</v>
      </c>
      <c r="I15" s="476">
        <v>0</v>
      </c>
      <c r="J15" s="461">
        <v>0</v>
      </c>
      <c r="K15" s="462">
        <f>I15+J15</f>
        <v>0</v>
      </c>
    </row>
    <row r="16" spans="1:11">
      <c r="A16" s="276">
        <v>8</v>
      </c>
      <c r="B16" s="473" t="s">
        <v>390</v>
      </c>
      <c r="C16" s="464">
        <f>SUM(C10:C15)</f>
        <v>40011101.297472522</v>
      </c>
      <c r="D16" s="465">
        <f>SUM(D10:D15)</f>
        <v>202068746.45857808</v>
      </c>
      <c r="E16" s="462">
        <f>C16+D16</f>
        <v>242079847.75605059</v>
      </c>
      <c r="F16" s="464">
        <f>SUM(F10:F15)</f>
        <v>7050588.7815711014</v>
      </c>
      <c r="G16" s="465">
        <f>SUM(G10:G15)</f>
        <v>60728086.976374418</v>
      </c>
      <c r="H16" s="462">
        <f>F16+G16</f>
        <v>67778675.757945523</v>
      </c>
      <c r="I16" s="478">
        <f>SUM(I10:I15)</f>
        <v>4366667.1939285714</v>
      </c>
      <c r="J16" s="465">
        <f>SUM(J10:J15)</f>
        <v>56890454.475919016</v>
      </c>
      <c r="K16" s="462">
        <f>I16+J16</f>
        <v>61257121.669847585</v>
      </c>
    </row>
    <row r="17" spans="1:11">
      <c r="A17" s="270" t="s">
        <v>387</v>
      </c>
      <c r="B17" s="271"/>
      <c r="C17" s="466"/>
      <c r="D17" s="271"/>
      <c r="E17" s="272"/>
      <c r="F17" s="466"/>
      <c r="G17" s="271"/>
      <c r="H17" s="272"/>
      <c r="I17" s="271"/>
      <c r="J17" s="271"/>
      <c r="K17" s="272"/>
    </row>
    <row r="18" spans="1:11">
      <c r="A18" s="276">
        <v>9</v>
      </c>
      <c r="B18" s="277" t="s">
        <v>393</v>
      </c>
      <c r="C18" s="463"/>
      <c r="D18" s="277"/>
      <c r="E18" s="462">
        <f>C18+D18</f>
        <v>0</v>
      </c>
      <c r="F18" s="463"/>
      <c r="G18" s="277"/>
      <c r="H18" s="462">
        <f>F18+G18</f>
        <v>0</v>
      </c>
      <c r="I18" s="477"/>
      <c r="J18" s="277"/>
      <c r="K18" s="462">
        <f>I18+J18</f>
        <v>0</v>
      </c>
    </row>
    <row r="19" spans="1:11">
      <c r="A19" s="276">
        <v>10</v>
      </c>
      <c r="B19" s="277" t="s">
        <v>433</v>
      </c>
      <c r="C19" s="460">
        <v>53949257.420578025</v>
      </c>
      <c r="D19" s="461">
        <v>123893563.66100436</v>
      </c>
      <c r="E19" s="462">
        <f>C19+D19</f>
        <v>177842821.0815824</v>
      </c>
      <c r="F19" s="460">
        <v>2608061.2423021975</v>
      </c>
      <c r="G19" s="461">
        <v>3136797.0333505487</v>
      </c>
      <c r="H19" s="462">
        <f>F19+G19</f>
        <v>5744858.2756527457</v>
      </c>
      <c r="I19" s="476">
        <v>5293595.3198846178</v>
      </c>
      <c r="J19" s="461">
        <v>34166552.228625268</v>
      </c>
      <c r="K19" s="462">
        <f>I19+J19</f>
        <v>39460147.548509888</v>
      </c>
    </row>
    <row r="20" spans="1:11">
      <c r="A20" s="276">
        <v>11</v>
      </c>
      <c r="B20" s="277" t="s">
        <v>392</v>
      </c>
      <c r="C20" s="467">
        <v>392109.61186497839</v>
      </c>
      <c r="D20" s="468">
        <v>243931.00174328461</v>
      </c>
      <c r="E20" s="462">
        <f>C20+D20</f>
        <v>636040.61360826297</v>
      </c>
      <c r="F20" s="467">
        <v>150454.9450549451</v>
      </c>
      <c r="G20" s="468">
        <v>79452.825663614145</v>
      </c>
      <c r="H20" s="462">
        <f>F20+G20</f>
        <v>229907.77071855924</v>
      </c>
      <c r="I20" s="479">
        <v>150454.9450549451</v>
      </c>
      <c r="J20" s="468">
        <v>79452.825663614145</v>
      </c>
      <c r="K20" s="462">
        <f>I20+J20</f>
        <v>229907.77071855924</v>
      </c>
    </row>
    <row r="21" spans="1:11" ht="14.4" thickBot="1">
      <c r="A21" s="279">
        <v>12</v>
      </c>
      <c r="B21" s="474" t="s">
        <v>391</v>
      </c>
      <c r="C21" s="469">
        <f>SUM(C18:C20)</f>
        <v>54341367.032443002</v>
      </c>
      <c r="D21" s="470">
        <f>SUM(D18:D20)</f>
        <v>124137494.66274765</v>
      </c>
      <c r="E21" s="471">
        <f>C21+D21</f>
        <v>178478861.69519067</v>
      </c>
      <c r="F21" s="469">
        <f>SUM(F18:F20)</f>
        <v>2758516.1873571426</v>
      </c>
      <c r="G21" s="470">
        <f>SUM(G18:G20)</f>
        <v>3216249.8590141628</v>
      </c>
      <c r="H21" s="471">
        <f>F21+G21</f>
        <v>5974766.0463713054</v>
      </c>
      <c r="I21" s="480">
        <f>SUM(I18:I20)</f>
        <v>5444050.2649395633</v>
      </c>
      <c r="J21" s="470">
        <f>SUM(J18:J20)</f>
        <v>34246005.054288879</v>
      </c>
      <c r="K21" s="471">
        <f>I21+J21</f>
        <v>39690055.319228441</v>
      </c>
    </row>
    <row r="22" spans="1:11" ht="38.25" customHeight="1" thickBot="1">
      <c r="A22" s="280"/>
      <c r="B22" s="281"/>
      <c r="C22" s="281"/>
      <c r="D22" s="281"/>
      <c r="E22" s="281"/>
      <c r="F22" s="592" t="s">
        <v>435</v>
      </c>
      <c r="G22" s="593"/>
      <c r="H22" s="593"/>
      <c r="I22" s="592" t="s">
        <v>398</v>
      </c>
      <c r="J22" s="593"/>
      <c r="K22" s="594"/>
    </row>
    <row r="23" spans="1:11">
      <c r="A23" s="282">
        <v>13</v>
      </c>
      <c r="B23" s="283" t="s">
        <v>383</v>
      </c>
      <c r="C23" s="284"/>
      <c r="D23" s="284"/>
      <c r="E23" s="284"/>
      <c r="F23" s="451">
        <f>F8</f>
        <v>34522196.009120882</v>
      </c>
      <c r="G23" s="452">
        <f>G8</f>
        <v>64272988.390219763</v>
      </c>
      <c r="H23" s="453">
        <f>F23+G23</f>
        <v>98795184.399340644</v>
      </c>
      <c r="I23" s="451">
        <f>I8</f>
        <v>31772704.922307711</v>
      </c>
      <c r="J23" s="452">
        <f>J8</f>
        <v>33781644.816813178</v>
      </c>
      <c r="K23" s="453">
        <f t="shared" ref="K23" si="0">I23+J23</f>
        <v>65554349.739120886</v>
      </c>
    </row>
    <row r="24" spans="1:11" ht="14.4" thickBot="1">
      <c r="A24" s="285">
        <v>14</v>
      </c>
      <c r="B24" s="286" t="s">
        <v>395</v>
      </c>
      <c r="C24" s="287"/>
      <c r="D24" s="288"/>
      <c r="E24" s="289"/>
      <c r="F24" s="454">
        <f>F16-F21</f>
        <v>4292072.5942139588</v>
      </c>
      <c r="G24" s="455">
        <f>G16-G21</f>
        <v>57511837.117360257</v>
      </c>
      <c r="H24" s="456">
        <f>F24+G24</f>
        <v>61803909.711574212</v>
      </c>
      <c r="I24" s="531">
        <f>I16-MIN(I16*75%,I21)</f>
        <v>1091666.7984821429</v>
      </c>
      <c r="J24" s="532">
        <f>J16-MIN(J16*75%,J21)</f>
        <v>22644449.421630137</v>
      </c>
      <c r="K24" s="456">
        <f>I24+J24</f>
        <v>23736116.220112279</v>
      </c>
    </row>
    <row r="25" spans="1:11" ht="14.4" thickBot="1">
      <c r="A25" s="290">
        <v>15</v>
      </c>
      <c r="B25" s="291" t="s">
        <v>396</v>
      </c>
      <c r="C25" s="292"/>
      <c r="D25" s="292"/>
      <c r="E25" s="292"/>
      <c r="F25" s="457">
        <f>F23/F24</f>
        <v>8.0432460661684608</v>
      </c>
      <c r="G25" s="458">
        <f t="shared" ref="G25:H25" si="1">G23/G24</f>
        <v>1.1175610380705194</v>
      </c>
      <c r="H25" s="459">
        <f t="shared" si="1"/>
        <v>1.5985264501937968</v>
      </c>
      <c r="I25" s="457">
        <f>I23/I24</f>
        <v>29.104764353449777</v>
      </c>
      <c r="J25" s="458">
        <f>J23/J24</f>
        <v>1.4918289329015311</v>
      </c>
      <c r="K25" s="459">
        <f>K23/K24</f>
        <v>2.7617976391426176</v>
      </c>
    </row>
    <row r="27" spans="1:11" ht="27">
      <c r="B27" s="266" t="s">
        <v>434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2.5546875" style="4" bestFit="1" customWidth="1"/>
    <col min="4" max="4" width="11.44140625" style="4" customWidth="1"/>
    <col min="5" max="5" width="18.33203125" style="4" bestFit="1" customWidth="1"/>
    <col min="6" max="13" width="12.6640625" style="4" customWidth="1"/>
    <col min="14" max="14" width="31" style="4" bestFit="1" customWidth="1"/>
    <col min="15" max="16384" width="9.109375" style="29"/>
  </cols>
  <sheetData>
    <row r="1" spans="1:14">
      <c r="A1" s="337" t="s">
        <v>30</v>
      </c>
      <c r="B1" s="338" t="s">
        <v>439</v>
      </c>
    </row>
    <row r="2" spans="1:14" ht="14.25" customHeight="1">
      <c r="A2" s="337" t="s">
        <v>31</v>
      </c>
      <c r="B2" s="339">
        <f>'1. key ratios '!B2</f>
        <v>43921</v>
      </c>
    </row>
    <row r="3" spans="1:14" ht="14.25" customHeight="1"/>
    <row r="4" spans="1:14" ht="13.8" thickBot="1">
      <c r="A4" s="4" t="s">
        <v>269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6.4">
      <c r="A6" s="155"/>
      <c r="B6" s="156"/>
      <c r="C6" s="157" t="s">
        <v>268</v>
      </c>
      <c r="D6" s="158" t="s">
        <v>267</v>
      </c>
      <c r="E6" s="159" t="s">
        <v>266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281</v>
      </c>
    </row>
    <row r="7" spans="1:14" ht="13.8">
      <c r="A7" s="161">
        <v>1</v>
      </c>
      <c r="B7" s="162" t="s">
        <v>265</v>
      </c>
      <c r="C7" s="163">
        <f>SUM(C8:C13)</f>
        <v>3612950</v>
      </c>
      <c r="D7" s="156"/>
      <c r="E7" s="164">
        <f t="shared" ref="E7:M7" si="0">SUM(E8:E13)</f>
        <v>72259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72259</v>
      </c>
      <c r="L7" s="165">
        <f t="shared" si="0"/>
        <v>0</v>
      </c>
      <c r="M7" s="165">
        <f t="shared" si="0"/>
        <v>0</v>
      </c>
      <c r="N7" s="166">
        <f>SUM(N8:N13)</f>
        <v>72259</v>
      </c>
    </row>
    <row r="8" spans="1:14" ht="13.8">
      <c r="A8" s="161">
        <v>1.1000000000000001</v>
      </c>
      <c r="B8" s="167" t="s">
        <v>263</v>
      </c>
      <c r="C8" s="165">
        <v>3612950</v>
      </c>
      <c r="D8" s="168">
        <v>0.02</v>
      </c>
      <c r="E8" s="164">
        <f>C8*D8</f>
        <v>72259</v>
      </c>
      <c r="F8" s="165"/>
      <c r="G8" s="165"/>
      <c r="H8" s="165"/>
      <c r="I8" s="165"/>
      <c r="J8" s="165"/>
      <c r="K8" s="165">
        <v>72259</v>
      </c>
      <c r="L8" s="165"/>
      <c r="M8" s="165"/>
      <c r="N8" s="166">
        <f>SUMPRODUCT($F$6:$M$6,F8:M8)</f>
        <v>72259</v>
      </c>
    </row>
    <row r="9" spans="1:14" ht="13.8">
      <c r="A9" s="161">
        <v>1.2</v>
      </c>
      <c r="B9" s="167" t="s">
        <v>262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3.8">
      <c r="A10" s="161">
        <v>1.3</v>
      </c>
      <c r="B10" s="167" t="s">
        <v>261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3.8">
      <c r="A11" s="161">
        <v>1.4</v>
      </c>
      <c r="B11" s="167" t="s">
        <v>260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3.8">
      <c r="A12" s="161">
        <v>1.5</v>
      </c>
      <c r="B12" s="167" t="s">
        <v>259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3.8">
      <c r="A13" s="161">
        <v>1.6</v>
      </c>
      <c r="B13" s="169" t="s">
        <v>258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3.8">
      <c r="A14" s="161">
        <v>2</v>
      </c>
      <c r="B14" s="171" t="s">
        <v>264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3.8">
      <c r="A15" s="161">
        <v>2.1</v>
      </c>
      <c r="B15" s="169" t="s">
        <v>263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3.8">
      <c r="A16" s="161">
        <v>2.2000000000000002</v>
      </c>
      <c r="B16" s="169" t="s">
        <v>262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3.8">
      <c r="A17" s="161">
        <v>2.2999999999999998</v>
      </c>
      <c r="B17" s="169" t="s">
        <v>261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3.8">
      <c r="A18" s="161">
        <v>2.4</v>
      </c>
      <c r="B18" s="169" t="s">
        <v>260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3.8">
      <c r="A19" s="161">
        <v>2.5</v>
      </c>
      <c r="B19" s="169" t="s">
        <v>259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3.8">
      <c r="A20" s="161">
        <v>2.6</v>
      </c>
      <c r="B20" s="169" t="s">
        <v>258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4.4" thickBot="1">
      <c r="A21" s="173"/>
      <c r="B21" s="174" t="s">
        <v>109</v>
      </c>
      <c r="C21" s="149">
        <f>C14+C7</f>
        <v>3612950</v>
      </c>
      <c r="D21" s="175"/>
      <c r="E21" s="176">
        <f>E14+E7</f>
        <v>72259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72259</v>
      </c>
      <c r="L21" s="177">
        <f t="shared" si="4"/>
        <v>0</v>
      </c>
      <c r="M21" s="177">
        <f>M7+M14</f>
        <v>0</v>
      </c>
      <c r="N21" s="178">
        <f>N14+N7</f>
        <v>72259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>
      <selection activeCell="B4" sqref="B4"/>
    </sheetView>
  </sheetViews>
  <sheetFormatPr defaultRowHeight="14.4"/>
  <cols>
    <col min="1" max="1" width="11.44140625" customWidth="1"/>
    <col min="2" max="2" width="76.88671875" style="528" customWidth="1"/>
    <col min="3" max="3" width="22.88671875" customWidth="1"/>
  </cols>
  <sheetData>
    <row r="1" spans="1:3">
      <c r="A1" s="337" t="s">
        <v>30</v>
      </c>
      <c r="B1" s="338" t="s">
        <v>439</v>
      </c>
    </row>
    <row r="2" spans="1:3">
      <c r="A2" s="337" t="s">
        <v>31</v>
      </c>
      <c r="B2" s="339">
        <f>'1. key ratios '!B2</f>
        <v>43921</v>
      </c>
    </row>
    <row r="3" spans="1:3">
      <c r="A3" s="4"/>
      <c r="B3"/>
    </row>
    <row r="4" spans="1:3">
      <c r="A4" s="4" t="s">
        <v>456</v>
      </c>
      <c r="B4" t="s">
        <v>457</v>
      </c>
    </row>
    <row r="5" spans="1:3">
      <c r="A5" s="497" t="s">
        <v>458</v>
      </c>
      <c r="B5" s="498"/>
      <c r="C5" s="499"/>
    </row>
    <row r="6" spans="1:3">
      <c r="A6" s="500">
        <v>1</v>
      </c>
      <c r="B6" s="501" t="s">
        <v>517</v>
      </c>
      <c r="C6" s="502">
        <v>317226640.94299334</v>
      </c>
    </row>
    <row r="7" spans="1:3">
      <c r="A7" s="500">
        <v>2</v>
      </c>
      <c r="B7" s="501" t="s">
        <v>459</v>
      </c>
      <c r="C7" s="502">
        <f>-('9.Capital'!C15)</f>
        <v>-84928.889999999898</v>
      </c>
    </row>
    <row r="8" spans="1:3" ht="24">
      <c r="A8" s="503">
        <v>3</v>
      </c>
      <c r="B8" s="504" t="s">
        <v>460</v>
      </c>
      <c r="C8" s="502">
        <f>C6+C7</f>
        <v>317141712.05299336</v>
      </c>
    </row>
    <row r="9" spans="1:3">
      <c r="A9" s="497" t="s">
        <v>461</v>
      </c>
      <c r="B9" s="498"/>
      <c r="C9" s="505"/>
    </row>
    <row r="10" spans="1:3">
      <c r="A10" s="506">
        <v>4</v>
      </c>
      <c r="B10" s="507" t="s">
        <v>462</v>
      </c>
      <c r="C10" s="502"/>
    </row>
    <row r="11" spans="1:3">
      <c r="A11" s="506">
        <v>5</v>
      </c>
      <c r="B11" s="508" t="s">
        <v>463</v>
      </c>
      <c r="C11" s="502"/>
    </row>
    <row r="12" spans="1:3">
      <c r="A12" s="506" t="s">
        <v>464</v>
      </c>
      <c r="B12" s="508" t="s">
        <v>465</v>
      </c>
      <c r="C12" s="502">
        <f>'15. CCR '!N21</f>
        <v>72259</v>
      </c>
    </row>
    <row r="13" spans="1:3" ht="22.8">
      <c r="A13" s="509">
        <v>6</v>
      </c>
      <c r="B13" s="507" t="s">
        <v>466</v>
      </c>
      <c r="C13" s="502"/>
    </row>
    <row r="14" spans="1:3">
      <c r="A14" s="509">
        <v>7</v>
      </c>
      <c r="B14" s="510" t="s">
        <v>467</v>
      </c>
      <c r="C14" s="502"/>
    </row>
    <row r="15" spans="1:3">
      <c r="A15" s="511">
        <v>8</v>
      </c>
      <c r="B15" s="512" t="s">
        <v>468</v>
      </c>
      <c r="C15" s="502"/>
    </row>
    <row r="16" spans="1:3">
      <c r="A16" s="509">
        <v>9</v>
      </c>
      <c r="B16" s="510" t="s">
        <v>469</v>
      </c>
      <c r="C16" s="502"/>
    </row>
    <row r="17" spans="1:3">
      <c r="A17" s="509">
        <v>10</v>
      </c>
      <c r="B17" s="510" t="s">
        <v>470</v>
      </c>
      <c r="C17" s="502"/>
    </row>
    <row r="18" spans="1:3">
      <c r="A18" s="513">
        <v>11</v>
      </c>
      <c r="B18" s="514" t="s">
        <v>471</v>
      </c>
      <c r="C18" s="515">
        <f>SUM(C10:C17)</f>
        <v>72259</v>
      </c>
    </row>
    <row r="19" spans="1:3">
      <c r="A19" s="516" t="s">
        <v>472</v>
      </c>
      <c r="B19" s="517"/>
      <c r="C19" s="518"/>
    </row>
    <row r="20" spans="1:3">
      <c r="A20" s="519">
        <v>12</v>
      </c>
      <c r="B20" s="507" t="s">
        <v>473</v>
      </c>
      <c r="C20" s="502"/>
    </row>
    <row r="21" spans="1:3">
      <c r="A21" s="519">
        <v>13</v>
      </c>
      <c r="B21" s="507" t="s">
        <v>474</v>
      </c>
      <c r="C21" s="502"/>
    </row>
    <row r="22" spans="1:3">
      <c r="A22" s="519">
        <v>14</v>
      </c>
      <c r="B22" s="507" t="s">
        <v>475</v>
      </c>
      <c r="C22" s="502"/>
    </row>
    <row r="23" spans="1:3" ht="22.8">
      <c r="A23" s="519" t="s">
        <v>476</v>
      </c>
      <c r="B23" s="507" t="s">
        <v>477</v>
      </c>
      <c r="C23" s="502"/>
    </row>
    <row r="24" spans="1:3">
      <c r="A24" s="519">
        <v>15</v>
      </c>
      <c r="B24" s="507" t="s">
        <v>478</v>
      </c>
      <c r="C24" s="502"/>
    </row>
    <row r="25" spans="1:3">
      <c r="A25" s="519" t="s">
        <v>479</v>
      </c>
      <c r="B25" s="507" t="s">
        <v>480</v>
      </c>
      <c r="C25" s="502"/>
    </row>
    <row r="26" spans="1:3">
      <c r="A26" s="520">
        <v>16</v>
      </c>
      <c r="B26" s="521" t="s">
        <v>481</v>
      </c>
      <c r="C26" s="515">
        <f>SUM(C20:C25)</f>
        <v>0</v>
      </c>
    </row>
    <row r="27" spans="1:3">
      <c r="A27" s="497" t="s">
        <v>482</v>
      </c>
      <c r="B27" s="498"/>
      <c r="C27" s="505"/>
    </row>
    <row r="28" spans="1:3">
      <c r="A28" s="522">
        <v>17</v>
      </c>
      <c r="B28" s="508" t="s">
        <v>483</v>
      </c>
      <c r="C28" s="502">
        <f>'8. LI2'!C6</f>
        <v>78070365.070000008</v>
      </c>
    </row>
    <row r="29" spans="1:3">
      <c r="A29" s="522">
        <v>18</v>
      </c>
      <c r="B29" s="508" t="s">
        <v>484</v>
      </c>
      <c r="C29" s="502">
        <f>'8. LI2'!C10</f>
        <v>-30078044.754999995</v>
      </c>
    </row>
    <row r="30" spans="1:3">
      <c r="A30" s="520">
        <v>19</v>
      </c>
      <c r="B30" s="521" t="s">
        <v>485</v>
      </c>
      <c r="C30" s="515">
        <f>C28+C29</f>
        <v>47992320.315000013</v>
      </c>
    </row>
    <row r="31" spans="1:3">
      <c r="A31" s="497" t="s">
        <v>486</v>
      </c>
      <c r="B31" s="498"/>
      <c r="C31" s="505"/>
    </row>
    <row r="32" spans="1:3" ht="22.8">
      <c r="A32" s="522" t="s">
        <v>487</v>
      </c>
      <c r="B32" s="507" t="s">
        <v>488</v>
      </c>
      <c r="C32" s="523"/>
    </row>
    <row r="33" spans="1:3">
      <c r="A33" s="522" t="s">
        <v>489</v>
      </c>
      <c r="B33" s="508" t="s">
        <v>490</v>
      </c>
      <c r="C33" s="523"/>
    </row>
    <row r="34" spans="1:3">
      <c r="A34" s="497" t="s">
        <v>491</v>
      </c>
      <c r="B34" s="498"/>
      <c r="C34" s="505"/>
    </row>
    <row r="35" spans="1:3">
      <c r="A35" s="524">
        <v>20</v>
      </c>
      <c r="B35" s="525" t="s">
        <v>492</v>
      </c>
      <c r="C35" s="515">
        <f>'9.Capital'!C28</f>
        <v>77838008.687568486</v>
      </c>
    </row>
    <row r="36" spans="1:3">
      <c r="A36" s="520">
        <v>21</v>
      </c>
      <c r="B36" s="521" t="s">
        <v>493</v>
      </c>
      <c r="C36" s="515">
        <f>C8+C18+C26+C30</f>
        <v>365206291.36799335</v>
      </c>
    </row>
    <row r="37" spans="1:3">
      <c r="A37" s="497" t="s">
        <v>494</v>
      </c>
      <c r="B37" s="498"/>
      <c r="C37" s="505"/>
    </row>
    <row r="38" spans="1:3">
      <c r="A38" s="520">
        <v>22</v>
      </c>
      <c r="B38" s="521" t="s">
        <v>494</v>
      </c>
      <c r="C38" s="530">
        <f t="shared" ref="C38" si="0">C35/C36</f>
        <v>0.21313435865521949</v>
      </c>
    </row>
    <row r="39" spans="1:3">
      <c r="A39" s="497" t="s">
        <v>495</v>
      </c>
      <c r="B39" s="498"/>
      <c r="C39" s="505"/>
    </row>
    <row r="40" spans="1:3">
      <c r="A40" s="526" t="s">
        <v>496</v>
      </c>
      <c r="B40" s="507" t="s">
        <v>497</v>
      </c>
      <c r="C40" s="523"/>
    </row>
    <row r="41" spans="1:3" ht="22.8">
      <c r="A41" s="527" t="s">
        <v>498</v>
      </c>
      <c r="B41" s="501" t="s">
        <v>499</v>
      </c>
      <c r="C41" s="523"/>
    </row>
    <row r="43" spans="1:3">
      <c r="B43" s="528" t="s">
        <v>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8"/>
  <cols>
    <col min="1" max="1" width="9.5546875" style="3" bestFit="1" customWidth="1"/>
    <col min="2" max="2" width="60.6640625" style="3" customWidth="1"/>
    <col min="3" max="3" width="12.6640625" style="3" customWidth="1"/>
    <col min="4" max="7" width="12.6640625" style="4" customWidth="1"/>
    <col min="8" max="13" width="6.6640625" style="5" customWidth="1"/>
    <col min="14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v>43921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4.4" thickBot="1">
      <c r="A4" s="9" t="s">
        <v>144</v>
      </c>
      <c r="B4" s="10" t="s">
        <v>143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506</v>
      </c>
      <c r="D5" s="340" t="s">
        <v>503</v>
      </c>
      <c r="E5" s="340" t="s">
        <v>502</v>
      </c>
      <c r="F5" s="340" t="s">
        <v>501</v>
      </c>
      <c r="G5" s="341" t="s">
        <v>500</v>
      </c>
    </row>
    <row r="6" spans="1:8">
      <c r="B6" s="191" t="s">
        <v>142</v>
      </c>
      <c r="C6" s="274"/>
      <c r="D6" s="274"/>
      <c r="E6" s="274"/>
      <c r="F6" s="274"/>
      <c r="G6" s="303"/>
    </row>
    <row r="7" spans="1:8">
      <c r="A7" s="13"/>
      <c r="B7" s="192" t="s">
        <v>136</v>
      </c>
      <c r="C7" s="274"/>
      <c r="D7" s="274"/>
      <c r="E7" s="274"/>
      <c r="F7" s="274"/>
      <c r="G7" s="303"/>
    </row>
    <row r="8" spans="1:8">
      <c r="A8" s="329">
        <v>1</v>
      </c>
      <c r="B8" s="14" t="s">
        <v>141</v>
      </c>
      <c r="C8" s="15">
        <v>77838008.687568486</v>
      </c>
      <c r="D8" s="16">
        <v>80407012.169870481</v>
      </c>
      <c r="E8" s="16">
        <v>79927409.167901561</v>
      </c>
      <c r="F8" s="16">
        <v>77371808.251440719</v>
      </c>
      <c r="G8" s="348">
        <v>76332986.239469618</v>
      </c>
    </row>
    <row r="9" spans="1:8">
      <c r="A9" s="329">
        <v>2</v>
      </c>
      <c r="B9" s="14" t="s">
        <v>140</v>
      </c>
      <c r="C9" s="15">
        <v>77838008.687568486</v>
      </c>
      <c r="D9" s="16">
        <v>80407012.169870481</v>
      </c>
      <c r="E9" s="16">
        <v>79927409.167901561</v>
      </c>
      <c r="F9" s="16">
        <v>77371808.251440719</v>
      </c>
      <c r="G9" s="348">
        <v>76332986.239469618</v>
      </c>
    </row>
    <row r="10" spans="1:8">
      <c r="A10" s="329">
        <v>3</v>
      </c>
      <c r="B10" s="14" t="s">
        <v>139</v>
      </c>
      <c r="C10" s="15">
        <v>81870881.517205447</v>
      </c>
      <c r="D10" s="16">
        <v>83615257.09298262</v>
      </c>
      <c r="E10" s="16">
        <v>83333498.725938484</v>
      </c>
      <c r="F10" s="16">
        <v>80895977.371655077</v>
      </c>
      <c r="G10" s="348">
        <v>79443872.235174209</v>
      </c>
    </row>
    <row r="11" spans="1:8">
      <c r="A11" s="330"/>
      <c r="B11" s="191" t="s">
        <v>138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270</v>
      </c>
      <c r="C12" s="263">
        <v>344845459.14202905</v>
      </c>
      <c r="D12" s="16">
        <v>280322896.53274071</v>
      </c>
      <c r="E12" s="16">
        <v>292369352.27900398</v>
      </c>
      <c r="F12" s="16">
        <v>300729541.42249846</v>
      </c>
      <c r="G12" s="348">
        <v>267792623.61456081</v>
      </c>
    </row>
    <row r="13" spans="1:8">
      <c r="A13" s="330"/>
      <c r="B13" s="191" t="s">
        <v>137</v>
      </c>
      <c r="C13" s="274"/>
      <c r="D13" s="274"/>
      <c r="E13" s="274"/>
      <c r="F13" s="274"/>
      <c r="G13" s="303"/>
    </row>
    <row r="14" spans="1:8" s="17" customFormat="1">
      <c r="A14" s="329"/>
      <c r="B14" s="192" t="s">
        <v>508</v>
      </c>
      <c r="C14" s="264"/>
      <c r="D14" s="16"/>
      <c r="E14" s="16"/>
      <c r="F14" s="16"/>
      <c r="G14" s="348"/>
    </row>
    <row r="15" spans="1:8">
      <c r="A15" s="331">
        <v>5</v>
      </c>
      <c r="B15" s="14" t="str">
        <f>"Common equity Tier 1 ratio &gt;="&amp;'9.1. Capital Requirements'!C19*100&amp;"%"</f>
        <v>Common equity Tier 1 ratio &gt;=6.0299239954013%</v>
      </c>
      <c r="C15" s="342">
        <v>0.22571852586149294</v>
      </c>
      <c r="D15" s="342">
        <v>0.28683711949472962</v>
      </c>
      <c r="E15" s="343">
        <v>0.2733782065215507</v>
      </c>
      <c r="F15" s="343">
        <v>0.25728037187653657</v>
      </c>
      <c r="G15" s="349">
        <v>0.28504514130806374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&gt;=8.04203508696706%</v>
      </c>
      <c r="C16" s="342">
        <v>0.22571852586149294</v>
      </c>
      <c r="D16" s="342">
        <v>0.28683711949472962</v>
      </c>
      <c r="E16" s="343">
        <v>0.2733782065215507</v>
      </c>
      <c r="F16" s="343">
        <v>0.25728037187653657</v>
      </c>
      <c r="G16" s="349">
        <v>0.28504514130806374</v>
      </c>
    </row>
    <row r="17" spans="1:7">
      <c r="A17" s="331">
        <v>7</v>
      </c>
      <c r="B17" s="14" t="str">
        <f>"Total Regulatory Capital ratio &gt;="&amp;'9.1. Capital Requirements'!C21*100&amp;"%"</f>
        <v>Total Regulatory Capital ratio &gt;=16.4476236284454%</v>
      </c>
      <c r="C17" s="342">
        <v>0.23741325091215967</v>
      </c>
      <c r="D17" s="342">
        <v>0.29828193888977123</v>
      </c>
      <c r="E17" s="343">
        <v>0.28502816070274867</v>
      </c>
      <c r="F17" s="343">
        <v>0.26899910460742987</v>
      </c>
      <c r="G17" s="349">
        <v>0.29666191384539153</v>
      </c>
    </row>
    <row r="18" spans="1:7">
      <c r="A18" s="330"/>
      <c r="B18" s="193" t="s">
        <v>135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134</v>
      </c>
      <c r="C19" s="344">
        <v>6.0436632496437416E-2</v>
      </c>
      <c r="D19" s="344">
        <v>6.2549610251267512E-2</v>
      </c>
      <c r="E19" s="345">
        <v>6.2905165085480969E-2</v>
      </c>
      <c r="F19" s="345">
        <v>6.2139024691145531E-2</v>
      </c>
      <c r="G19" s="350">
        <v>6.2773789608698186E-2</v>
      </c>
    </row>
    <row r="20" spans="1:7">
      <c r="A20" s="332">
        <v>9</v>
      </c>
      <c r="B20" s="14" t="s">
        <v>133</v>
      </c>
      <c r="C20" s="344">
        <v>1.3827458331122928E-2</v>
      </c>
      <c r="D20" s="344">
        <v>1.7358063245516538E-2</v>
      </c>
      <c r="E20" s="345">
        <v>1.8211276177690146E-2</v>
      </c>
      <c r="F20" s="345">
        <v>1.8544317485381212E-2</v>
      </c>
      <c r="G20" s="350">
        <v>1.9356393074447937E-2</v>
      </c>
    </row>
    <row r="21" spans="1:7">
      <c r="A21" s="332">
        <v>10</v>
      </c>
      <c r="B21" s="14" t="s">
        <v>132</v>
      </c>
      <c r="C21" s="344">
        <v>4.1833152598745371E-2</v>
      </c>
      <c r="D21" s="344">
        <v>2.8332509651600744E-2</v>
      </c>
      <c r="E21" s="345">
        <v>2.8395594227122789E-2</v>
      </c>
      <c r="F21" s="345">
        <v>2.6226326867982805E-2</v>
      </c>
      <c r="G21" s="350">
        <v>2.6949173500236678E-2</v>
      </c>
    </row>
    <row r="22" spans="1:7">
      <c r="A22" s="332">
        <v>11</v>
      </c>
      <c r="B22" s="14" t="s">
        <v>131</v>
      </c>
      <c r="C22" s="344">
        <v>4.6609174165314481E-2</v>
      </c>
      <c r="D22" s="344">
        <v>4.5191547005750975E-2</v>
      </c>
      <c r="E22" s="345">
        <v>4.4693888907790816E-2</v>
      </c>
      <c r="F22" s="345">
        <v>4.3594707205764319E-2</v>
      </c>
      <c r="G22" s="350">
        <v>4.3417396534250245E-2</v>
      </c>
    </row>
    <row r="23" spans="1:7">
      <c r="A23" s="332">
        <v>12</v>
      </c>
      <c r="B23" s="14" t="s">
        <v>276</v>
      </c>
      <c r="C23" s="344">
        <v>-3.7859483277682335E-2</v>
      </c>
      <c r="D23" s="344">
        <v>2.2196802588843583E-2</v>
      </c>
      <c r="E23" s="345">
        <v>2.7027335053165225E-2</v>
      </c>
      <c r="F23" s="345">
        <v>2.2230101857872712E-2</v>
      </c>
      <c r="G23" s="350">
        <v>2.8581819743602483E-2</v>
      </c>
    </row>
    <row r="24" spans="1:7">
      <c r="A24" s="332">
        <v>13</v>
      </c>
      <c r="B24" s="14" t="s">
        <v>277</v>
      </c>
      <c r="C24" s="344">
        <v>-0.129285057497418</v>
      </c>
      <c r="D24" s="344">
        <v>7.4492721732142844E-2</v>
      </c>
      <c r="E24" s="345">
        <v>9.2571368450566099E-2</v>
      </c>
      <c r="F24" s="345">
        <v>7.4046029099126387E-2</v>
      </c>
      <c r="G24" s="350">
        <v>9.5952831981402573E-2</v>
      </c>
    </row>
    <row r="25" spans="1:7">
      <c r="A25" s="330"/>
      <c r="B25" s="193" t="s">
        <v>356</v>
      </c>
      <c r="C25" s="274"/>
      <c r="D25" s="274"/>
      <c r="E25" s="274"/>
      <c r="F25" s="274"/>
      <c r="G25" s="303"/>
    </row>
    <row r="26" spans="1:7">
      <c r="A26" s="332">
        <v>14</v>
      </c>
      <c r="B26" s="14" t="s">
        <v>130</v>
      </c>
      <c r="C26" s="344">
        <v>3.1383374383505025E-2</v>
      </c>
      <c r="D26" s="344">
        <v>3.7091083586973855E-2</v>
      </c>
      <c r="E26" s="345">
        <v>4.3856065957794094E-2</v>
      </c>
      <c r="F26" s="345">
        <v>3.5186743054338041E-2</v>
      </c>
      <c r="G26" s="350">
        <v>3.8277989529740389E-2</v>
      </c>
    </row>
    <row r="27" spans="1:7" ht="15" customHeight="1">
      <c r="A27" s="332">
        <v>15</v>
      </c>
      <c r="B27" s="14" t="s">
        <v>129</v>
      </c>
      <c r="C27" s="344">
        <v>6.2850331653137831E-2</v>
      </c>
      <c r="D27" s="344">
        <v>3.9855597062074463E-2</v>
      </c>
      <c r="E27" s="345">
        <v>4.3199424934015546E-2</v>
      </c>
      <c r="F27" s="345">
        <v>3.7837416778913384E-2</v>
      </c>
      <c r="G27" s="350">
        <v>3.9685254896344294E-2</v>
      </c>
    </row>
    <row r="28" spans="1:7">
      <c r="A28" s="332">
        <v>16</v>
      </c>
      <c r="B28" s="14" t="s">
        <v>128</v>
      </c>
      <c r="C28" s="344">
        <v>0.681440704033342</v>
      </c>
      <c r="D28" s="344">
        <v>0.63686365732586514</v>
      </c>
      <c r="E28" s="345">
        <v>0.6029229797560538</v>
      </c>
      <c r="F28" s="345">
        <v>0.6273912184147572</v>
      </c>
      <c r="G28" s="350">
        <v>0.64251309202962492</v>
      </c>
    </row>
    <row r="29" spans="1:7" ht="15" customHeight="1">
      <c r="A29" s="332">
        <v>17</v>
      </c>
      <c r="B29" s="14" t="s">
        <v>127</v>
      </c>
      <c r="C29" s="344">
        <v>0.70432453975950704</v>
      </c>
      <c r="D29" s="344">
        <v>0.65858827297638833</v>
      </c>
      <c r="E29" s="345">
        <v>0.63088773447180846</v>
      </c>
      <c r="F29" s="345">
        <v>0.62918236050228959</v>
      </c>
      <c r="G29" s="350">
        <v>0.62664275624645582</v>
      </c>
    </row>
    <row r="30" spans="1:7">
      <c r="A30" s="332">
        <v>18</v>
      </c>
      <c r="B30" s="14" t="s">
        <v>126</v>
      </c>
      <c r="C30" s="344">
        <v>0.1913795627607382</v>
      </c>
      <c r="D30" s="344">
        <v>-5.1591218536185687E-2</v>
      </c>
      <c r="E30" s="345">
        <v>-0.16799745601233074</v>
      </c>
      <c r="F30" s="345">
        <v>3.142294992092564E-2</v>
      </c>
      <c r="G30" s="350">
        <v>-8.4404561995822705E-2</v>
      </c>
    </row>
    <row r="31" spans="1:7" ht="15" customHeight="1">
      <c r="A31" s="330"/>
      <c r="B31" s="193" t="s">
        <v>357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125</v>
      </c>
      <c r="C32" s="344">
        <v>0.20018169756447959</v>
      </c>
      <c r="D32" s="344">
        <v>0.22544335949690955</v>
      </c>
      <c r="E32" s="344">
        <v>0.30899235550236059</v>
      </c>
      <c r="F32" s="344">
        <v>0.17361916098674099</v>
      </c>
      <c r="G32" s="351">
        <v>0.23692707310133235</v>
      </c>
    </row>
    <row r="33" spans="1:7" ht="15" customHeight="1">
      <c r="A33" s="332">
        <v>20</v>
      </c>
      <c r="B33" s="14" t="s">
        <v>124</v>
      </c>
      <c r="C33" s="344">
        <v>0.93896164059451526</v>
      </c>
      <c r="D33" s="344">
        <v>0.95776241751217162</v>
      </c>
      <c r="E33" s="344">
        <v>0.89343742388521852</v>
      </c>
      <c r="F33" s="344">
        <v>0.86844806306683242</v>
      </c>
      <c r="G33" s="351">
        <v>0.92354903365848706</v>
      </c>
    </row>
    <row r="34" spans="1:7" ht="15" customHeight="1">
      <c r="A34" s="332">
        <v>21</v>
      </c>
      <c r="B34" s="14" t="s">
        <v>123</v>
      </c>
      <c r="C34" s="344">
        <v>6.9767994297117386E-2</v>
      </c>
      <c r="D34" s="344">
        <v>6.2716433669411542E-2</v>
      </c>
      <c r="E34" s="344">
        <v>7.5299384002034522E-2</v>
      </c>
      <c r="F34" s="344">
        <v>3.753280832851133E-2</v>
      </c>
      <c r="G34" s="351">
        <v>4.6934345653768222E-2</v>
      </c>
    </row>
    <row r="35" spans="1:7" ht="15" customHeight="1">
      <c r="A35" s="333"/>
      <c r="B35" s="193" t="s">
        <v>400</v>
      </c>
      <c r="C35" s="274"/>
      <c r="D35" s="274"/>
      <c r="E35" s="274"/>
      <c r="F35" s="274"/>
      <c r="G35" s="303"/>
    </row>
    <row r="36" spans="1:7">
      <c r="A36" s="332">
        <v>22</v>
      </c>
      <c r="B36" s="14" t="s">
        <v>383</v>
      </c>
      <c r="C36" s="346">
        <v>120731826.71146001</v>
      </c>
      <c r="D36" s="346">
        <v>110089136.08999999</v>
      </c>
      <c r="E36" s="346">
        <v>120914587.7685</v>
      </c>
      <c r="F36" s="346">
        <v>88573687.457550019</v>
      </c>
      <c r="G36" s="483">
        <v>74663250.602000013</v>
      </c>
    </row>
    <row r="37" spans="1:7" ht="15" customHeight="1">
      <c r="A37" s="332">
        <v>23</v>
      </c>
      <c r="B37" s="14" t="s">
        <v>395</v>
      </c>
      <c r="C37" s="346">
        <v>81875012.410266101</v>
      </c>
      <c r="D37" s="346">
        <v>75563024.283210009</v>
      </c>
      <c r="E37" s="346">
        <v>74149329.353100002</v>
      </c>
      <c r="F37" s="346">
        <v>65056049.282400005</v>
      </c>
      <c r="G37" s="483">
        <v>31774500.655499998</v>
      </c>
    </row>
    <row r="38" spans="1:7" ht="14.4" thickBot="1">
      <c r="A38" s="334">
        <v>24</v>
      </c>
      <c r="B38" s="194" t="s">
        <v>384</v>
      </c>
      <c r="C38" s="347">
        <f>C36/C37</f>
        <v>1.4745869729641927</v>
      </c>
      <c r="D38" s="347">
        <v>1.4569180777808231</v>
      </c>
      <c r="E38" s="347">
        <v>1.6306902412118021</v>
      </c>
      <c r="F38" s="347">
        <v>1.3614980994782353</v>
      </c>
      <c r="G38" s="484">
        <v>2.3497851755878405</v>
      </c>
    </row>
    <row r="39" spans="1:7">
      <c r="A39" s="18"/>
    </row>
    <row r="40" spans="1:7" ht="52.8">
      <c r="B40" s="266" t="s">
        <v>507</v>
      </c>
    </row>
    <row r="41" spans="1:7" ht="66">
      <c r="B41" s="266" t="s">
        <v>399</v>
      </c>
    </row>
    <row r="42" spans="1:7" ht="14.4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8"/>
  <cols>
    <col min="1" max="1" width="9.5546875" style="4" bestFit="1" customWidth="1"/>
    <col min="2" max="2" width="55.109375" style="4" bestFit="1" customWidth="1"/>
    <col min="3" max="3" width="11.6640625" style="4" customWidth="1"/>
    <col min="4" max="4" width="13.33203125" style="4" customWidth="1"/>
    <col min="5" max="5" width="14.5546875" style="4" customWidth="1"/>
    <col min="6" max="6" width="11.6640625" style="4" customWidth="1"/>
    <col min="7" max="7" width="13.6640625" style="4" customWidth="1"/>
    <col min="8" max="8" width="14.5546875" style="4" customWidth="1"/>
    <col min="9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43921</v>
      </c>
    </row>
    <row r="3" spans="1:8">
      <c r="A3" s="2"/>
    </row>
    <row r="4" spans="1:8" ht="14.4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 ht="14.4">
      <c r="A7" s="25">
        <v>1</v>
      </c>
      <c r="B7" s="356" t="s">
        <v>35</v>
      </c>
      <c r="C7" s="357">
        <v>1245322.81</v>
      </c>
      <c r="D7" s="357">
        <v>2343811.98</v>
      </c>
      <c r="E7" s="358">
        <f>C7+D7</f>
        <v>3589134.79</v>
      </c>
      <c r="F7" s="359">
        <v>1530834.27</v>
      </c>
      <c r="G7" s="357">
        <v>4575541.6099999994</v>
      </c>
      <c r="H7" s="360">
        <f>F7+G7</f>
        <v>6106375.879999999</v>
      </c>
    </row>
    <row r="8" spans="1:8" ht="14.4">
      <c r="A8" s="25">
        <v>2</v>
      </c>
      <c r="B8" s="356" t="s">
        <v>36</v>
      </c>
      <c r="C8" s="357">
        <v>4919700.5599999996</v>
      </c>
      <c r="D8" s="357">
        <v>66675562.629999995</v>
      </c>
      <c r="E8" s="358">
        <f t="shared" ref="E8:E19" si="0">C8+D8</f>
        <v>71595263.189999998</v>
      </c>
      <c r="F8" s="359">
        <v>1385793.35</v>
      </c>
      <c r="G8" s="357">
        <v>35230800.420000002</v>
      </c>
      <c r="H8" s="360">
        <f t="shared" ref="H8:H40" si="1">F8+G8</f>
        <v>36616593.770000003</v>
      </c>
    </row>
    <row r="9" spans="1:8" ht="14.4">
      <c r="A9" s="25">
        <v>3</v>
      </c>
      <c r="B9" s="356" t="s">
        <v>37</v>
      </c>
      <c r="C9" s="357">
        <v>25934.52</v>
      </c>
      <c r="D9" s="357">
        <v>19513454.860316988</v>
      </c>
      <c r="E9" s="358">
        <f t="shared" si="0"/>
        <v>19539389.380316988</v>
      </c>
      <c r="F9" s="359">
        <v>5907635.1600000001</v>
      </c>
      <c r="G9" s="357">
        <v>14620967.173342001</v>
      </c>
      <c r="H9" s="360">
        <f t="shared" si="1"/>
        <v>20528602.333342001</v>
      </c>
    </row>
    <row r="10" spans="1:8" ht="14.4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 ht="14.4">
      <c r="A11" s="25">
        <v>5</v>
      </c>
      <c r="B11" s="356" t="s">
        <v>39</v>
      </c>
      <c r="C11" s="357">
        <v>32924438.94051902</v>
      </c>
      <c r="D11" s="357">
        <v>10350932.08181168</v>
      </c>
      <c r="E11" s="358">
        <f t="shared" si="0"/>
        <v>43275371.022330701</v>
      </c>
      <c r="F11" s="359">
        <v>25038305.372061796</v>
      </c>
      <c r="G11" s="357">
        <v>11153170.244504711</v>
      </c>
      <c r="H11" s="360">
        <f t="shared" si="1"/>
        <v>36191475.616566509</v>
      </c>
    </row>
    <row r="12" spans="1:8" ht="14.4">
      <c r="A12" s="25">
        <v>6.1</v>
      </c>
      <c r="B12" s="361" t="s">
        <v>40</v>
      </c>
      <c r="C12" s="357">
        <v>58177614.890000001</v>
      </c>
      <c r="D12" s="357">
        <v>124449656.16</v>
      </c>
      <c r="E12" s="358">
        <f t="shared" si="0"/>
        <v>182627271.05000001</v>
      </c>
      <c r="F12" s="359">
        <v>50174060.069999993</v>
      </c>
      <c r="G12" s="357">
        <v>90178100.949999988</v>
      </c>
      <c r="H12" s="360">
        <f t="shared" si="1"/>
        <v>140352161.01999998</v>
      </c>
    </row>
    <row r="13" spans="1:8" ht="14.4">
      <c r="A13" s="25">
        <v>6.2</v>
      </c>
      <c r="B13" s="361" t="s">
        <v>41</v>
      </c>
      <c r="C13" s="362">
        <v>-7476036.1789999995</v>
      </c>
      <c r="D13" s="362">
        <v>-4002148.3753999993</v>
      </c>
      <c r="E13" s="363">
        <f t="shared" si="0"/>
        <v>-11478184.554399999</v>
      </c>
      <c r="F13" s="364">
        <v>-2676291.2053999994</v>
      </c>
      <c r="G13" s="362">
        <v>-2893620.0794000002</v>
      </c>
      <c r="H13" s="365">
        <f t="shared" si="1"/>
        <v>-5569911.2847999996</v>
      </c>
    </row>
    <row r="14" spans="1:8" ht="14.4">
      <c r="A14" s="25">
        <v>6</v>
      </c>
      <c r="B14" s="356" t="s">
        <v>42</v>
      </c>
      <c r="C14" s="358">
        <f>C12+C13</f>
        <v>50701578.711000003</v>
      </c>
      <c r="D14" s="358">
        <f>D12+D13</f>
        <v>120447507.78459999</v>
      </c>
      <c r="E14" s="358">
        <f t="shared" si="0"/>
        <v>171149086.49559999</v>
      </c>
      <c r="F14" s="358">
        <f>F12+F13</f>
        <v>47497768.864599995</v>
      </c>
      <c r="G14" s="358">
        <f>G12+G13</f>
        <v>87284480.870599985</v>
      </c>
      <c r="H14" s="360">
        <f t="shared" si="1"/>
        <v>134782249.73519999</v>
      </c>
    </row>
    <row r="15" spans="1:8" ht="14.4">
      <c r="A15" s="25">
        <v>7</v>
      </c>
      <c r="B15" s="356" t="s">
        <v>43</v>
      </c>
      <c r="C15" s="357">
        <v>1302881.8100000005</v>
      </c>
      <c r="D15" s="357">
        <v>1016449.3910150002</v>
      </c>
      <c r="E15" s="358">
        <f t="shared" si="0"/>
        <v>2319331.2010150007</v>
      </c>
      <c r="F15" s="359">
        <v>810671.89999999746</v>
      </c>
      <c r="G15" s="357">
        <v>680139.95919400023</v>
      </c>
      <c r="H15" s="360">
        <f t="shared" si="1"/>
        <v>1490811.8591939977</v>
      </c>
    </row>
    <row r="16" spans="1:8" ht="14.4">
      <c r="A16" s="25">
        <v>8</v>
      </c>
      <c r="B16" s="356" t="s">
        <v>203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 ht="14.4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 ht="14.4">
      <c r="A18" s="25">
        <v>10</v>
      </c>
      <c r="B18" s="356" t="s">
        <v>45</v>
      </c>
      <c r="C18" s="357">
        <v>821953.47999999952</v>
      </c>
      <c r="D18" s="357">
        <v>0</v>
      </c>
      <c r="E18" s="358">
        <f t="shared" si="0"/>
        <v>821953.47999999952</v>
      </c>
      <c r="F18" s="359">
        <v>1239515.5899999999</v>
      </c>
      <c r="G18" s="357">
        <v>0</v>
      </c>
      <c r="H18" s="360">
        <f t="shared" si="1"/>
        <v>1239515.5899999999</v>
      </c>
    </row>
    <row r="19" spans="1:8" ht="14.4">
      <c r="A19" s="25">
        <v>11</v>
      </c>
      <c r="B19" s="356" t="s">
        <v>46</v>
      </c>
      <c r="C19" s="357">
        <v>720294.58385537867</v>
      </c>
      <c r="D19" s="357">
        <v>381437.14047300001</v>
      </c>
      <c r="E19" s="358">
        <f t="shared" si="0"/>
        <v>1101731.7243283787</v>
      </c>
      <c r="F19" s="359">
        <v>8554924.2785795014</v>
      </c>
      <c r="G19" s="357">
        <v>809698.70000000007</v>
      </c>
      <c r="H19" s="360">
        <f t="shared" si="1"/>
        <v>9364622.9785795007</v>
      </c>
    </row>
    <row r="20" spans="1:8" ht="14.4">
      <c r="A20" s="25">
        <v>12</v>
      </c>
      <c r="B20" s="366" t="s">
        <v>47</v>
      </c>
      <c r="C20" s="358">
        <f>SUM(C7:C11)+SUM(C14:C19)</f>
        <v>92662105.415374398</v>
      </c>
      <c r="D20" s="358">
        <f>SUM(D7:D11)+SUM(D14:D19)</f>
        <v>220729155.86821663</v>
      </c>
      <c r="E20" s="358">
        <f>C20+D20</f>
        <v>313391261.28359103</v>
      </c>
      <c r="F20" s="358">
        <f>SUM(F7:F11)+SUM(F14:F19)</f>
        <v>91965448.785241306</v>
      </c>
      <c r="G20" s="358">
        <f>SUM(G7:G11)+SUM(G14:G19)</f>
        <v>154354798.97764072</v>
      </c>
      <c r="H20" s="360">
        <f t="shared" si="1"/>
        <v>246320247.76288202</v>
      </c>
    </row>
    <row r="21" spans="1:8" ht="14.4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 ht="14.4">
      <c r="A22" s="25">
        <v>13</v>
      </c>
      <c r="B22" s="356" t="s">
        <v>49</v>
      </c>
      <c r="C22" s="357">
        <v>0</v>
      </c>
      <c r="D22" s="357">
        <v>168452870.48666501</v>
      </c>
      <c r="E22" s="358">
        <f>C22+D22</f>
        <v>168452870.48666501</v>
      </c>
      <c r="F22" s="359">
        <v>0</v>
      </c>
      <c r="G22" s="357">
        <v>100186877.91</v>
      </c>
      <c r="H22" s="360">
        <f t="shared" si="1"/>
        <v>100186877.91</v>
      </c>
    </row>
    <row r="23" spans="1:8" ht="14.4">
      <c r="A23" s="25">
        <v>14</v>
      </c>
      <c r="B23" s="356" t="s">
        <v>50</v>
      </c>
      <c r="C23" s="357">
        <v>10896532.139999999</v>
      </c>
      <c r="D23" s="357">
        <v>10968147.590000004</v>
      </c>
      <c r="E23" s="358">
        <f t="shared" ref="E23:E40" si="2">C23+D23</f>
        <v>21864679.730000004</v>
      </c>
      <c r="F23" s="359">
        <v>5166309.1399999997</v>
      </c>
      <c r="G23" s="357">
        <v>6394570.5099999961</v>
      </c>
      <c r="H23" s="360">
        <f t="shared" si="1"/>
        <v>11560879.649999995</v>
      </c>
    </row>
    <row r="24" spans="1:8" ht="14.4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 ht="14.4">
      <c r="A25" s="25">
        <v>16</v>
      </c>
      <c r="B25" s="356" t="s">
        <v>52</v>
      </c>
      <c r="C25" s="357">
        <v>113778.54000000001</v>
      </c>
      <c r="D25" s="357">
        <v>21659507.539999995</v>
      </c>
      <c r="E25" s="358">
        <f t="shared" si="2"/>
        <v>21773286.079999994</v>
      </c>
      <c r="F25" s="359">
        <v>172959.49</v>
      </c>
      <c r="G25" s="357">
        <v>25343777.649999995</v>
      </c>
      <c r="H25" s="360">
        <f t="shared" si="1"/>
        <v>25516737.139999993</v>
      </c>
    </row>
    <row r="26" spans="1:8" ht="14.4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 ht="14.4">
      <c r="A27" s="25">
        <v>18</v>
      </c>
      <c r="B27" s="356" t="s">
        <v>54</v>
      </c>
      <c r="C27" s="357">
        <v>3000000</v>
      </c>
      <c r="D27" s="357">
        <v>17882277.763180003</v>
      </c>
      <c r="E27" s="358">
        <f t="shared" si="2"/>
        <v>20882277.763180003</v>
      </c>
      <c r="F27" s="359">
        <v>0</v>
      </c>
      <c r="G27" s="357">
        <v>23112510.981886998</v>
      </c>
      <c r="H27" s="360">
        <f t="shared" si="1"/>
        <v>23112510.981886998</v>
      </c>
    </row>
    <row r="28" spans="1:8" ht="14.4">
      <c r="A28" s="25">
        <v>19</v>
      </c>
      <c r="B28" s="356" t="s">
        <v>55</v>
      </c>
      <c r="C28" s="357">
        <v>13549.27</v>
      </c>
      <c r="D28" s="357">
        <v>1293672.7999999998</v>
      </c>
      <c r="E28" s="358">
        <f t="shared" si="2"/>
        <v>1307222.0699999998</v>
      </c>
      <c r="F28" s="359">
        <v>9531.9700000000012</v>
      </c>
      <c r="G28" s="357">
        <v>1447210.4500000002</v>
      </c>
      <c r="H28" s="360">
        <f t="shared" si="1"/>
        <v>1456742.4200000002</v>
      </c>
    </row>
    <row r="29" spans="1:8" ht="14.4">
      <c r="A29" s="25">
        <v>20</v>
      </c>
      <c r="B29" s="356" t="s">
        <v>56</v>
      </c>
      <c r="C29" s="357">
        <v>348740.22</v>
      </c>
      <c r="D29" s="357">
        <v>839247.34019999986</v>
      </c>
      <c r="E29" s="358">
        <f t="shared" si="2"/>
        <v>1187987.5601999997</v>
      </c>
      <c r="F29" s="359">
        <v>7632124.4499999993</v>
      </c>
      <c r="G29" s="357">
        <v>328253.95959999989</v>
      </c>
      <c r="H29" s="360">
        <f t="shared" si="1"/>
        <v>7960378.409599999</v>
      </c>
    </row>
    <row r="30" spans="1:8" ht="14.4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0</v>
      </c>
      <c r="H30" s="360">
        <f t="shared" si="1"/>
        <v>0</v>
      </c>
    </row>
    <row r="31" spans="1:8" ht="14.4">
      <c r="A31" s="25">
        <v>22</v>
      </c>
      <c r="B31" s="366" t="s">
        <v>58</v>
      </c>
      <c r="C31" s="358">
        <f>SUM(C22:C30)</f>
        <v>14372600.169999998</v>
      </c>
      <c r="D31" s="358">
        <f>SUM(D22:D30)</f>
        <v>221095723.52004504</v>
      </c>
      <c r="E31" s="358">
        <f>C31+D31</f>
        <v>235468323.69004503</v>
      </c>
      <c r="F31" s="358">
        <f>SUM(F22:F30)</f>
        <v>12980925.049999999</v>
      </c>
      <c r="G31" s="358">
        <f>SUM(G22:G30)</f>
        <v>156813201.46148697</v>
      </c>
      <c r="H31" s="360">
        <f t="shared" si="1"/>
        <v>169794126.51148698</v>
      </c>
    </row>
    <row r="32" spans="1:8" ht="14.4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 ht="14.4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69161600</v>
      </c>
      <c r="G33" s="367"/>
      <c r="H33" s="360">
        <f t="shared" si="1"/>
        <v>69161600</v>
      </c>
    </row>
    <row r="34" spans="1:8" ht="14.4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 ht="14.4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 ht="14.4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 ht="14.4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 ht="14.4">
      <c r="A38" s="25">
        <v>28</v>
      </c>
      <c r="B38" s="356" t="s">
        <v>65</v>
      </c>
      <c r="C38" s="357">
        <v>8761337.5775684863</v>
      </c>
      <c r="D38" s="367"/>
      <c r="E38" s="358">
        <f t="shared" si="2"/>
        <v>8761337.5775684863</v>
      </c>
      <c r="F38" s="359">
        <v>7364521.2694696169</v>
      </c>
      <c r="G38" s="367"/>
      <c r="H38" s="360">
        <f t="shared" si="1"/>
        <v>7364521.2694696169</v>
      </c>
    </row>
    <row r="39" spans="1:8" ht="14.4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 ht="14.4">
      <c r="A40" s="25">
        <v>30</v>
      </c>
      <c r="B40" s="371" t="s">
        <v>271</v>
      </c>
      <c r="C40" s="372">
        <f>SUM(C33:C39)</f>
        <v>77922937.577568486</v>
      </c>
      <c r="D40" s="367"/>
      <c r="E40" s="358">
        <f t="shared" si="2"/>
        <v>77922937.577568486</v>
      </c>
      <c r="F40" s="372">
        <f>SUM(F33:F39)</f>
        <v>76526121.269469619</v>
      </c>
      <c r="G40" s="367"/>
      <c r="H40" s="360">
        <f t="shared" si="1"/>
        <v>76526121.269469619</v>
      </c>
    </row>
    <row r="41" spans="1:8" ht="15" thickBot="1">
      <c r="A41" s="26">
        <v>31</v>
      </c>
      <c r="B41" s="27" t="s">
        <v>67</v>
      </c>
      <c r="C41" s="373">
        <f>C31+C40</f>
        <v>92295537.747568488</v>
      </c>
      <c r="D41" s="373">
        <f>D31+D40</f>
        <v>221095723.52004504</v>
      </c>
      <c r="E41" s="373">
        <f>C41+D41</f>
        <v>313391261.26761353</v>
      </c>
      <c r="F41" s="373">
        <f>F31+F40</f>
        <v>89507046.319469616</v>
      </c>
      <c r="G41" s="373">
        <f>G31+G40</f>
        <v>156813201.46148697</v>
      </c>
      <c r="H41" s="374">
        <f>F41+G41</f>
        <v>246320247.78095657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2"/>
  <cols>
    <col min="1" max="1" width="9.5546875" style="4" bestFit="1" customWidth="1"/>
    <col min="2" max="2" width="89.109375" style="4" customWidth="1"/>
    <col min="3" max="8" width="12.6640625" style="4" customWidth="1"/>
    <col min="9" max="9" width="8.88671875" style="4" customWidth="1"/>
    <col min="10" max="16384" width="9.109375" style="4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43921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8" thickBot="1">
      <c r="A4" s="30" t="s">
        <v>199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198</v>
      </c>
      <c r="C7" s="385"/>
      <c r="D7" s="385"/>
      <c r="E7" s="385"/>
      <c r="F7" s="385"/>
      <c r="G7" s="385"/>
      <c r="H7" s="398"/>
    </row>
    <row r="8" spans="1:8" ht="13.8">
      <c r="A8" s="35">
        <v>1</v>
      </c>
      <c r="B8" s="376" t="s">
        <v>197</v>
      </c>
      <c r="C8" s="386">
        <v>184161.46000000002</v>
      </c>
      <c r="D8" s="386">
        <v>0</v>
      </c>
      <c r="E8" s="363">
        <f t="shared" ref="E8:E22" si="0">C8+D8</f>
        <v>184161.46000000002</v>
      </c>
      <c r="F8" s="388">
        <v>227964.45999999996</v>
      </c>
      <c r="G8" s="388">
        <v>29.79</v>
      </c>
      <c r="H8" s="365">
        <f t="shared" ref="H8:H22" si="1">F8+G8</f>
        <v>227994.24999999997</v>
      </c>
    </row>
    <row r="9" spans="1:8" ht="13.8">
      <c r="A9" s="35">
        <v>2</v>
      </c>
      <c r="B9" s="376" t="s">
        <v>196</v>
      </c>
      <c r="C9" s="387">
        <f>C10+C11+C12+C13+C14+C15+C16+C17+C18</f>
        <v>2840766.2800000003</v>
      </c>
      <c r="D9" s="387">
        <f>D10+D11+D12+D13+D14+D15+D16+D17+D18</f>
        <v>179619.13</v>
      </c>
      <c r="E9" s="363">
        <f t="shared" si="0"/>
        <v>3020385.41</v>
      </c>
      <c r="F9" s="387">
        <f>F10+F11+F12+F13+F14+F15+F16+F17+F18</f>
        <v>2924339.44</v>
      </c>
      <c r="G9" s="387">
        <f>G10+G11+G12+G13+G14+G15+G16+G17+G18</f>
        <v>206267.77</v>
      </c>
      <c r="H9" s="365">
        <f t="shared" si="1"/>
        <v>3130607.21</v>
      </c>
    </row>
    <row r="10" spans="1:8" ht="13.8">
      <c r="A10" s="35">
        <v>2.1</v>
      </c>
      <c r="B10" s="377" t="s">
        <v>195</v>
      </c>
      <c r="C10" s="388">
        <v>0</v>
      </c>
      <c r="D10" s="388">
        <v>32400.02</v>
      </c>
      <c r="E10" s="363">
        <f t="shared" si="0"/>
        <v>32400.02</v>
      </c>
      <c r="F10" s="388">
        <v>0</v>
      </c>
      <c r="G10" s="388">
        <v>33538.31</v>
      </c>
      <c r="H10" s="365">
        <f t="shared" si="1"/>
        <v>33538.31</v>
      </c>
    </row>
    <row r="11" spans="1:8" ht="13.8">
      <c r="A11" s="35">
        <v>2.2000000000000002</v>
      </c>
      <c r="B11" s="377" t="s">
        <v>194</v>
      </c>
      <c r="C11" s="388">
        <v>2573070.9400000004</v>
      </c>
      <c r="D11" s="388">
        <v>0</v>
      </c>
      <c r="E11" s="363">
        <f t="shared" si="0"/>
        <v>2573070.9400000004</v>
      </c>
      <c r="F11" s="388">
        <v>2682153.4899999998</v>
      </c>
      <c r="G11" s="388">
        <v>0</v>
      </c>
      <c r="H11" s="365">
        <f t="shared" si="1"/>
        <v>2682153.4899999998</v>
      </c>
    </row>
    <row r="12" spans="1:8" ht="13.8">
      <c r="A12" s="35">
        <v>2.2999999999999998</v>
      </c>
      <c r="B12" s="377" t="s">
        <v>193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 ht="13.8">
      <c r="A13" s="35">
        <v>2.4</v>
      </c>
      <c r="B13" s="377" t="s">
        <v>192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 ht="13.8">
      <c r="A14" s="35">
        <v>2.5</v>
      </c>
      <c r="B14" s="377" t="s">
        <v>191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 ht="13.8">
      <c r="A15" s="35">
        <v>2.6</v>
      </c>
      <c r="B15" s="377" t="s">
        <v>190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 ht="13.8">
      <c r="A16" s="35">
        <v>2.7</v>
      </c>
      <c r="B16" s="377" t="s">
        <v>189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 ht="13.8">
      <c r="A17" s="35">
        <v>2.8</v>
      </c>
      <c r="B17" s="377" t="s">
        <v>188</v>
      </c>
      <c r="C17" s="388">
        <v>267695.33999999997</v>
      </c>
      <c r="D17" s="388">
        <v>147219.11000000002</v>
      </c>
      <c r="E17" s="363">
        <f t="shared" si="0"/>
        <v>414914.44999999995</v>
      </c>
      <c r="F17" s="388">
        <v>242185.95</v>
      </c>
      <c r="G17" s="388">
        <v>172729.46</v>
      </c>
      <c r="H17" s="365">
        <f t="shared" si="1"/>
        <v>414915.41000000003</v>
      </c>
    </row>
    <row r="18" spans="1:8" ht="13.8">
      <c r="A18" s="35">
        <v>2.9</v>
      </c>
      <c r="B18" s="377" t="s">
        <v>187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 ht="13.8">
      <c r="A19" s="35">
        <v>3</v>
      </c>
      <c r="B19" s="376" t="s">
        <v>186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 ht="13.8">
      <c r="A20" s="35">
        <v>4</v>
      </c>
      <c r="B20" s="376" t="s">
        <v>185</v>
      </c>
      <c r="C20" s="388">
        <v>804491.79390463512</v>
      </c>
      <c r="D20" s="388">
        <v>134008.80602704867</v>
      </c>
      <c r="E20" s="363">
        <f t="shared" si="0"/>
        <v>938500.59993168386</v>
      </c>
      <c r="F20" s="388">
        <v>504290.02797016222</v>
      </c>
      <c r="G20" s="388">
        <v>124703.91401860875</v>
      </c>
      <c r="H20" s="365">
        <f t="shared" si="1"/>
        <v>628993.94198877097</v>
      </c>
    </row>
    <row r="21" spans="1:8" ht="13.8">
      <c r="A21" s="35">
        <v>5</v>
      </c>
      <c r="B21" s="376" t="s">
        <v>184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 ht="13.8">
      <c r="A22" s="35">
        <v>6</v>
      </c>
      <c r="B22" s="378" t="s">
        <v>183</v>
      </c>
      <c r="C22" s="387">
        <f>C8+C9+C19+C20+C21</f>
        <v>3829419.5339046353</v>
      </c>
      <c r="D22" s="387">
        <f>D8+D9+D19+D20+D21</f>
        <v>313627.93602704868</v>
      </c>
      <c r="E22" s="363">
        <f t="shared" si="0"/>
        <v>4143047.469931684</v>
      </c>
      <c r="F22" s="387">
        <f>F8+F9+F19+F20+F21</f>
        <v>3656593.9279701621</v>
      </c>
      <c r="G22" s="387">
        <f>G8+G9+G19+G20+G21</f>
        <v>331001.47401860874</v>
      </c>
      <c r="H22" s="365">
        <f t="shared" si="1"/>
        <v>3987595.4019887708</v>
      </c>
    </row>
    <row r="23" spans="1:8" ht="13.8">
      <c r="A23" s="35"/>
      <c r="B23" s="195" t="s">
        <v>182</v>
      </c>
      <c r="C23" s="388"/>
      <c r="D23" s="388"/>
      <c r="E23" s="362"/>
      <c r="F23" s="388"/>
      <c r="G23" s="388"/>
      <c r="H23" s="399"/>
    </row>
    <row r="24" spans="1:8" ht="13.8">
      <c r="A24" s="35">
        <v>7</v>
      </c>
      <c r="B24" s="376" t="s">
        <v>181</v>
      </c>
      <c r="C24" s="388">
        <v>33765.39</v>
      </c>
      <c r="D24" s="388">
        <v>0</v>
      </c>
      <c r="E24" s="363">
        <f t="shared" ref="E24:E31" si="2">C24+D24</f>
        <v>33765.39</v>
      </c>
      <c r="F24" s="388">
        <v>18386.37</v>
      </c>
      <c r="G24" s="388">
        <v>0</v>
      </c>
      <c r="H24" s="365">
        <f t="shared" ref="H24:H31" si="3">F24+G24</f>
        <v>18386.37</v>
      </c>
    </row>
    <row r="25" spans="1:8" ht="13.8">
      <c r="A25" s="35">
        <v>8</v>
      </c>
      <c r="B25" s="376" t="s">
        <v>180</v>
      </c>
      <c r="C25" s="388">
        <v>175452.41000000006</v>
      </c>
      <c r="D25" s="388">
        <v>0</v>
      </c>
      <c r="E25" s="363">
        <f t="shared" si="2"/>
        <v>175452.41000000006</v>
      </c>
      <c r="F25" s="388">
        <v>225265.44999999995</v>
      </c>
      <c r="G25" s="388">
        <v>0</v>
      </c>
      <c r="H25" s="365">
        <f t="shared" si="3"/>
        <v>225265.44999999995</v>
      </c>
    </row>
    <row r="26" spans="1:8" ht="13.8">
      <c r="A26" s="35">
        <v>9</v>
      </c>
      <c r="B26" s="376" t="s">
        <v>179</v>
      </c>
      <c r="C26" s="388">
        <v>16479.14</v>
      </c>
      <c r="D26" s="388">
        <v>454977.70999999996</v>
      </c>
      <c r="E26" s="363">
        <f t="shared" si="2"/>
        <v>471456.85</v>
      </c>
      <c r="F26" s="388">
        <v>202991.23</v>
      </c>
      <c r="G26" s="388">
        <v>445896.39</v>
      </c>
      <c r="H26" s="365">
        <f t="shared" si="3"/>
        <v>648887.62</v>
      </c>
    </row>
    <row r="27" spans="1:8" ht="13.8">
      <c r="A27" s="35">
        <v>10</v>
      </c>
      <c r="B27" s="376" t="s">
        <v>178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 ht="13.8">
      <c r="A28" s="35">
        <v>11</v>
      </c>
      <c r="B28" s="376" t="s">
        <v>177</v>
      </c>
      <c r="C28" s="388">
        <v>23696.16</v>
      </c>
      <c r="D28" s="388">
        <v>243528.07</v>
      </c>
      <c r="E28" s="363">
        <f t="shared" si="2"/>
        <v>267224.23</v>
      </c>
      <c r="F28" s="388">
        <v>641.59</v>
      </c>
      <c r="G28" s="388">
        <v>336400.05</v>
      </c>
      <c r="H28" s="365">
        <f t="shared" si="3"/>
        <v>337041.64</v>
      </c>
    </row>
    <row r="29" spans="1:8" ht="13.8">
      <c r="A29" s="35">
        <v>12</v>
      </c>
      <c r="B29" s="376" t="s">
        <v>176</v>
      </c>
      <c r="C29" s="388"/>
      <c r="D29" s="388"/>
      <c r="E29" s="363">
        <f t="shared" si="2"/>
        <v>0</v>
      </c>
      <c r="F29" s="388">
        <v>0</v>
      </c>
      <c r="G29" s="388"/>
      <c r="H29" s="365">
        <f t="shared" si="3"/>
        <v>0</v>
      </c>
    </row>
    <row r="30" spans="1:8" ht="13.8">
      <c r="A30" s="35">
        <v>13</v>
      </c>
      <c r="B30" s="379" t="s">
        <v>175</v>
      </c>
      <c r="C30" s="387">
        <f>C24+C25+C26+C27+C28+C29</f>
        <v>249393.10000000006</v>
      </c>
      <c r="D30" s="387">
        <f>D24+D25+D26+D27+D28+D29</f>
        <v>698505.78</v>
      </c>
      <c r="E30" s="363">
        <f t="shared" si="2"/>
        <v>947898.88000000012</v>
      </c>
      <c r="F30" s="387">
        <f>F24+F25+F26+F27+F28+F29</f>
        <v>447284.63999999996</v>
      </c>
      <c r="G30" s="387">
        <f>G24+G25+G26+G27+G28+G29</f>
        <v>782296.44</v>
      </c>
      <c r="H30" s="365">
        <f t="shared" si="3"/>
        <v>1229581.0799999998</v>
      </c>
    </row>
    <row r="31" spans="1:8" ht="13.8">
      <c r="A31" s="35">
        <v>14</v>
      </c>
      <c r="B31" s="379" t="s">
        <v>174</v>
      </c>
      <c r="C31" s="387">
        <f>C22-C30</f>
        <v>3580026.4339046353</v>
      </c>
      <c r="D31" s="387">
        <f>D22-D30</f>
        <v>-384877.84397295135</v>
      </c>
      <c r="E31" s="363">
        <f t="shared" si="2"/>
        <v>3195148.5899316841</v>
      </c>
      <c r="F31" s="387">
        <f>F22-F30</f>
        <v>3209309.287970162</v>
      </c>
      <c r="G31" s="387">
        <f>G22-G30</f>
        <v>-451294.9659813912</v>
      </c>
      <c r="H31" s="365">
        <f t="shared" si="3"/>
        <v>2758014.3219887707</v>
      </c>
    </row>
    <row r="32" spans="1:8" ht="13.8">
      <c r="A32" s="35"/>
      <c r="B32" s="380"/>
      <c r="C32" s="389"/>
      <c r="D32" s="389"/>
      <c r="E32" s="389"/>
      <c r="F32" s="389"/>
      <c r="G32" s="389"/>
      <c r="H32" s="400"/>
    </row>
    <row r="33" spans="1:8" ht="13.8">
      <c r="A33" s="35"/>
      <c r="B33" s="380" t="s">
        <v>173</v>
      </c>
      <c r="C33" s="388"/>
      <c r="D33" s="388"/>
      <c r="E33" s="362"/>
      <c r="F33" s="388"/>
      <c r="G33" s="388"/>
      <c r="H33" s="399"/>
    </row>
    <row r="34" spans="1:8" ht="13.8">
      <c r="A34" s="35">
        <v>15</v>
      </c>
      <c r="B34" s="381" t="s">
        <v>172</v>
      </c>
      <c r="C34" s="390">
        <f>C35-C36</f>
        <v>202142.55999999994</v>
      </c>
      <c r="D34" s="390">
        <f>D35-D36</f>
        <v>0</v>
      </c>
      <c r="E34" s="363">
        <f t="shared" ref="E34:E45" si="4">C34+D34</f>
        <v>202142.55999999994</v>
      </c>
      <c r="F34" s="390">
        <f>F35-F36</f>
        <v>41808.720000000001</v>
      </c>
      <c r="G34" s="390">
        <f>G35-G36</f>
        <v>0</v>
      </c>
      <c r="H34" s="365">
        <f t="shared" ref="H34:H45" si="5">F34+G34</f>
        <v>41808.720000000001</v>
      </c>
    </row>
    <row r="35" spans="1:8" ht="13.8">
      <c r="A35" s="35">
        <v>15.1</v>
      </c>
      <c r="B35" s="377" t="s">
        <v>171</v>
      </c>
      <c r="C35" s="388">
        <v>358530.68999999994</v>
      </c>
      <c r="D35" s="388"/>
      <c r="E35" s="363">
        <f t="shared" si="4"/>
        <v>358530.68999999994</v>
      </c>
      <c r="F35" s="388">
        <v>289491.27</v>
      </c>
      <c r="G35" s="388"/>
      <c r="H35" s="365">
        <f t="shared" si="5"/>
        <v>289491.27</v>
      </c>
    </row>
    <row r="36" spans="1:8" ht="13.8">
      <c r="A36" s="35">
        <v>15.2</v>
      </c>
      <c r="B36" s="377" t="s">
        <v>170</v>
      </c>
      <c r="C36" s="388">
        <v>156388.13</v>
      </c>
      <c r="D36" s="388"/>
      <c r="E36" s="363">
        <f t="shared" si="4"/>
        <v>156388.13</v>
      </c>
      <c r="F36" s="388">
        <v>247682.55000000002</v>
      </c>
      <c r="G36" s="388"/>
      <c r="H36" s="365">
        <f t="shared" si="5"/>
        <v>247682.55000000002</v>
      </c>
    </row>
    <row r="37" spans="1:8" ht="13.8">
      <c r="A37" s="35">
        <v>16</v>
      </c>
      <c r="B37" s="376" t="s">
        <v>169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 ht="13.8">
      <c r="A38" s="35">
        <v>17</v>
      </c>
      <c r="B38" s="376" t="s">
        <v>168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 ht="13.8">
      <c r="A39" s="35">
        <v>18</v>
      </c>
      <c r="B39" s="376" t="s">
        <v>167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 ht="13.8">
      <c r="A40" s="35">
        <v>19</v>
      </c>
      <c r="B40" s="376" t="s">
        <v>166</v>
      </c>
      <c r="C40" s="388">
        <v>548070.66999999993</v>
      </c>
      <c r="D40" s="388"/>
      <c r="E40" s="363">
        <f t="shared" si="4"/>
        <v>548070.66999999993</v>
      </c>
      <c r="F40" s="388">
        <v>123573.78</v>
      </c>
      <c r="G40" s="388"/>
      <c r="H40" s="365">
        <f t="shared" si="5"/>
        <v>123573.78</v>
      </c>
    </row>
    <row r="41" spans="1:8" ht="13.8">
      <c r="A41" s="35">
        <v>20</v>
      </c>
      <c r="B41" s="376" t="s">
        <v>165</v>
      </c>
      <c r="C41" s="388">
        <v>99373.019999995828</v>
      </c>
      <c r="D41" s="388"/>
      <c r="E41" s="363">
        <f t="shared" si="4"/>
        <v>99373.019999995828</v>
      </c>
      <c r="F41" s="388">
        <v>-28198.920000000042</v>
      </c>
      <c r="G41" s="388"/>
      <c r="H41" s="365">
        <f t="shared" si="5"/>
        <v>-28198.920000000042</v>
      </c>
    </row>
    <row r="42" spans="1:8" ht="13.8">
      <c r="A42" s="35">
        <v>21</v>
      </c>
      <c r="B42" s="376" t="s">
        <v>164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 ht="13.8">
      <c r="A43" s="35">
        <v>22</v>
      </c>
      <c r="B43" s="376" t="s">
        <v>163</v>
      </c>
      <c r="C43" s="388">
        <v>545384.41</v>
      </c>
      <c r="D43" s="388"/>
      <c r="E43" s="363">
        <f t="shared" si="4"/>
        <v>545384.41</v>
      </c>
      <c r="F43" s="388">
        <v>389948.00999999995</v>
      </c>
      <c r="G43" s="388"/>
      <c r="H43" s="365">
        <f t="shared" si="5"/>
        <v>389948.00999999995</v>
      </c>
    </row>
    <row r="44" spans="1:8" ht="13.8">
      <c r="A44" s="35">
        <v>23</v>
      </c>
      <c r="B44" s="376" t="s">
        <v>162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 ht="13.8">
      <c r="A45" s="35">
        <v>24</v>
      </c>
      <c r="B45" s="379" t="s">
        <v>278</v>
      </c>
      <c r="C45" s="387">
        <f>C34+C37+C38+C39+C40+C41+C42+C43+C44</f>
        <v>1394970.6599999957</v>
      </c>
      <c r="D45" s="387">
        <f>D34+D37+D38+D39+D40+D41+D42+D43+D44</f>
        <v>0</v>
      </c>
      <c r="E45" s="363">
        <f t="shared" si="4"/>
        <v>1394970.6599999957</v>
      </c>
      <c r="F45" s="387">
        <f>F34+F37+F38+F39+F40+F41+F42+F43+F44</f>
        <v>527131.58999999985</v>
      </c>
      <c r="G45" s="387">
        <f>G34+G37+G38+G39+G40+G41+G42+G43+G44</f>
        <v>0</v>
      </c>
      <c r="H45" s="365">
        <f t="shared" si="5"/>
        <v>527131.58999999985</v>
      </c>
    </row>
    <row r="46" spans="1:8" ht="13.8">
      <c r="A46" s="35"/>
      <c r="B46" s="195" t="s">
        <v>161</v>
      </c>
      <c r="C46" s="388"/>
      <c r="D46" s="388"/>
      <c r="E46" s="388"/>
      <c r="F46" s="388"/>
      <c r="G46" s="388"/>
      <c r="H46" s="401"/>
    </row>
    <row r="47" spans="1:8" ht="13.8">
      <c r="A47" s="35">
        <v>25</v>
      </c>
      <c r="B47" s="376" t="s">
        <v>160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 ht="13.8">
      <c r="A48" s="35">
        <v>26</v>
      </c>
      <c r="B48" s="376" t="s">
        <v>159</v>
      </c>
      <c r="C48" s="388">
        <v>16823.77</v>
      </c>
      <c r="D48" s="388"/>
      <c r="E48" s="363">
        <f t="shared" si="6"/>
        <v>16823.77</v>
      </c>
      <c r="F48" s="388">
        <v>25472.690000000002</v>
      </c>
      <c r="G48" s="388"/>
      <c r="H48" s="365">
        <f t="shared" si="7"/>
        <v>25472.690000000002</v>
      </c>
    </row>
    <row r="49" spans="1:8" ht="13.8">
      <c r="A49" s="35">
        <v>27</v>
      </c>
      <c r="B49" s="376" t="s">
        <v>158</v>
      </c>
      <c r="C49" s="388">
        <v>1105618.75</v>
      </c>
      <c r="D49" s="388"/>
      <c r="E49" s="363">
        <f t="shared" si="6"/>
        <v>1105618.75</v>
      </c>
      <c r="F49" s="388">
        <v>1080060.5399999998</v>
      </c>
      <c r="G49" s="388"/>
      <c r="H49" s="365">
        <f t="shared" si="7"/>
        <v>1080060.5399999998</v>
      </c>
    </row>
    <row r="50" spans="1:8" ht="13.8">
      <c r="A50" s="35">
        <v>28</v>
      </c>
      <c r="B50" s="376" t="s">
        <v>157</v>
      </c>
      <c r="C50" s="388">
        <v>6293.85</v>
      </c>
      <c r="D50" s="388"/>
      <c r="E50" s="363">
        <f t="shared" si="6"/>
        <v>6293.85</v>
      </c>
      <c r="F50" s="388">
        <v>3669.23</v>
      </c>
      <c r="G50" s="388"/>
      <c r="H50" s="365">
        <f t="shared" si="7"/>
        <v>3669.23</v>
      </c>
    </row>
    <row r="51" spans="1:8" ht="13.8">
      <c r="A51" s="35">
        <v>29</v>
      </c>
      <c r="B51" s="376" t="s">
        <v>156</v>
      </c>
      <c r="C51" s="388">
        <v>111570.9</v>
      </c>
      <c r="D51" s="388"/>
      <c r="E51" s="363">
        <f t="shared" si="6"/>
        <v>111570.9</v>
      </c>
      <c r="F51" s="388">
        <v>182623.34</v>
      </c>
      <c r="G51" s="388"/>
      <c r="H51" s="365">
        <f t="shared" si="7"/>
        <v>182623.34</v>
      </c>
    </row>
    <row r="52" spans="1:8" ht="13.8">
      <c r="A52" s="35">
        <v>30</v>
      </c>
      <c r="B52" s="376" t="s">
        <v>155</v>
      </c>
      <c r="C52" s="388">
        <v>382695.83999999997</v>
      </c>
      <c r="D52" s="388"/>
      <c r="E52" s="363">
        <f t="shared" si="6"/>
        <v>382695.83999999997</v>
      </c>
      <c r="F52" s="388">
        <v>309619.83</v>
      </c>
      <c r="G52" s="388"/>
      <c r="H52" s="365">
        <f t="shared" si="7"/>
        <v>309619.83</v>
      </c>
    </row>
    <row r="53" spans="1:8" ht="13.8">
      <c r="A53" s="35">
        <v>31</v>
      </c>
      <c r="B53" s="379" t="s">
        <v>279</v>
      </c>
      <c r="C53" s="387">
        <f>C47+C48+C49+C50+C51+C52</f>
        <v>1623003.1099999999</v>
      </c>
      <c r="D53" s="387">
        <f>D47+D48+D49+D50+D51+D52</f>
        <v>0</v>
      </c>
      <c r="E53" s="363">
        <f t="shared" si="6"/>
        <v>1623003.1099999999</v>
      </c>
      <c r="F53" s="387">
        <f>F47+F48+F49+F50+F51+F52</f>
        <v>1601445.63</v>
      </c>
      <c r="G53" s="387">
        <f>G47+G48+G49+G50+G51+G52</f>
        <v>0</v>
      </c>
      <c r="H53" s="365">
        <f t="shared" si="7"/>
        <v>1601445.63</v>
      </c>
    </row>
    <row r="54" spans="1:8" ht="13.8">
      <c r="A54" s="35">
        <v>32</v>
      </c>
      <c r="B54" s="379" t="s">
        <v>280</v>
      </c>
      <c r="C54" s="387">
        <f>C45-C53</f>
        <v>-228032.45000000414</v>
      </c>
      <c r="D54" s="387">
        <f>D45-D53</f>
        <v>0</v>
      </c>
      <c r="E54" s="363">
        <f t="shared" si="6"/>
        <v>-228032.45000000414</v>
      </c>
      <c r="F54" s="387">
        <f>F45-F53</f>
        <v>-1074314.04</v>
      </c>
      <c r="G54" s="387">
        <f>G45-G53</f>
        <v>0</v>
      </c>
      <c r="H54" s="365">
        <f t="shared" si="7"/>
        <v>-1074314.04</v>
      </c>
    </row>
    <row r="55" spans="1:8" ht="13.8">
      <c r="A55" s="35"/>
      <c r="B55" s="380"/>
      <c r="C55" s="389"/>
      <c r="D55" s="389"/>
      <c r="E55" s="389"/>
      <c r="F55" s="389"/>
      <c r="G55" s="389"/>
      <c r="H55" s="400"/>
    </row>
    <row r="56" spans="1:8" ht="13.8">
      <c r="A56" s="35">
        <v>33</v>
      </c>
      <c r="B56" s="379" t="s">
        <v>154</v>
      </c>
      <c r="C56" s="387">
        <f>C31+C54</f>
        <v>3351993.9839046309</v>
      </c>
      <c r="D56" s="387">
        <f>D31+D54</f>
        <v>-384877.84397295135</v>
      </c>
      <c r="E56" s="363">
        <f>C56+D56</f>
        <v>2967116.1399316797</v>
      </c>
      <c r="F56" s="387">
        <f>F31+F54</f>
        <v>2134995.247970162</v>
      </c>
      <c r="G56" s="387">
        <f>G31+G54</f>
        <v>-451294.9659813912</v>
      </c>
      <c r="H56" s="365">
        <f>F56+G56</f>
        <v>1683700.2819887707</v>
      </c>
    </row>
    <row r="57" spans="1:8" ht="13.8">
      <c r="A57" s="35"/>
      <c r="B57" s="380"/>
      <c r="C57" s="389"/>
      <c r="D57" s="389"/>
      <c r="E57" s="389"/>
      <c r="F57" s="389"/>
      <c r="G57" s="389"/>
      <c r="H57" s="400"/>
    </row>
    <row r="58" spans="1:8" ht="13.8">
      <c r="A58" s="35">
        <v>34</v>
      </c>
      <c r="B58" s="376" t="s">
        <v>153</v>
      </c>
      <c r="C58" s="388">
        <v>5683892.6506327381</v>
      </c>
      <c r="D58" s="388"/>
      <c r="E58" s="363">
        <f>C58+D58</f>
        <v>5683892.6506327381</v>
      </c>
      <c r="F58" s="388">
        <v>-17340.737964374945</v>
      </c>
      <c r="G58" s="388"/>
      <c r="H58" s="365">
        <f>F58+G58</f>
        <v>-17340.737964374945</v>
      </c>
    </row>
    <row r="59" spans="1:8" s="196" customFormat="1" ht="13.8">
      <c r="A59" s="35">
        <v>35</v>
      </c>
      <c r="B59" s="376" t="s">
        <v>152</v>
      </c>
      <c r="C59" s="388">
        <v>-31147.196199181781</v>
      </c>
      <c r="D59" s="388"/>
      <c r="E59" s="393">
        <f>C59+D59</f>
        <v>-31147.196199181781</v>
      </c>
      <c r="F59" s="395">
        <v>193.14136336799129</v>
      </c>
      <c r="G59" s="395"/>
      <c r="H59" s="402">
        <f>F59+G59</f>
        <v>193.14136336799129</v>
      </c>
    </row>
    <row r="60" spans="1:8" ht="13.8">
      <c r="A60" s="35">
        <v>36</v>
      </c>
      <c r="B60" s="376" t="s">
        <v>151</v>
      </c>
      <c r="C60" s="388">
        <v>-90288.873987280036</v>
      </c>
      <c r="D60" s="388"/>
      <c r="E60" s="363">
        <f>C60+D60</f>
        <v>-90288.873987280036</v>
      </c>
      <c r="F60" s="388">
        <v>-114762.32593209998</v>
      </c>
      <c r="G60" s="388"/>
      <c r="H60" s="365">
        <f>F60+G60</f>
        <v>-114762.32593209998</v>
      </c>
    </row>
    <row r="61" spans="1:8" ht="13.8">
      <c r="A61" s="35">
        <v>37</v>
      </c>
      <c r="B61" s="379" t="s">
        <v>150</v>
      </c>
      <c r="C61" s="387">
        <f>C58+C59+C60</f>
        <v>5562456.5804462768</v>
      </c>
      <c r="D61" s="387">
        <f>D58+D59+D60</f>
        <v>0</v>
      </c>
      <c r="E61" s="363">
        <f>C61+D61</f>
        <v>5562456.5804462768</v>
      </c>
      <c r="F61" s="387">
        <f>F58+F59+F60</f>
        <v>-131909.92253310693</v>
      </c>
      <c r="G61" s="387">
        <f>G58+G59+G60</f>
        <v>0</v>
      </c>
      <c r="H61" s="365">
        <f>F61+G61</f>
        <v>-131909.92253310693</v>
      </c>
    </row>
    <row r="62" spans="1:8" ht="13.8">
      <c r="A62" s="35"/>
      <c r="B62" s="382"/>
      <c r="C62" s="388"/>
      <c r="D62" s="388"/>
      <c r="E62" s="388"/>
      <c r="F62" s="388"/>
      <c r="G62" s="388"/>
      <c r="H62" s="401"/>
    </row>
    <row r="63" spans="1:8" ht="13.8">
      <c r="A63" s="35">
        <v>38</v>
      </c>
      <c r="B63" s="383" t="s">
        <v>149</v>
      </c>
      <c r="C63" s="387">
        <f>C56-C61</f>
        <v>-2210462.5965416459</v>
      </c>
      <c r="D63" s="387">
        <f>D56-D61</f>
        <v>-384877.84397295135</v>
      </c>
      <c r="E63" s="363">
        <f>C63+D63</f>
        <v>-2595340.4405145971</v>
      </c>
      <c r="F63" s="387">
        <f>F56-F61</f>
        <v>2266905.1705032689</v>
      </c>
      <c r="G63" s="387">
        <f>G56-G61</f>
        <v>-451294.9659813912</v>
      </c>
      <c r="H63" s="365">
        <f>F63+G63</f>
        <v>1815610.2045218777</v>
      </c>
    </row>
    <row r="64" spans="1:8" ht="13.8">
      <c r="A64" s="34">
        <v>39</v>
      </c>
      <c r="B64" s="376" t="s">
        <v>148</v>
      </c>
      <c r="C64" s="391">
        <v>0</v>
      </c>
      <c r="D64" s="391"/>
      <c r="E64" s="363">
        <f>C64+D64</f>
        <v>0</v>
      </c>
      <c r="F64" s="391">
        <v>0</v>
      </c>
      <c r="G64" s="391"/>
      <c r="H64" s="365">
        <f>F64+G64</f>
        <v>0</v>
      </c>
    </row>
    <row r="65" spans="1:8" ht="13.8">
      <c r="A65" s="35">
        <v>40</v>
      </c>
      <c r="B65" s="379" t="s">
        <v>147</v>
      </c>
      <c r="C65" s="387">
        <f>C63-C64</f>
        <v>-2210462.5965416459</v>
      </c>
      <c r="D65" s="387">
        <f>D63-D64</f>
        <v>-384877.84397295135</v>
      </c>
      <c r="E65" s="363">
        <f>C65+D65</f>
        <v>-2595340.4405145971</v>
      </c>
      <c r="F65" s="387">
        <f>F63-F64</f>
        <v>2266905.1705032689</v>
      </c>
      <c r="G65" s="387">
        <f>G63-G64</f>
        <v>-451294.9659813912</v>
      </c>
      <c r="H65" s="365">
        <f>F65+G65</f>
        <v>1815610.2045218777</v>
      </c>
    </row>
    <row r="66" spans="1:8" ht="13.8">
      <c r="A66" s="34">
        <v>41</v>
      </c>
      <c r="B66" s="376" t="s">
        <v>146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4.4" thickBot="1">
      <c r="A67" s="36">
        <v>42</v>
      </c>
      <c r="B67" s="37" t="s">
        <v>145</v>
      </c>
      <c r="C67" s="392">
        <f>C65+C66</f>
        <v>-2210462.5965416459</v>
      </c>
      <c r="D67" s="392">
        <f>D65+D66</f>
        <v>-384877.84397295135</v>
      </c>
      <c r="E67" s="394">
        <f>C67+D67</f>
        <v>-2595340.4405145971</v>
      </c>
      <c r="F67" s="392">
        <f>F65+F66</f>
        <v>2266905.1705032689</v>
      </c>
      <c r="G67" s="392">
        <f>G65+G66</f>
        <v>-451294.9659813912</v>
      </c>
      <c r="H67" s="403">
        <f>F67+G67</f>
        <v>1815610.2045218777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5" sqref="B5:B6"/>
    </sheetView>
  </sheetViews>
  <sheetFormatPr defaultColWidth="9.109375" defaultRowHeight="13.8"/>
  <cols>
    <col min="1" max="1" width="9.5546875" style="5" bestFit="1" customWidth="1"/>
    <col min="2" max="2" width="72.33203125" style="5" customWidth="1"/>
    <col min="3" max="8" width="12.6640625" style="5" customWidth="1"/>
    <col min="9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43921</v>
      </c>
    </row>
    <row r="3" spans="1:8">
      <c r="A3" s="4"/>
    </row>
    <row r="4" spans="1:8" ht="14.4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43" t="s">
        <v>6</v>
      </c>
      <c r="B5" s="545" t="s">
        <v>345</v>
      </c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544"/>
      <c r="B6" s="546"/>
      <c r="C6" s="354" t="s">
        <v>292</v>
      </c>
      <c r="D6" s="354" t="s">
        <v>122</v>
      </c>
      <c r="E6" s="354" t="s">
        <v>109</v>
      </c>
      <c r="F6" s="354" t="s">
        <v>292</v>
      </c>
      <c r="G6" s="354" t="s">
        <v>122</v>
      </c>
      <c r="H6" s="355" t="s">
        <v>109</v>
      </c>
    </row>
    <row r="7" spans="1:8" s="17" customFormat="1" ht="14.4">
      <c r="A7" s="180">
        <v>1</v>
      </c>
      <c r="B7" s="407" t="s">
        <v>379</v>
      </c>
      <c r="C7" s="390">
        <f>SUM(C8:C11)</f>
        <v>30329148.349999998</v>
      </c>
      <c r="D7" s="390">
        <f>SUM(D8:D11)</f>
        <v>47741216.719999999</v>
      </c>
      <c r="E7" s="390">
        <f>C7+D7</f>
        <v>78070365.069999993</v>
      </c>
      <c r="F7" s="390">
        <f>SUM(F8:F11)</f>
        <v>24781619.420000002</v>
      </c>
      <c r="G7" s="390">
        <f>SUM(G8:G11)</f>
        <v>17335546.789999999</v>
      </c>
      <c r="H7" s="365">
        <f t="shared" ref="H7:H53" si="0">F7+G7</f>
        <v>42117166.210000001</v>
      </c>
    </row>
    <row r="8" spans="1:8" s="17" customFormat="1" ht="14.4">
      <c r="A8" s="180">
        <v>1.1000000000000001</v>
      </c>
      <c r="B8" s="408" t="s">
        <v>310</v>
      </c>
      <c r="C8" s="409">
        <v>30268225.559999999</v>
      </c>
      <c r="D8" s="409">
        <v>47724794.219999999</v>
      </c>
      <c r="E8" s="390">
        <f t="shared" ref="E8:E53" si="1">C8+D8</f>
        <v>77993019.780000001</v>
      </c>
      <c r="F8" s="409">
        <v>24702605</v>
      </c>
      <c r="G8" s="409">
        <v>17322089.789999999</v>
      </c>
      <c r="H8" s="365">
        <f t="shared" si="0"/>
        <v>42024694.789999999</v>
      </c>
    </row>
    <row r="9" spans="1:8" s="17" customFormat="1" ht="14.4">
      <c r="A9" s="180">
        <v>1.2</v>
      </c>
      <c r="B9" s="408" t="s">
        <v>311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 ht="14.4">
      <c r="A10" s="180">
        <v>1.3</v>
      </c>
      <c r="B10" s="408" t="s">
        <v>312</v>
      </c>
      <c r="C10" s="409">
        <v>60922.789999999986</v>
      </c>
      <c r="D10" s="409">
        <v>16422.5</v>
      </c>
      <c r="E10" s="390">
        <f t="shared" si="1"/>
        <v>77345.289999999979</v>
      </c>
      <c r="F10" s="409">
        <v>79014.420000000027</v>
      </c>
      <c r="G10" s="409">
        <v>13456.999999999996</v>
      </c>
      <c r="H10" s="365">
        <f t="shared" si="0"/>
        <v>92471.420000000027</v>
      </c>
    </row>
    <row r="11" spans="1:8" s="17" customFormat="1" ht="14.4">
      <c r="A11" s="180">
        <v>1.4</v>
      </c>
      <c r="B11" s="408" t="s">
        <v>293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314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95" customHeight="1">
      <c r="A13" s="180">
        <v>3</v>
      </c>
      <c r="B13" s="182" t="s">
        <v>313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 ht="14.4">
      <c r="A14" s="180">
        <v>3.1</v>
      </c>
      <c r="B14" s="228" t="s">
        <v>294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 ht="14.4">
      <c r="A15" s="180">
        <v>3.2</v>
      </c>
      <c r="B15" s="228" t="s">
        <v>295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 ht="14.4">
      <c r="A16" s="180">
        <v>4</v>
      </c>
      <c r="B16" s="230" t="s">
        <v>324</v>
      </c>
      <c r="C16" s="390">
        <f>C17+C18</f>
        <v>22963425.559999999</v>
      </c>
      <c r="D16" s="390">
        <f>D17+D18</f>
        <v>112161883.36635399</v>
      </c>
      <c r="E16" s="390">
        <f t="shared" si="1"/>
        <v>135125308.92635399</v>
      </c>
      <c r="F16" s="390">
        <f>F17+F18</f>
        <v>23667805</v>
      </c>
      <c r="G16" s="390">
        <f>G17+G18</f>
        <v>107522568.5810473</v>
      </c>
      <c r="H16" s="365">
        <f t="shared" si="0"/>
        <v>131190373.5810473</v>
      </c>
    </row>
    <row r="17" spans="1:8" s="17" customFormat="1" ht="14.4">
      <c r="A17" s="180">
        <v>4.0999999999999996</v>
      </c>
      <c r="B17" s="228" t="s">
        <v>315</v>
      </c>
      <c r="C17" s="409"/>
      <c r="D17" s="409">
        <v>84651042.159999996</v>
      </c>
      <c r="E17" s="390">
        <f t="shared" si="1"/>
        <v>84651042.159999996</v>
      </c>
      <c r="F17" s="409"/>
      <c r="G17" s="409">
        <v>102626826.77104729</v>
      </c>
      <c r="H17" s="365">
        <f t="shared" si="0"/>
        <v>102626826.77104729</v>
      </c>
    </row>
    <row r="18" spans="1:8" s="17" customFormat="1" ht="14.4">
      <c r="A18" s="180">
        <v>4.2</v>
      </c>
      <c r="B18" s="228" t="s">
        <v>309</v>
      </c>
      <c r="C18" s="409">
        <v>22963425.559999999</v>
      </c>
      <c r="D18" s="409">
        <v>27510841.206354</v>
      </c>
      <c r="E18" s="390">
        <f t="shared" si="1"/>
        <v>50474266.766353995</v>
      </c>
      <c r="F18" s="409">
        <v>23667805</v>
      </c>
      <c r="G18" s="409">
        <v>4895741.8099999996</v>
      </c>
      <c r="H18" s="365">
        <f t="shared" si="0"/>
        <v>28563546.809999999</v>
      </c>
    </row>
    <row r="19" spans="1:8" s="17" customFormat="1" ht="14.4">
      <c r="A19" s="180">
        <v>5</v>
      </c>
      <c r="B19" s="182" t="s">
        <v>323</v>
      </c>
      <c r="C19" s="390">
        <f>C20+C21+C22+SUM(C28:C31)</f>
        <v>24800</v>
      </c>
      <c r="D19" s="390">
        <f>D20+D21+D22+SUM(D28:D31)</f>
        <v>309656395.07098401</v>
      </c>
      <c r="E19" s="390">
        <f t="shared" si="1"/>
        <v>309681195.07098401</v>
      </c>
      <c r="F19" s="390">
        <f>F20+F21+F22+SUM(F28:F31)</f>
        <v>0</v>
      </c>
      <c r="G19" s="390">
        <f>G20+G21+G22+SUM(G28:G31)</f>
        <v>442255201.13754773</v>
      </c>
      <c r="H19" s="365">
        <f t="shared" si="0"/>
        <v>442255201.13754773</v>
      </c>
    </row>
    <row r="20" spans="1:8" s="17" customFormat="1" ht="14.4">
      <c r="A20" s="180">
        <v>5.0999999999999996</v>
      </c>
      <c r="B20" s="410" t="s">
        <v>298</v>
      </c>
      <c r="C20" s="409">
        <v>24800</v>
      </c>
      <c r="D20" s="409">
        <v>893743.88266500004</v>
      </c>
      <c r="E20" s="390">
        <f t="shared" si="1"/>
        <v>918543.88266500004</v>
      </c>
      <c r="F20" s="409"/>
      <c r="G20" s="409">
        <v>2639248.1637420002</v>
      </c>
      <c r="H20" s="365">
        <f t="shared" si="0"/>
        <v>2639248.1637420002</v>
      </c>
    </row>
    <row r="21" spans="1:8" s="17" customFormat="1" ht="14.4">
      <c r="A21" s="180">
        <v>5.2</v>
      </c>
      <c r="B21" s="410" t="s">
        <v>297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 ht="14.4">
      <c r="A22" s="180">
        <v>5.3</v>
      </c>
      <c r="B22" s="410" t="s">
        <v>296</v>
      </c>
      <c r="C22" s="411">
        <f>SUM(C23:C27)</f>
        <v>0</v>
      </c>
      <c r="D22" s="411">
        <f>SUM(D23:D27)</f>
        <v>256790054.17043251</v>
      </c>
      <c r="E22" s="390">
        <f t="shared" si="1"/>
        <v>256790054.17043251</v>
      </c>
      <c r="F22" s="411">
        <f>SUM(F23:F27)</f>
        <v>0</v>
      </c>
      <c r="G22" s="411">
        <f>SUM(G23:G27)</f>
        <v>274047130.46386719</v>
      </c>
      <c r="H22" s="365">
        <f t="shared" si="0"/>
        <v>274047130.46386719</v>
      </c>
    </row>
    <row r="23" spans="1:8" s="17" customFormat="1" ht="14.4">
      <c r="A23" s="180" t="s">
        <v>15</v>
      </c>
      <c r="B23" s="412" t="s">
        <v>75</v>
      </c>
      <c r="C23" s="409"/>
      <c r="D23" s="409">
        <v>37480955.589260295</v>
      </c>
      <c r="E23" s="390">
        <f t="shared" si="1"/>
        <v>37480955.589260295</v>
      </c>
      <c r="F23" s="409"/>
      <c r="G23" s="409">
        <v>21934705.710458465</v>
      </c>
      <c r="H23" s="365">
        <f t="shared" si="0"/>
        <v>21934705.710458465</v>
      </c>
    </row>
    <row r="24" spans="1:8" s="17" customFormat="1" ht="14.4">
      <c r="A24" s="180" t="s">
        <v>16</v>
      </c>
      <c r="B24" s="412" t="s">
        <v>76</v>
      </c>
      <c r="C24" s="409"/>
      <c r="D24" s="409">
        <v>185321163.15401399</v>
      </c>
      <c r="E24" s="390">
        <f t="shared" si="1"/>
        <v>185321163.15401399</v>
      </c>
      <c r="F24" s="409"/>
      <c r="G24" s="409">
        <v>217757370.48771033</v>
      </c>
      <c r="H24" s="365">
        <f t="shared" si="0"/>
        <v>217757370.48771033</v>
      </c>
    </row>
    <row r="25" spans="1:8" s="17" customFormat="1" ht="14.4">
      <c r="A25" s="180" t="s">
        <v>17</v>
      </c>
      <c r="B25" s="412" t="s">
        <v>77</v>
      </c>
      <c r="C25" s="409"/>
      <c r="D25" s="409">
        <v>184956.70823552928</v>
      </c>
      <c r="E25" s="390">
        <f t="shared" si="1"/>
        <v>184956.70823552928</v>
      </c>
      <c r="F25" s="409"/>
      <c r="G25" s="409">
        <v>1790959.2607267967</v>
      </c>
      <c r="H25" s="365">
        <f t="shared" si="0"/>
        <v>1790959.2607267967</v>
      </c>
    </row>
    <row r="26" spans="1:8" s="17" customFormat="1" ht="14.4">
      <c r="A26" s="180" t="s">
        <v>18</v>
      </c>
      <c r="B26" s="412" t="s">
        <v>78</v>
      </c>
      <c r="C26" s="409"/>
      <c r="D26" s="409">
        <v>33802978.718922697</v>
      </c>
      <c r="E26" s="390">
        <f t="shared" si="1"/>
        <v>33802978.718922697</v>
      </c>
      <c r="F26" s="409"/>
      <c r="G26" s="409">
        <v>32431177.266387384</v>
      </c>
      <c r="H26" s="365">
        <f t="shared" si="0"/>
        <v>32431177.266387384</v>
      </c>
    </row>
    <row r="27" spans="1:8" s="17" customFormat="1" ht="14.4">
      <c r="A27" s="180" t="s">
        <v>19</v>
      </c>
      <c r="B27" s="412" t="s">
        <v>79</v>
      </c>
      <c r="C27" s="409"/>
      <c r="D27" s="409">
        <v>0</v>
      </c>
      <c r="E27" s="390">
        <f t="shared" si="1"/>
        <v>0</v>
      </c>
      <c r="F27" s="409"/>
      <c r="G27" s="409">
        <v>132917.73858423269</v>
      </c>
      <c r="H27" s="365">
        <f t="shared" si="0"/>
        <v>132917.73858423269</v>
      </c>
    </row>
    <row r="28" spans="1:8" s="17" customFormat="1" ht="14.4">
      <c r="A28" s="180">
        <v>5.4</v>
      </c>
      <c r="B28" s="410" t="s">
        <v>299</v>
      </c>
      <c r="C28" s="409"/>
      <c r="D28" s="409">
        <v>7370533.5684153931</v>
      </c>
      <c r="E28" s="390">
        <f t="shared" si="1"/>
        <v>7370533.5684153931</v>
      </c>
      <c r="F28" s="409"/>
      <c r="G28" s="409">
        <v>3172445.3887097114</v>
      </c>
      <c r="H28" s="365">
        <f t="shared" si="0"/>
        <v>3172445.3887097114</v>
      </c>
    </row>
    <row r="29" spans="1:8" s="17" customFormat="1" ht="14.4">
      <c r="A29" s="180">
        <v>5.5</v>
      </c>
      <c r="B29" s="410" t="s">
        <v>300</v>
      </c>
      <c r="C29" s="409"/>
      <c r="D29" s="409">
        <v>0</v>
      </c>
      <c r="E29" s="390">
        <f t="shared" si="1"/>
        <v>0</v>
      </c>
      <c r="F29" s="409"/>
      <c r="G29" s="409">
        <v>15856767.121228823</v>
      </c>
      <c r="H29" s="365">
        <f t="shared" si="0"/>
        <v>15856767.121228823</v>
      </c>
    </row>
    <row r="30" spans="1:8" s="17" customFormat="1" ht="14.4">
      <c r="A30" s="180">
        <v>5.6</v>
      </c>
      <c r="B30" s="410" t="s">
        <v>301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 ht="14.4">
      <c r="A31" s="180">
        <v>5.7</v>
      </c>
      <c r="B31" s="410" t="s">
        <v>79</v>
      </c>
      <c r="C31" s="409"/>
      <c r="D31" s="409">
        <v>44602063.449471116</v>
      </c>
      <c r="E31" s="390">
        <f t="shared" si="1"/>
        <v>44602063.449471116</v>
      </c>
      <c r="F31" s="409"/>
      <c r="G31" s="409">
        <v>146539610</v>
      </c>
      <c r="H31" s="365">
        <f t="shared" si="0"/>
        <v>146539610</v>
      </c>
    </row>
    <row r="32" spans="1:8" s="17" customFormat="1" ht="14.4">
      <c r="A32" s="180">
        <v>6</v>
      </c>
      <c r="B32" s="182" t="s">
        <v>329</v>
      </c>
      <c r="C32" s="390">
        <f>SUM(C33:C39)</f>
        <v>0</v>
      </c>
      <c r="D32" s="390">
        <f>SUM(D33:D39)</f>
        <v>3612950</v>
      </c>
      <c r="E32" s="390">
        <f t="shared" si="1"/>
        <v>3612950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 ht="14.4">
      <c r="A33" s="180">
        <v>6.1</v>
      </c>
      <c r="B33" s="229" t="s">
        <v>319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 ht="14.4">
      <c r="A34" s="180">
        <v>6.2</v>
      </c>
      <c r="B34" s="229" t="s">
        <v>320</v>
      </c>
      <c r="C34" s="409"/>
      <c r="D34" s="409">
        <v>3612950</v>
      </c>
      <c r="E34" s="390">
        <f t="shared" si="1"/>
        <v>3612950</v>
      </c>
      <c r="F34" s="409"/>
      <c r="G34" s="409"/>
      <c r="H34" s="365">
        <f t="shared" si="0"/>
        <v>0</v>
      </c>
    </row>
    <row r="35" spans="1:8" s="17" customFormat="1" ht="14.4">
      <c r="A35" s="180">
        <v>6.3</v>
      </c>
      <c r="B35" s="229" t="s">
        <v>316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 ht="14.4">
      <c r="A36" s="180">
        <v>6.4</v>
      </c>
      <c r="B36" s="229" t="s">
        <v>317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 ht="14.4">
      <c r="A37" s="180">
        <v>6.5</v>
      </c>
      <c r="B37" s="229" t="s">
        <v>318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 ht="14.4">
      <c r="A38" s="180">
        <v>6.6</v>
      </c>
      <c r="B38" s="229" t="s">
        <v>321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 ht="14.4">
      <c r="A39" s="180">
        <v>6.7</v>
      </c>
      <c r="B39" s="229" t="s">
        <v>322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 ht="14.4">
      <c r="A40" s="180">
        <v>7</v>
      </c>
      <c r="B40" s="182" t="s">
        <v>325</v>
      </c>
      <c r="C40" s="390">
        <f>SUM(C41:C44)</f>
        <v>113413.7</v>
      </c>
      <c r="D40" s="390">
        <f>SUM(D41:D44)</f>
        <v>8049.98</v>
      </c>
      <c r="E40" s="390">
        <f t="shared" si="1"/>
        <v>121463.67999999999</v>
      </c>
      <c r="F40" s="390">
        <f>SUM(F41:F44)</f>
        <v>81156.560000000027</v>
      </c>
      <c r="G40" s="390">
        <f>SUM(G41:G44)</f>
        <v>106305.76999999997</v>
      </c>
      <c r="H40" s="365">
        <f t="shared" si="0"/>
        <v>187462.33000000002</v>
      </c>
    </row>
    <row r="41" spans="1:8" s="17" customFormat="1" ht="14.4">
      <c r="A41" s="180">
        <v>7.1</v>
      </c>
      <c r="B41" s="181" t="s">
        <v>326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6.4">
      <c r="A42" s="180">
        <v>7.2</v>
      </c>
      <c r="B42" s="181" t="s">
        <v>327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6.4">
      <c r="A43" s="180">
        <v>7.3</v>
      </c>
      <c r="B43" s="181" t="s">
        <v>330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6.4">
      <c r="A44" s="180">
        <v>7.4</v>
      </c>
      <c r="B44" s="181" t="s">
        <v>331</v>
      </c>
      <c r="C44" s="409">
        <v>113413.7</v>
      </c>
      <c r="D44" s="409">
        <v>8049.98</v>
      </c>
      <c r="E44" s="390">
        <f t="shared" si="1"/>
        <v>121463.67999999999</v>
      </c>
      <c r="F44" s="409">
        <v>81156.560000000027</v>
      </c>
      <c r="G44" s="409">
        <v>106305.76999999997</v>
      </c>
      <c r="H44" s="365">
        <f t="shared" si="0"/>
        <v>187462.33000000002</v>
      </c>
    </row>
    <row r="45" spans="1:8" s="17" customFormat="1" ht="14.4">
      <c r="A45" s="180">
        <v>8</v>
      </c>
      <c r="B45" s="182" t="s">
        <v>308</v>
      </c>
      <c r="C45" s="390">
        <f>SUM(C46:C52)</f>
        <v>1382973.6</v>
      </c>
      <c r="D45" s="390">
        <f>SUM(D46:D52)</f>
        <v>466223.30999999994</v>
      </c>
      <c r="E45" s="390">
        <f t="shared" si="1"/>
        <v>1849196.9100000001</v>
      </c>
      <c r="F45" s="390">
        <f>SUM(F46:F52)</f>
        <v>33000</v>
      </c>
      <c r="G45" s="390">
        <f>SUM(G46:G52)</f>
        <v>2763063.81</v>
      </c>
      <c r="H45" s="365">
        <f t="shared" si="0"/>
        <v>2796063.81</v>
      </c>
    </row>
    <row r="46" spans="1:8" s="17" customFormat="1" ht="14.4">
      <c r="A46" s="180">
        <v>8.1</v>
      </c>
      <c r="B46" s="228" t="s">
        <v>332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 ht="14.4">
      <c r="A47" s="180">
        <v>8.1999999999999993</v>
      </c>
      <c r="B47" s="228" t="s">
        <v>333</v>
      </c>
      <c r="C47" s="409">
        <v>793999.20000000007</v>
      </c>
      <c r="D47" s="409">
        <v>207210.36</v>
      </c>
      <c r="E47" s="390">
        <f t="shared" si="1"/>
        <v>1001209.56</v>
      </c>
      <c r="F47" s="409">
        <v>15900</v>
      </c>
      <c r="G47" s="409">
        <v>970250.28</v>
      </c>
      <c r="H47" s="365">
        <f t="shared" si="0"/>
        <v>986150.28</v>
      </c>
    </row>
    <row r="48" spans="1:8" s="17" customFormat="1" ht="14.4">
      <c r="A48" s="180">
        <v>8.3000000000000007</v>
      </c>
      <c r="B48" s="228" t="s">
        <v>334</v>
      </c>
      <c r="C48" s="409">
        <v>588974.4</v>
      </c>
      <c r="D48" s="409">
        <v>207210.36</v>
      </c>
      <c r="E48" s="390">
        <f t="shared" si="1"/>
        <v>796184.76</v>
      </c>
      <c r="F48" s="409">
        <v>13500</v>
      </c>
      <c r="G48" s="409">
        <v>970250.28</v>
      </c>
      <c r="H48" s="365">
        <f t="shared" si="0"/>
        <v>983750.28</v>
      </c>
    </row>
    <row r="49" spans="1:8" s="17" customFormat="1" ht="14.4">
      <c r="A49" s="180">
        <v>8.4</v>
      </c>
      <c r="B49" s="228" t="s">
        <v>335</v>
      </c>
      <c r="C49" s="409">
        <v>0</v>
      </c>
      <c r="D49" s="409">
        <v>51802.59</v>
      </c>
      <c r="E49" s="390">
        <f t="shared" si="1"/>
        <v>51802.59</v>
      </c>
      <c r="F49" s="409">
        <v>3600</v>
      </c>
      <c r="G49" s="409">
        <v>775125.48</v>
      </c>
      <c r="H49" s="365">
        <f t="shared" si="0"/>
        <v>778725.48</v>
      </c>
    </row>
    <row r="50" spans="1:8" s="17" customFormat="1" ht="14.4">
      <c r="A50" s="180">
        <v>8.5</v>
      </c>
      <c r="B50" s="228" t="s">
        <v>336</v>
      </c>
      <c r="C50" s="409"/>
      <c r="D50" s="409"/>
      <c r="E50" s="390">
        <f t="shared" si="1"/>
        <v>0</v>
      </c>
      <c r="F50" s="409">
        <v>0</v>
      </c>
      <c r="G50" s="409">
        <v>47437.77</v>
      </c>
      <c r="H50" s="365">
        <f t="shared" si="0"/>
        <v>47437.77</v>
      </c>
    </row>
    <row r="51" spans="1:8" s="17" customFormat="1" ht="14.4">
      <c r="A51" s="180">
        <v>8.6</v>
      </c>
      <c r="B51" s="228" t="s">
        <v>337</v>
      </c>
      <c r="C51" s="409"/>
      <c r="D51" s="409"/>
      <c r="E51" s="390">
        <f t="shared" si="1"/>
        <v>0</v>
      </c>
      <c r="F51" s="409"/>
      <c r="G51" s="409">
        <v>0</v>
      </c>
      <c r="H51" s="365">
        <f t="shared" si="0"/>
        <v>0</v>
      </c>
    </row>
    <row r="52" spans="1:8" s="17" customFormat="1" ht="14.4">
      <c r="A52" s="180">
        <v>8.6999999999999993</v>
      </c>
      <c r="B52" s="228" t="s">
        <v>338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328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2" sqref="B2"/>
    </sheetView>
  </sheetViews>
  <sheetFormatPr defaultColWidth="9.109375" defaultRowHeight="13.2"/>
  <cols>
    <col min="1" max="1" width="9.5546875" style="4" bestFit="1" customWidth="1"/>
    <col min="2" max="2" width="93.5546875" style="4" customWidth="1"/>
    <col min="3" max="4" width="12.6640625" style="4" customWidth="1"/>
    <col min="5" max="11" width="9.6640625" style="29" customWidth="1"/>
    <col min="12" max="16384" width="9.109375" style="29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43921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202</v>
      </c>
      <c r="B4" s="130" t="s">
        <v>302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1Q 2020</v>
      </c>
      <c r="D5" s="416" t="str">
        <f>'1. key ratios '!D5</f>
        <v xml:space="preserve"> 4Q 2019</v>
      </c>
    </row>
    <row r="6" spans="1:8" ht="15" customHeight="1">
      <c r="A6" s="39">
        <v>1</v>
      </c>
      <c r="B6" s="321" t="s">
        <v>306</v>
      </c>
      <c r="C6" s="417">
        <f>C7+C9+C10</f>
        <v>322629826.37095749</v>
      </c>
      <c r="D6" s="418">
        <f>D7+D9+D10</f>
        <v>256659593.84897074</v>
      </c>
    </row>
    <row r="7" spans="1:8" ht="15" customHeight="1">
      <c r="A7" s="39">
        <v>1.1000000000000001</v>
      </c>
      <c r="B7" s="321" t="s">
        <v>510</v>
      </c>
      <c r="C7" s="419">
        <v>276115990.82595748</v>
      </c>
      <c r="D7" s="420">
        <v>220817417.76897073</v>
      </c>
    </row>
    <row r="8" spans="1:8" ht="13.8">
      <c r="A8" s="39" t="s">
        <v>14</v>
      </c>
      <c r="B8" s="321" t="s">
        <v>201</v>
      </c>
      <c r="C8" s="419"/>
      <c r="D8" s="420"/>
    </row>
    <row r="9" spans="1:8" ht="15" customHeight="1">
      <c r="A9" s="39">
        <v>1.2</v>
      </c>
      <c r="B9" s="322" t="s">
        <v>200</v>
      </c>
      <c r="C9" s="419">
        <v>46441576.545000002</v>
      </c>
      <c r="D9" s="420">
        <v>35842176.080000006</v>
      </c>
    </row>
    <row r="10" spans="1:8" ht="15" customHeight="1">
      <c r="A10" s="39">
        <v>1.3</v>
      </c>
      <c r="B10" s="421" t="s">
        <v>28</v>
      </c>
      <c r="C10" s="419">
        <v>72259</v>
      </c>
      <c r="D10" s="420"/>
    </row>
    <row r="11" spans="1:8" ht="15" customHeight="1">
      <c r="A11" s="39">
        <v>2</v>
      </c>
      <c r="B11" s="321" t="s">
        <v>303</v>
      </c>
      <c r="C11" s="422">
        <v>54948.835542868728</v>
      </c>
      <c r="D11" s="420">
        <v>1502618.7482412439</v>
      </c>
    </row>
    <row r="12" spans="1:8" ht="15" customHeight="1">
      <c r="A12" s="39">
        <v>3</v>
      </c>
      <c r="B12" s="321" t="s">
        <v>304</v>
      </c>
      <c r="C12" s="419">
        <v>22160683.935528707</v>
      </c>
      <c r="D12" s="420">
        <v>22160683.935528707</v>
      </c>
    </row>
    <row r="13" spans="1:8" ht="15" customHeight="1" thickBot="1">
      <c r="A13" s="41">
        <v>4</v>
      </c>
      <c r="B13" s="42" t="s">
        <v>305</v>
      </c>
      <c r="C13" s="423">
        <f>C6+C11+C12</f>
        <v>344845459.14202905</v>
      </c>
      <c r="D13" s="424">
        <f>D6+D11+D12</f>
        <v>280322896.53274071</v>
      </c>
    </row>
    <row r="14" spans="1:8">
      <c r="A14" s="425"/>
      <c r="B14" s="426"/>
      <c r="C14" s="426"/>
      <c r="D14" s="426"/>
    </row>
    <row r="15" spans="1:8" ht="26.4">
      <c r="B15" s="46" t="s">
        <v>509</v>
      </c>
    </row>
    <row r="16" spans="1:8">
      <c r="B16" s="46"/>
    </row>
    <row r="17" spans="1:4" ht="10.199999999999999">
      <c r="A17" s="29"/>
      <c r="B17" s="29"/>
      <c r="C17" s="29"/>
      <c r="D17" s="29"/>
    </row>
    <row r="18" spans="1:4" ht="10.199999999999999">
      <c r="A18" s="29"/>
      <c r="B18" s="29"/>
      <c r="C18" s="29"/>
      <c r="D18" s="29"/>
    </row>
    <row r="19" spans="1:4" ht="10.199999999999999">
      <c r="A19" s="29"/>
      <c r="B19" s="29"/>
      <c r="C19" s="29"/>
      <c r="D19" s="29"/>
    </row>
    <row r="20" spans="1:4" ht="10.199999999999999">
      <c r="A20" s="29"/>
      <c r="B20" s="29"/>
      <c r="C20" s="29"/>
      <c r="D20" s="29"/>
    </row>
    <row r="21" spans="1:4" ht="10.199999999999999">
      <c r="A21" s="29"/>
      <c r="B21" s="29"/>
      <c r="C21" s="29"/>
      <c r="D21" s="29"/>
    </row>
    <row r="22" spans="1:4" ht="10.199999999999999">
      <c r="A22" s="29"/>
      <c r="B22" s="29"/>
      <c r="C22" s="29"/>
      <c r="D22" s="29"/>
    </row>
    <row r="23" spans="1:4" ht="10.199999999999999">
      <c r="A23" s="29"/>
      <c r="B23" s="29"/>
      <c r="C23" s="29"/>
      <c r="D23" s="29"/>
    </row>
    <row r="24" spans="1:4" ht="10.199999999999999">
      <c r="A24" s="29"/>
      <c r="B24" s="29"/>
      <c r="C24" s="29"/>
      <c r="D24" s="29"/>
    </row>
    <row r="25" spans="1:4" ht="10.199999999999999">
      <c r="A25" s="29"/>
      <c r="B25" s="29"/>
      <c r="C25" s="29"/>
      <c r="D25" s="29"/>
    </row>
    <row r="26" spans="1:4" ht="10.199999999999999">
      <c r="A26" s="29"/>
      <c r="B26" s="29"/>
      <c r="C26" s="29"/>
      <c r="D26" s="29"/>
    </row>
    <row r="27" spans="1:4" ht="10.199999999999999">
      <c r="A27" s="29"/>
      <c r="B27" s="29"/>
      <c r="C27" s="29"/>
      <c r="D27" s="29"/>
    </row>
    <row r="28" spans="1:4" ht="10.199999999999999">
      <c r="A28" s="29"/>
      <c r="B28" s="29"/>
      <c r="C28" s="29"/>
      <c r="D28" s="29"/>
    </row>
    <row r="29" spans="1:4" ht="10.199999999999999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8"/>
  <cols>
    <col min="1" max="1" width="9.5546875" style="4" bestFit="1" customWidth="1"/>
    <col min="2" max="2" width="90.44140625" style="4" bestFit="1" customWidth="1"/>
    <col min="3" max="3" width="9.109375" style="4"/>
    <col min="4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43921</v>
      </c>
    </row>
    <row r="4" spans="1:8" ht="16.5" customHeight="1" thickBot="1">
      <c r="A4" s="47" t="s">
        <v>80</v>
      </c>
      <c r="B4" s="48" t="s">
        <v>272</v>
      </c>
      <c r="C4" s="49"/>
    </row>
    <row r="5" spans="1:8">
      <c r="A5" s="50"/>
      <c r="B5" s="547" t="s">
        <v>81</v>
      </c>
      <c r="C5" s="548"/>
    </row>
    <row r="6" spans="1:8">
      <c r="A6" s="51">
        <v>1</v>
      </c>
      <c r="B6" s="427" t="s">
        <v>443</v>
      </c>
      <c r="C6" s="53"/>
    </row>
    <row r="7" spans="1:8">
      <c r="A7" s="51">
        <v>2</v>
      </c>
      <c r="B7" s="427" t="s">
        <v>454</v>
      </c>
      <c r="C7" s="53"/>
    </row>
    <row r="8" spans="1:8">
      <c r="A8" s="51">
        <v>3</v>
      </c>
      <c r="B8" s="427" t="s">
        <v>451</v>
      </c>
      <c r="C8" s="53"/>
    </row>
    <row r="9" spans="1:8">
      <c r="A9" s="51">
        <v>4</v>
      </c>
      <c r="B9" s="427" t="s">
        <v>452</v>
      </c>
      <c r="C9" s="53"/>
    </row>
    <row r="10" spans="1:8">
      <c r="A10" s="51">
        <v>5</v>
      </c>
      <c r="B10" s="427" t="s">
        <v>455</v>
      </c>
      <c r="C10" s="53"/>
    </row>
    <row r="11" spans="1:8">
      <c r="A11" s="51">
        <v>6</v>
      </c>
      <c r="B11" s="427" t="s">
        <v>444</v>
      </c>
      <c r="C11" s="53"/>
    </row>
    <row r="12" spans="1:8">
      <c r="A12" s="51">
        <v>7</v>
      </c>
      <c r="B12" s="52" t="s">
        <v>504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9"/>
      <c r="C16" s="550"/>
    </row>
    <row r="17" spans="1:3">
      <c r="A17" s="51"/>
      <c r="B17" s="551" t="s">
        <v>82</v>
      </c>
      <c r="C17" s="552"/>
    </row>
    <row r="18" spans="1:3">
      <c r="A18" s="51">
        <v>1</v>
      </c>
      <c r="B18" s="427" t="s">
        <v>441</v>
      </c>
      <c r="C18" s="55"/>
    </row>
    <row r="19" spans="1:3">
      <c r="A19" s="51">
        <v>2</v>
      </c>
      <c r="B19" s="427" t="s">
        <v>505</v>
      </c>
      <c r="C19" s="55"/>
    </row>
    <row r="20" spans="1:3">
      <c r="A20" s="51">
        <v>3</v>
      </c>
      <c r="B20" s="427" t="s">
        <v>453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51" t="s">
        <v>83</v>
      </c>
      <c r="C29" s="552"/>
    </row>
    <row r="30" spans="1:3">
      <c r="A30" s="51">
        <v>1</v>
      </c>
      <c r="B30" s="427" t="s">
        <v>445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51" t="s">
        <v>84</v>
      </c>
      <c r="C32" s="552"/>
    </row>
    <row r="33" spans="1:3" ht="14.4">
      <c r="A33" s="51">
        <v>1</v>
      </c>
      <c r="B33" s="52" t="s">
        <v>446</v>
      </c>
      <c r="C33" s="535">
        <v>0.38169999999999998</v>
      </c>
    </row>
    <row r="34" spans="1:3" ht="15" thickBot="1">
      <c r="A34" s="57">
        <v>2</v>
      </c>
      <c r="B34" s="58" t="s">
        <v>447</v>
      </c>
      <c r="C34" s="536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:E4"/>
    </sheetView>
  </sheetViews>
  <sheetFormatPr defaultColWidth="9.109375" defaultRowHeight="13.8"/>
  <cols>
    <col min="1" max="1" width="9.5546875" style="4" bestFit="1" customWidth="1"/>
    <col min="2" max="2" width="47.5546875" style="4" customWidth="1"/>
    <col min="3" max="3" width="28" style="4" customWidth="1"/>
    <col min="4" max="4" width="22.44140625" style="4" customWidth="1"/>
    <col min="5" max="5" width="22.33203125" style="4" customWidth="1"/>
    <col min="6" max="6" width="12" style="5" bestFit="1" customWidth="1"/>
    <col min="7" max="7" width="12.5546875" style="5" bestFit="1" customWidth="1"/>
    <col min="8" max="16384" width="9.109375" style="5"/>
  </cols>
  <sheetData>
    <row r="1" spans="1:7">
      <c r="A1" s="337" t="s">
        <v>30</v>
      </c>
      <c r="B1" s="338" t="s">
        <v>439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43921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206</v>
      </c>
      <c r="B4" s="557" t="s">
        <v>352</v>
      </c>
      <c r="C4" s="558"/>
      <c r="D4" s="558"/>
      <c r="E4" s="558"/>
    </row>
    <row r="5" spans="1:7" s="63" customFormat="1" ht="17.399999999999999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" customHeight="1">
      <c r="A6" s="257"/>
      <c r="B6" s="553" t="s">
        <v>359</v>
      </c>
      <c r="C6" s="553" t="s">
        <v>93</v>
      </c>
      <c r="D6" s="555" t="s">
        <v>205</v>
      </c>
      <c r="E6" s="556"/>
      <c r="G6" s="5"/>
    </row>
    <row r="7" spans="1:7" s="17" customFormat="1" ht="99.6" customHeight="1">
      <c r="A7" s="257"/>
      <c r="B7" s="554"/>
      <c r="C7" s="553"/>
      <c r="D7" s="294" t="s">
        <v>204</v>
      </c>
      <c r="E7" s="295" t="s">
        <v>360</v>
      </c>
      <c r="G7" s="5"/>
    </row>
    <row r="8" spans="1:7">
      <c r="A8" s="258">
        <v>1</v>
      </c>
      <c r="B8" s="296" t="s">
        <v>35</v>
      </c>
      <c r="C8" s="297">
        <f>'2.RC'!E7</f>
        <v>3589134.79</v>
      </c>
      <c r="D8" s="297"/>
      <c r="E8" s="298">
        <f>C8-D8</f>
        <v>3589134.79</v>
      </c>
      <c r="F8" s="17"/>
    </row>
    <row r="9" spans="1:7">
      <c r="A9" s="258">
        <v>2</v>
      </c>
      <c r="B9" s="296" t="s">
        <v>36</v>
      </c>
      <c r="C9" s="297">
        <f>'2.RC'!E8</f>
        <v>71595263.189999998</v>
      </c>
      <c r="D9" s="297"/>
      <c r="E9" s="298">
        <f t="shared" ref="E9:E20" si="0">C9-D9</f>
        <v>71595263.189999998</v>
      </c>
      <c r="F9" s="17"/>
    </row>
    <row r="10" spans="1:7">
      <c r="A10" s="258">
        <v>3</v>
      </c>
      <c r="B10" s="296" t="s">
        <v>37</v>
      </c>
      <c r="C10" s="297">
        <f>'2.RC'!E9</f>
        <v>19539389.380316988</v>
      </c>
      <c r="D10" s="297"/>
      <c r="E10" s="298">
        <f t="shared" si="0"/>
        <v>19539389.380316988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43275371.022330701</v>
      </c>
      <c r="D12" s="297"/>
      <c r="E12" s="298">
        <f t="shared" si="0"/>
        <v>43275371.022330701</v>
      </c>
      <c r="F12" s="17"/>
    </row>
    <row r="13" spans="1:7">
      <c r="A13" s="258">
        <v>6.1</v>
      </c>
      <c r="B13" s="299" t="s">
        <v>40</v>
      </c>
      <c r="C13" s="300">
        <f>'2.RC'!E12</f>
        <v>182627271.05000001</v>
      </c>
      <c r="D13" s="297"/>
      <c r="E13" s="298">
        <f t="shared" si="0"/>
        <v>182627271.05000001</v>
      </c>
      <c r="F13" s="17"/>
    </row>
    <row r="14" spans="1:7">
      <c r="A14" s="258">
        <v>6.2</v>
      </c>
      <c r="B14" s="301" t="s">
        <v>41</v>
      </c>
      <c r="C14" s="300">
        <f>'2.RC'!E13</f>
        <v>-11478184.554399999</v>
      </c>
      <c r="D14" s="297"/>
      <c r="E14" s="298">
        <f t="shared" si="0"/>
        <v>-11478184.554399999</v>
      </c>
      <c r="F14" s="17"/>
    </row>
    <row r="15" spans="1:7">
      <c r="A15" s="258">
        <v>6</v>
      </c>
      <c r="B15" s="296" t="s">
        <v>42</v>
      </c>
      <c r="C15" s="297">
        <f>'2.RC'!E14</f>
        <v>171149086.49559999</v>
      </c>
      <c r="D15" s="297"/>
      <c r="E15" s="298">
        <f t="shared" si="0"/>
        <v>171149086.49559999</v>
      </c>
      <c r="F15" s="17"/>
    </row>
    <row r="16" spans="1:7">
      <c r="A16" s="258">
        <v>7</v>
      </c>
      <c r="B16" s="296" t="s">
        <v>43</v>
      </c>
      <c r="C16" s="297">
        <f>'2.RC'!E15</f>
        <v>2319331.2010150007</v>
      </c>
      <c r="D16" s="297"/>
      <c r="E16" s="298">
        <f t="shared" si="0"/>
        <v>2319331.2010150007</v>
      </c>
      <c r="F16" s="17"/>
    </row>
    <row r="17" spans="1:7">
      <c r="A17" s="258">
        <v>8</v>
      </c>
      <c r="B17" s="296" t="s">
        <v>203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821953.47999999952</v>
      </c>
      <c r="D19" s="297">
        <v>84928.889999999898</v>
      </c>
      <c r="E19" s="298">
        <f t="shared" si="0"/>
        <v>737024.58999999962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1101731.7243283787</v>
      </c>
      <c r="D20" s="297"/>
      <c r="E20" s="298">
        <f t="shared" si="0"/>
        <v>1101731.7243283787</v>
      </c>
      <c r="F20" s="17"/>
    </row>
    <row r="21" spans="1:7" ht="27" thickBot="1">
      <c r="A21" s="147"/>
      <c r="B21" s="260" t="s">
        <v>362</v>
      </c>
      <c r="C21" s="199">
        <f>SUM(C8:C12, C15:C20)</f>
        <v>313391261.28359109</v>
      </c>
      <c r="D21" s="199">
        <f>SUM(D8:D12, D15:D20)</f>
        <v>84928.889999999898</v>
      </c>
      <c r="E21" s="302">
        <f>SUM(E8:E12, E15:E20)</f>
        <v>313306332.39359105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4" sqref="B4"/>
    </sheetView>
  </sheetViews>
  <sheetFormatPr defaultColWidth="9.109375" defaultRowHeight="13.2" outlineLevelRow="1"/>
  <cols>
    <col min="1" max="1" width="9.5546875" style="4" bestFit="1" customWidth="1"/>
    <col min="2" max="2" width="114.33203125" style="4" customWidth="1"/>
    <col min="3" max="3" width="18.88671875" style="4" customWidth="1"/>
    <col min="4" max="4" width="25.44140625" style="4" customWidth="1"/>
    <col min="5" max="5" width="24.332031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546875" style="4" bestFit="1" customWidth="1"/>
    <col min="10" max="16384" width="9.109375" style="4"/>
  </cols>
  <sheetData>
    <row r="1" spans="1:6">
      <c r="A1" s="337" t="s">
        <v>30</v>
      </c>
      <c r="B1" s="338" t="s">
        <v>439</v>
      </c>
    </row>
    <row r="2" spans="1:6" s="59" customFormat="1" ht="15.75" customHeight="1">
      <c r="A2" s="337" t="s">
        <v>31</v>
      </c>
      <c r="B2" s="339">
        <f>'1. key ratios '!B2</f>
        <v>43921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8" thickBot="1">
      <c r="A4" s="59" t="s">
        <v>85</v>
      </c>
      <c r="B4" s="261" t="s">
        <v>339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361</v>
      </c>
      <c r="C5" s="429">
        <f>'7. LI1 '!E21</f>
        <v>313306332.39359105</v>
      </c>
    </row>
    <row r="6" spans="1:6" s="205" customFormat="1">
      <c r="A6" s="67">
        <v>2.1</v>
      </c>
      <c r="B6" s="201" t="s">
        <v>340</v>
      </c>
      <c r="C6" s="139">
        <f>'4. Off-Balance'!E8+'4. Off-Balance'!E10</f>
        <v>78070365.070000008</v>
      </c>
    </row>
    <row r="7" spans="1:6" s="45" customFormat="1" outlineLevel="1">
      <c r="A7" s="39">
        <v>2.2000000000000002</v>
      </c>
      <c r="B7" s="40" t="s">
        <v>341</v>
      </c>
      <c r="C7" s="206"/>
    </row>
    <row r="8" spans="1:6" s="45" customFormat="1">
      <c r="A8" s="39">
        <v>3</v>
      </c>
      <c r="B8" s="202" t="s">
        <v>342</v>
      </c>
      <c r="C8" s="430">
        <f>SUM(C5:C7)</f>
        <v>391376697.46359104</v>
      </c>
    </row>
    <row r="9" spans="1:6" s="205" customFormat="1">
      <c r="A9" s="67">
        <v>4</v>
      </c>
      <c r="B9" s="69" t="s">
        <v>87</v>
      </c>
      <c r="C9" s="139">
        <v>4032872.8296369687</v>
      </c>
    </row>
    <row r="10" spans="1:6" s="45" customFormat="1" outlineLevel="1">
      <c r="A10" s="39">
        <v>5.0999999999999996</v>
      </c>
      <c r="B10" s="40" t="s">
        <v>343</v>
      </c>
      <c r="C10" s="432">
        <v>-30078044.754999995</v>
      </c>
    </row>
    <row r="11" spans="1:6" s="45" customFormat="1" outlineLevel="1">
      <c r="A11" s="39">
        <v>5.2</v>
      </c>
      <c r="B11" s="40" t="s">
        <v>344</v>
      </c>
      <c r="C11" s="206"/>
    </row>
    <row r="12" spans="1:6" s="45" customFormat="1">
      <c r="A12" s="39">
        <v>6</v>
      </c>
      <c r="B12" s="200" t="s">
        <v>512</v>
      </c>
      <c r="C12" s="206">
        <v>4533786</v>
      </c>
    </row>
    <row r="13" spans="1:6" s="45" customFormat="1" ht="13.8" thickBot="1">
      <c r="A13" s="41">
        <v>7</v>
      </c>
      <c r="B13" s="203" t="s">
        <v>290</v>
      </c>
      <c r="C13" s="431">
        <f>SUM(C8:C12)</f>
        <v>369865311.53822803</v>
      </c>
    </row>
    <row r="15" spans="1:6" ht="26.4">
      <c r="A15" s="221"/>
      <c r="B15" s="46" t="s">
        <v>511</v>
      </c>
    </row>
    <row r="16" spans="1:6">
      <c r="A16" s="221"/>
      <c r="B16" s="221"/>
    </row>
    <row r="17" spans="1:5" ht="13.8">
      <c r="A17" s="216"/>
      <c r="B17" s="217"/>
      <c r="C17" s="221"/>
      <c r="D17" s="221"/>
      <c r="E17" s="221"/>
    </row>
    <row r="18" spans="1:5" ht="14.4">
      <c r="A18" s="222"/>
      <c r="B18" s="223"/>
      <c r="C18" s="221"/>
      <c r="D18" s="221"/>
      <c r="E18" s="221"/>
    </row>
    <row r="19" spans="1:5" ht="13.8">
      <c r="A19" s="224"/>
      <c r="B19" s="218"/>
      <c r="C19" s="221"/>
      <c r="D19" s="221"/>
      <c r="E19" s="221"/>
    </row>
    <row r="20" spans="1:5" ht="13.8">
      <c r="A20" s="225"/>
      <c r="B20" s="219"/>
      <c r="C20" s="221"/>
      <c r="D20" s="221"/>
      <c r="E20" s="221"/>
    </row>
    <row r="21" spans="1:5" ht="13.8">
      <c r="A21" s="225"/>
      <c r="B21" s="223"/>
      <c r="C21" s="221"/>
      <c r="D21" s="221"/>
      <c r="E21" s="221"/>
    </row>
    <row r="22" spans="1:5" ht="13.8">
      <c r="A22" s="224"/>
      <c r="B22" s="220"/>
      <c r="C22" s="221"/>
      <c r="D22" s="221"/>
      <c r="E22" s="221"/>
    </row>
    <row r="23" spans="1:5" ht="13.8">
      <c r="A23" s="225"/>
      <c r="B23" s="219"/>
      <c r="C23" s="221"/>
      <c r="D23" s="221"/>
      <c r="E23" s="221"/>
    </row>
    <row r="24" spans="1:5" ht="13.8">
      <c r="A24" s="225"/>
      <c r="B24" s="219"/>
      <c r="C24" s="221"/>
      <c r="D24" s="221"/>
      <c r="E24" s="221"/>
    </row>
    <row r="25" spans="1:5" ht="13.8">
      <c r="A25" s="225"/>
      <c r="B25" s="226"/>
      <c r="C25" s="221"/>
      <c r="D25" s="221"/>
      <c r="E25" s="221"/>
    </row>
    <row r="26" spans="1:5" ht="13.8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Sk7VFQ5QNFnjJUcQeMy5cP6kEPV+g1IqAbS1WU6phuA=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ippLxhJGUkcX9DVj1/IxWWlZYRBOgxKb7bUzhsiOylg=</DigestValue>
    </Reference>
  </SignedInfo>
  <SignatureValue>ILc5bOy17AxI0HKVwsGdBc/YFTGqmE4ArvYA0F70Jrkf4vIAoyzjDBFpoVPHkIRJObuKHNjMEnc/
iqTn90mcJyneo9HA42qpHTKBdzr5Zsof3rnU5RQMsdFisyx/0IBQdmUPVv2R4QXtU2zOT+Scb7+e
iNdrDEmL0Vv+pIt7FC5iEArhldTUQLIK5CKS4QTx23mq4id5C5/C/6hOHWERW7kfnN/eoaGtGnoC
M3XkT8KKanAu2g0d7f1uVhKnjZa3ks0vz4OznEcs37GpNL+gOiSvrpiQi3CSaQ1X/vewG7qJMzrH
rV1MZVmc6K6hSwkMCI8MbCvlwoL9TUnJl74Bsw==</SignatureValue>
  <KeyInfo>
    <X509Data>
      <X509Certificate>MIIGODCCBSCgAwIBAgIKOCPUKwACAAFq+zANBgkqhkiG9w0BAQsFADBKMRIwEAYKCZImiZPyLGQBGRYCZ2UxEzARBgoJkiaJk/IsZAEZFgNuYmcxHzAdBgNVBAMTFk5CRyBDbGFzcyAyIElOVCBTdWIgQ0EwHhcNMjAwMjE0MTAzNDE1WhcNMjExMjIyMDk0NjU2WjA2MRswGQYDVQQKExJKU0MgSXNiYW5rIEdlb3JnaWExFzAVBgNVBAMTDkJJUyAtIE96YW4gR3VyMIIBIjANBgkqhkiG9w0BAQEFAAOCAQ8AMIIBCgKCAQEA5AaKV/Q4021K/K7TS/Rxv91ukAAKvgKT9KBzgfRok5LbPbM/oa5Kgk7bnpCCByJ3EmT8YSHQoCs4A9+iHfxywV7+kuyL5DPmPMH7u1hNZRuSq8YUPHytgdotqgvxVeTmvlaZkU7grvb4e5ezbWwQj9T9dxVjqphFtAx0y5ipQsBTBbnUYLN6cTBZWOEhO6uZCOy8a7q7Q/XWVho4e3MbORqLDWyZU9Mw04ha+015krYzNo3QU0RD9u2DVHQQdc6yhjS0N+ln5RQTSCnnOiuQNrsN0Ww15TNsstQmROmknAcVXJTUIY52QyuWtTzmmaBfE2spuAdSeA1KjmzTVQivMwIDAQABo4IDMjCCAy4wPAYJKwYBBAGCNxUHBC8wLQYlKwYBBAGCNxUI5rJgg431RIaBmQmDuKFKg76EcQSDxJEzhIOIXQIBZAIBIzAdBgNVHSUEFjAUBggrBgEFBQcDAgYIKwYBBQUHAwQwCwYDVR0PBAQDAgeAMCcGCSsGAQQBgjcVCgQaMBgwCgYIKwYBBQUHAwIwCgYIKwYBBQUHAwQwHQYDVR0OBBYEFAAhotqKxsfCcotgI5UDu2FDuGFB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Av0gxZI1NAfSOrNjeffn9Xk2dvV07qVJ79j6sHOw/5qO0asgLt1ArVjKHqSrYLXnU9G09WjXIY6FWltb0uh0VzQN/qJGsDTMsIGYowaVCz5C+cIRPFTyat2/P7OrBzvQOrpYOCXdoq4j2EN9zzoAZ29ZI4P1JUP/KokkFFxNeHFJcCN838s4SbsDL3fzvWdD6kDgEJVnxkTs/kfSmGvPahXzlQqt/cYDAS48dV44sqruABqeS+9xpcbCk0JbRWSpoaeNcD+tnyZVAoRKbCBJ2oWnvfi/nR42f7tCLMqy2hS1DpLt4/0sJGer3Q+fRc5o2Oym/rKKiTfzWk4XXMGlN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fQLsG1XSl0jG+ZWv1hOpIBtRmJfudTVHYK/vrTaFoao=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sharedStrings.xml?ContentType=application/vnd.openxmlformats-officedocument.spreadsheetml.sharedStrings+xml">
        <DigestMethod Algorithm="http://www.w3.org/2001/04/xmlenc#sha256"/>
        <DigestValue>qizi6UeH7UtOJQXqA1Q8LHfa53B4HoRh6I+ikhTZsUY=</DigestValue>
      </Reference>
      <Reference URI="/xl/styles.xml?ContentType=application/vnd.openxmlformats-officedocument.spreadsheetml.styles+xml">
        <DigestMethod Algorithm="http://www.w3.org/2001/04/xmlenc#sha256"/>
        <DigestValue>QiZgIBWcZlI9dIDnJEpItNe2gQDFA2tWhT6T5j/6iRw=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D9k0SHBeUWaLoWMRGBUWlXH/wYN2B2MJILmcryLwnzE=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xNjnVqtX58vuf8CrU3fIUtE0FIzi+0HzLpfqT7taaWM=</DigestValue>
      </Reference>
      <Reference URI="/xl/worksheets/sheet10.xml?ContentType=application/vnd.openxmlformats-officedocument.spreadsheetml.worksheet+xml">
        <DigestMethod Algorithm="http://www.w3.org/2001/04/xmlenc#sha256"/>
        <DigestValue>X0TLK3odY3B1E3Eo9UkBK1JQhpiTh5W/Ctrm9iT39jM=</DigestValue>
      </Reference>
      <Reference URI="/xl/worksheets/sheet11.xml?ContentType=application/vnd.openxmlformats-officedocument.spreadsheetml.worksheet+xml">
        <DigestMethod Algorithm="http://www.w3.org/2001/04/xmlenc#sha256"/>
        <DigestValue>1oPsM5pRznUeLM2vyR+Gl8eNLZlxn/AEYf2+aVx9EAk=</DigestValue>
      </Reference>
      <Reference URI="/xl/worksheets/sheet12.xml?ContentType=application/vnd.openxmlformats-officedocument.spreadsheetml.worksheet+xml">
        <DigestMethod Algorithm="http://www.w3.org/2001/04/xmlenc#sha256"/>
        <DigestValue>n2Dhc+Q0hA3iPXoYqa6r0pusH7FACa+RizK6lUqURLI=</DigestValue>
      </Reference>
      <Reference URI="/xl/worksheets/sheet13.xml?ContentType=application/vnd.openxmlformats-officedocument.spreadsheetml.worksheet+xml">
        <DigestMethod Algorithm="http://www.w3.org/2001/04/xmlenc#sha256"/>
        <DigestValue>IzoVXj7Rg4l5bajOKLGb5TPn9DWpaceI21FYB4srqCM=</DigestValue>
      </Reference>
      <Reference URI="/xl/worksheets/sheet14.xml?ContentType=application/vnd.openxmlformats-officedocument.spreadsheetml.worksheet+xml">
        <DigestMethod Algorithm="http://www.w3.org/2001/04/xmlenc#sha256"/>
        <DigestValue>JLTu3CsTxPEcGfsv9XRHvzUt3xvKMpB5whVFQzPUJBw=</DigestValue>
      </Reference>
      <Reference URI="/xl/worksheets/sheet15.xml?ContentType=application/vnd.openxmlformats-officedocument.spreadsheetml.worksheet+xml">
        <DigestMethod Algorithm="http://www.w3.org/2001/04/xmlenc#sha256"/>
        <DigestValue>sdZ/3oy43YO49CKHtxRkwjBAwUy5rwLr9TknRFmQ/KY=</DigestValue>
      </Reference>
      <Reference URI="/xl/worksheets/sheet16.xml?ContentType=application/vnd.openxmlformats-officedocument.spreadsheetml.worksheet+xml">
        <DigestMethod Algorithm="http://www.w3.org/2001/04/xmlenc#sha256"/>
        <DigestValue>h+muaV6glhAtqJhSnO8jsbWJUx+MaU4ksCmKzvfnbHI=</DigestValue>
      </Reference>
      <Reference URI="/xl/worksheets/sheet17.xml?ContentType=application/vnd.openxmlformats-officedocument.spreadsheetml.worksheet+xml">
        <DigestMethod Algorithm="http://www.w3.org/2001/04/xmlenc#sha256"/>
        <DigestValue>kIqUfAIWIW0gjiu65STKSMs3VM+NYFwx7C0M5SFpFq4=</DigestValue>
      </Reference>
      <Reference URI="/xl/worksheets/sheet18.xml?ContentType=application/vnd.openxmlformats-officedocument.spreadsheetml.worksheet+xml">
        <DigestMethod Algorithm="http://www.w3.org/2001/04/xmlenc#sha256"/>
        <DigestValue>OvpcDNMZeac7xp1zULnNWl1eMkzOz5Xc6S7LsCA7UNk=</DigestValue>
      </Reference>
      <Reference URI="/xl/worksheets/sheet2.xml?ContentType=application/vnd.openxmlformats-officedocument.spreadsheetml.worksheet+xml">
        <DigestMethod Algorithm="http://www.w3.org/2001/04/xmlenc#sha256"/>
        <DigestValue>3kAn7aVWHltBJqSE45ZQYGhJNXI0BpYJjA89f7ER/J8=</DigestValue>
      </Reference>
      <Reference URI="/xl/worksheets/sheet3.xml?ContentType=application/vnd.openxmlformats-officedocument.spreadsheetml.worksheet+xml">
        <DigestMethod Algorithm="http://www.w3.org/2001/04/xmlenc#sha256"/>
        <DigestValue>R7bvVDJ318GP2xjPlrixUNg8yLOOEpYU+0HSt4XFXFA=</DigestValue>
      </Reference>
      <Reference URI="/xl/worksheets/sheet4.xml?ContentType=application/vnd.openxmlformats-officedocument.spreadsheetml.worksheet+xml">
        <DigestMethod Algorithm="http://www.w3.org/2001/04/xmlenc#sha256"/>
        <DigestValue>zug9xd8nBoq6O42xv/c58eiKPUEfLlOjAvYNXn4gDmE=</DigestValue>
      </Reference>
      <Reference URI="/xl/worksheets/sheet5.xml?ContentType=application/vnd.openxmlformats-officedocument.spreadsheetml.worksheet+xml">
        <DigestMethod Algorithm="http://www.w3.org/2001/04/xmlenc#sha256"/>
        <DigestValue>CvogK9gHKrHiAu3f6bIYyRvR2RyeQAcDaybQPZUb604=</DigestValue>
      </Reference>
      <Reference URI="/xl/worksheets/sheet6.xml?ContentType=application/vnd.openxmlformats-officedocument.spreadsheetml.worksheet+xml">
        <DigestMethod Algorithm="http://www.w3.org/2001/04/xmlenc#sha256"/>
        <DigestValue>E3vfhbLr1ySYQVBMKvqNj6eYu4yPGWQFIQI3oBVVFSc=</DigestValue>
      </Reference>
      <Reference URI="/xl/worksheets/sheet7.xml?ContentType=application/vnd.openxmlformats-officedocument.spreadsheetml.worksheet+xml">
        <DigestMethod Algorithm="http://www.w3.org/2001/04/xmlenc#sha256"/>
        <DigestValue>l/W9ZyEuoiO2/Y9i9NZPemfJB9P67nPiSJdhC60dz94=</DigestValue>
      </Reference>
      <Reference URI="/xl/worksheets/sheet8.xml?ContentType=application/vnd.openxmlformats-officedocument.spreadsheetml.worksheet+xml">
        <DigestMethod Algorithm="http://www.w3.org/2001/04/xmlenc#sha256"/>
        <DigestValue>NA6EMlVBO9n5IysTW+JTi/z6BaeMcl3PaYVqeZUinIg=</DigestValue>
      </Reference>
      <Reference URI="/xl/worksheets/sheet9.xml?ContentType=application/vnd.openxmlformats-officedocument.spreadsheetml.worksheet+xml">
        <DigestMethod Algorithm="http://www.w3.org/2001/04/xmlenc#sha256"/>
        <DigestValue>d2I31IxytgdSO9iQ2opWOsKYuq4RLw4CzVRvTyqcf6c=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2020-04-30T10:48:58Z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2020-04-30T10:48:58Z</xd:SigningTime>
          <xd:SigningCertificate>
            <xd:Cert>
              <xd:CertDigest>
                <DigestMethod Algorithm="http://www.w3.org/2001/04/xmlenc#sha256"/>
                <DigestValue>siOL6Vfls/yhyQKp7XPvybUcaMULq6zrSELPm5cUglk=</DigestValue>
              </xd:CertDigest>
              <xd:IssuerSerial>
                <X509IssuerName>CN=NBG Class 2 INT Sub CA, DC=nbg, DC=ge</X509IssuerName>
                <X509SerialNumber>265113447396648595581691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CEO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b46ryJPsKQZ/iFXT3L5Bp3hRyX9Cqvuo4sYbUKDtV2s=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XB16/0+2S6HKKYo16S+vv1jSrzWJM905ZIFv5R2wmwA=</DigestValue>
    </Reference>
  </SignedInfo>
  <SignatureValue>ci4Y9CUObStY0Q/rKpzZMnF95KbREGu+VG/Uu4rBUEMIuGjTgsMapx95jqwN1xFewA+8AdxlqIob
2QLPjH1HhYU+KQms85tAc5b/1e6e7c7U6wiGRmkEZ+dwFr+QO5U9rOJkOJG/b/JxUbcNW3pODgN3
2WF5/2m4Lymewq86GG/oKWuZCRNmOceNGVRi2wk3/UG6X9cBxIQA4tQlbJRLk4damN1yN69Rl7ku
v/8nBaBJ/fvI0pojguXsdQbma2AuHKQiS94eYy2mD+gEz9uDnLirTYzgGfuFoq/BkjBfPk4GrTF+
N3ub1Vn+2bO2fzOyWoiZGIbXzsDWB/1Dda7SGA==</SignatureValue>
  <KeyInfo>
    <X509Data>
      <X509Certificate>MIIGPjCCBSagAwIBAgIKN+cNcgACAAFq9jANBgkqhkiG9w0BAQsFADBKMRIwEAYKCZImiZPyLGQBGRYCZ2UxEzARBgoJkiaJk/IsZAEZFgNuYmcxHzAdBgNVBAMTFk5CRyBDbGFzcyAyIElOVCBTdWIgQ0EwHhcNMjAwMjE0MDkyNzUyWhcNMjExMjIyMDk0NjU2WjA8MRswGQYDVQQKExJKU0MgSXNiYW5rIEdlb3JnaWExHTAbBgNVBAMTFEJJUyAtIFVjaGEgU2FyYWxpZHplMIIBIjANBgkqhkiG9w0BAQEFAAOCAQ8AMIIBCgKCAQEA0D4bqdqp/9ipmgmoZKySYvP1OzaVfG2jMLfjnryApDA0+E4gZV5v8sr4u4hthhIghbW0pqyHfI3MUJuzLTIAD1I9rrf5EQ196OfiQJ/WODkcx3kPQu1RIIyo35etA436eayL1XZu8wa2BV9yVrXmUqS94s1L4ahl5RxiXjGGAl2iUrL6d15Q46+2tCgAk/X4mJtGQfU9V8k/t/jJKdoLGLVZrE6awz55dKTkhl4cb7VLByPcccT3eIPDLzbtL/TrLIs7L9hnHn4phQaqZElFU4vyCfFNr/w/2IQ1PSI7i5tKnFCJrk85X08TQRbaVoYDIW0SXPRVgOuGvcoFxHx3OQIDAQABo4IDMjCCAy4wPAYJKwYBBAGCNxUHBC8wLQYlKwYBBAGCNxUI5rJgg431RIaBmQmDuKFKg76EcQSDxJEzhIOIXQIBZAIBIzAdBgNVHSUEFjAUBggrBgEFBQcDAgYIKwYBBQUHAwQwCwYDVR0PBAQDAgeAMCcGCSsGAQQBgjcVCgQaMBgwCgYIKwYBBQUHAwIwCgYIKwYBBQUHAwQwHQYDVR0OBBYEFNyLub/t3TZbR0K2Y1XZbyM0oR26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BzJkDHFPFcCz1veNJp0X5jjGf3KPGpEIwlmWjH6OidxOLKl9SlLHzlKGNkc/FgrNaPQedQjwlG2r8ACQFp6VsEKyagRnu5achg7OJk8CTTWYTbW4yfQxFCE7cXMlrhs0KnE8EMi8f3mnDRzzqv33d+aBT+HZTkr7H58FBWih9q3qgIHT1EpikWSeGuPd9/Fi7c2aofrydiwe3+uRqrchrUPvrH5t5/jwaKqz0DuMJ6h8aLZhRyLlJHyjUbLpEEoiruSqxW70YM9+wDWUmf909JrvVbAAJQqDrJFLyn/aD0RVRhOjecNWjSptTzBw+OiSq35E+dA2trghaE8ZkyOtT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fQLsG1XSl0jG+ZWv1hOpIBtRmJfudTVHYK/vrTaFoao=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sharedStrings.xml?ContentType=application/vnd.openxmlformats-officedocument.spreadsheetml.sharedStrings+xml">
        <DigestMethod Algorithm="http://www.w3.org/2001/04/xmlenc#sha256"/>
        <DigestValue>qizi6UeH7UtOJQXqA1Q8LHfa53B4HoRh6I+ikhTZsUY=</DigestValue>
      </Reference>
      <Reference URI="/xl/styles.xml?ContentType=application/vnd.openxmlformats-officedocument.spreadsheetml.styles+xml">
        <DigestMethod Algorithm="http://www.w3.org/2001/04/xmlenc#sha256"/>
        <DigestValue>QiZgIBWcZlI9dIDnJEpItNe2gQDFA2tWhT6T5j/6iRw=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D9k0SHBeUWaLoWMRGBUWlXH/wYN2B2MJILmcryLwnzE=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xNjnVqtX58vuf8CrU3fIUtE0FIzi+0HzLpfqT7taaWM=</DigestValue>
      </Reference>
      <Reference URI="/xl/worksheets/sheet10.xml?ContentType=application/vnd.openxmlformats-officedocument.spreadsheetml.worksheet+xml">
        <DigestMethod Algorithm="http://www.w3.org/2001/04/xmlenc#sha256"/>
        <DigestValue>X0TLK3odY3B1E3Eo9UkBK1JQhpiTh5W/Ctrm9iT39jM=</DigestValue>
      </Reference>
      <Reference URI="/xl/worksheets/sheet11.xml?ContentType=application/vnd.openxmlformats-officedocument.spreadsheetml.worksheet+xml">
        <DigestMethod Algorithm="http://www.w3.org/2001/04/xmlenc#sha256"/>
        <DigestValue>1oPsM5pRznUeLM2vyR+Gl8eNLZlxn/AEYf2+aVx9EAk=</DigestValue>
      </Reference>
      <Reference URI="/xl/worksheets/sheet12.xml?ContentType=application/vnd.openxmlformats-officedocument.spreadsheetml.worksheet+xml">
        <DigestMethod Algorithm="http://www.w3.org/2001/04/xmlenc#sha256"/>
        <DigestValue>n2Dhc+Q0hA3iPXoYqa6r0pusH7FACa+RizK6lUqURLI=</DigestValue>
      </Reference>
      <Reference URI="/xl/worksheets/sheet13.xml?ContentType=application/vnd.openxmlformats-officedocument.spreadsheetml.worksheet+xml">
        <DigestMethod Algorithm="http://www.w3.org/2001/04/xmlenc#sha256"/>
        <DigestValue>IzoVXj7Rg4l5bajOKLGb5TPn9DWpaceI21FYB4srqCM=</DigestValue>
      </Reference>
      <Reference URI="/xl/worksheets/sheet14.xml?ContentType=application/vnd.openxmlformats-officedocument.spreadsheetml.worksheet+xml">
        <DigestMethod Algorithm="http://www.w3.org/2001/04/xmlenc#sha256"/>
        <DigestValue>JLTu3CsTxPEcGfsv9XRHvzUt3xvKMpB5whVFQzPUJBw=</DigestValue>
      </Reference>
      <Reference URI="/xl/worksheets/sheet15.xml?ContentType=application/vnd.openxmlformats-officedocument.spreadsheetml.worksheet+xml">
        <DigestMethod Algorithm="http://www.w3.org/2001/04/xmlenc#sha256"/>
        <DigestValue>sdZ/3oy43YO49CKHtxRkwjBAwUy5rwLr9TknRFmQ/KY=</DigestValue>
      </Reference>
      <Reference URI="/xl/worksheets/sheet16.xml?ContentType=application/vnd.openxmlformats-officedocument.spreadsheetml.worksheet+xml">
        <DigestMethod Algorithm="http://www.w3.org/2001/04/xmlenc#sha256"/>
        <DigestValue>h+muaV6glhAtqJhSnO8jsbWJUx+MaU4ksCmKzvfnbHI=</DigestValue>
      </Reference>
      <Reference URI="/xl/worksheets/sheet17.xml?ContentType=application/vnd.openxmlformats-officedocument.spreadsheetml.worksheet+xml">
        <DigestMethod Algorithm="http://www.w3.org/2001/04/xmlenc#sha256"/>
        <DigestValue>kIqUfAIWIW0gjiu65STKSMs3VM+NYFwx7C0M5SFpFq4=</DigestValue>
      </Reference>
      <Reference URI="/xl/worksheets/sheet18.xml?ContentType=application/vnd.openxmlformats-officedocument.spreadsheetml.worksheet+xml">
        <DigestMethod Algorithm="http://www.w3.org/2001/04/xmlenc#sha256"/>
        <DigestValue>OvpcDNMZeac7xp1zULnNWl1eMkzOz5Xc6S7LsCA7UNk=</DigestValue>
      </Reference>
      <Reference URI="/xl/worksheets/sheet2.xml?ContentType=application/vnd.openxmlformats-officedocument.spreadsheetml.worksheet+xml">
        <DigestMethod Algorithm="http://www.w3.org/2001/04/xmlenc#sha256"/>
        <DigestValue>3kAn7aVWHltBJqSE45ZQYGhJNXI0BpYJjA89f7ER/J8=</DigestValue>
      </Reference>
      <Reference URI="/xl/worksheets/sheet3.xml?ContentType=application/vnd.openxmlformats-officedocument.spreadsheetml.worksheet+xml">
        <DigestMethod Algorithm="http://www.w3.org/2001/04/xmlenc#sha256"/>
        <DigestValue>R7bvVDJ318GP2xjPlrixUNg8yLOOEpYU+0HSt4XFXFA=</DigestValue>
      </Reference>
      <Reference URI="/xl/worksheets/sheet4.xml?ContentType=application/vnd.openxmlformats-officedocument.spreadsheetml.worksheet+xml">
        <DigestMethod Algorithm="http://www.w3.org/2001/04/xmlenc#sha256"/>
        <DigestValue>zug9xd8nBoq6O42xv/c58eiKPUEfLlOjAvYNXn4gDmE=</DigestValue>
      </Reference>
      <Reference URI="/xl/worksheets/sheet5.xml?ContentType=application/vnd.openxmlformats-officedocument.spreadsheetml.worksheet+xml">
        <DigestMethod Algorithm="http://www.w3.org/2001/04/xmlenc#sha256"/>
        <DigestValue>CvogK9gHKrHiAu3f6bIYyRvR2RyeQAcDaybQPZUb604=</DigestValue>
      </Reference>
      <Reference URI="/xl/worksheets/sheet6.xml?ContentType=application/vnd.openxmlformats-officedocument.spreadsheetml.worksheet+xml">
        <DigestMethod Algorithm="http://www.w3.org/2001/04/xmlenc#sha256"/>
        <DigestValue>E3vfhbLr1ySYQVBMKvqNj6eYu4yPGWQFIQI3oBVVFSc=</DigestValue>
      </Reference>
      <Reference URI="/xl/worksheets/sheet7.xml?ContentType=application/vnd.openxmlformats-officedocument.spreadsheetml.worksheet+xml">
        <DigestMethod Algorithm="http://www.w3.org/2001/04/xmlenc#sha256"/>
        <DigestValue>l/W9ZyEuoiO2/Y9i9NZPemfJB9P67nPiSJdhC60dz94=</DigestValue>
      </Reference>
      <Reference URI="/xl/worksheets/sheet8.xml?ContentType=application/vnd.openxmlformats-officedocument.spreadsheetml.worksheet+xml">
        <DigestMethod Algorithm="http://www.w3.org/2001/04/xmlenc#sha256"/>
        <DigestValue>NA6EMlVBO9n5IysTW+JTi/z6BaeMcl3PaYVqeZUinIg=</DigestValue>
      </Reference>
      <Reference URI="/xl/worksheets/sheet9.xml?ContentType=application/vnd.openxmlformats-officedocument.spreadsheetml.worksheet+xml">
        <DigestMethod Algorithm="http://www.w3.org/2001/04/xmlenc#sha256"/>
        <DigestValue>d2I31IxytgdSO9iQ2opWOsKYuq4RLw4CzVRvTyqcf6c=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2020-04-30T10:49:28Z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2020-04-30T10:49:28Z</xd:SigningTime>
          <xd:SigningCertificate>
            <xd:Cert>
              <xd:CertDigest>
                <DigestMethod Algorithm="http://www.w3.org/2001/04/xmlenc#sha256"/>
                <DigestValue>A7e5m2h1KbNiZGOGwzomIFCkYqfEghvfmU1iqaQ7Lw8=</DigestValue>
              </xd:CertDigest>
              <xd:IssuerSerial>
                <X509IssuerName>CN=NBG Class 2 INT Sub CA, DC=nbg, DC=ge</X509IssuerName>
                <X509SerialNumber>263992323275735821282038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CFO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2020-04-30T10:47:03Z</dcterms:modified>
</cp:coreProperties>
</file>