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995" windowWidth="23250" windowHeight="6930" tabRatio="76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  <externalReference r:id="rId20"/>
    <externalReference r:id="rId21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 calcOnSave="0"/>
</workbook>
</file>

<file path=xl/calcChain.xml><?xml version="1.0" encoding="utf-8"?>
<calcChain xmlns="http://schemas.openxmlformats.org/spreadsheetml/2006/main">
  <c r="C22" i="90" l="1"/>
  <c r="D32" i="75" l="1"/>
  <c r="C14" i="69" l="1"/>
  <c r="M22" i="90" l="1"/>
  <c r="C46" i="89" l="1"/>
  <c r="G32" i="75" l="1"/>
  <c r="D13" i="91" l="1"/>
  <c r="C29" i="95" l="1"/>
  <c r="B2" i="95" l="1"/>
  <c r="C26" i="95"/>
  <c r="C21" i="94" l="1"/>
  <c r="B17" i="84" s="1"/>
  <c r="C20" i="94"/>
  <c r="B16" i="84" s="1"/>
  <c r="C19" i="94"/>
  <c r="B15" i="84" s="1"/>
  <c r="F40" i="83" l="1"/>
  <c r="C40" i="83"/>
  <c r="C15" i="89" l="1"/>
  <c r="C7" i="95" s="1"/>
  <c r="C38" i="84" l="1"/>
  <c r="I21" i="93" l="1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K10" i="93"/>
  <c r="H21" i="93"/>
  <c r="F23" i="93"/>
  <c r="H23" i="93" s="1"/>
  <c r="H19" i="93"/>
  <c r="H11" i="93"/>
  <c r="G16" i="93"/>
  <c r="H10" i="93"/>
  <c r="E21" i="93"/>
  <c r="D16" i="93"/>
  <c r="E19" i="93"/>
  <c r="E11" i="93"/>
  <c r="E10" i="93"/>
  <c r="C5" i="86"/>
  <c r="G24" i="93" l="1"/>
  <c r="G25" i="93" s="1"/>
  <c r="J24" i="93"/>
  <c r="J25" i="93" s="1"/>
  <c r="I16" i="93"/>
  <c r="I24" i="93" s="1"/>
  <c r="F16" i="93"/>
  <c r="F24" i="93" s="1"/>
  <c r="C16" i="93"/>
  <c r="E16" i="93" s="1"/>
  <c r="K16" i="93" l="1"/>
  <c r="H24" i="93"/>
  <c r="H16" i="93"/>
  <c r="B2" i="93"/>
  <c r="B2" i="92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F8" i="91" s="1"/>
  <c r="S9" i="90"/>
  <c r="F9" i="91" s="1"/>
  <c r="S10" i="90"/>
  <c r="F10" i="91" s="1"/>
  <c r="S11" i="90"/>
  <c r="F11" i="91" s="1"/>
  <c r="S12" i="90"/>
  <c r="F12" i="91" s="1"/>
  <c r="S13" i="90"/>
  <c r="F13" i="91" s="1"/>
  <c r="S14" i="90"/>
  <c r="F14" i="91" s="1"/>
  <c r="S15" i="90"/>
  <c r="F15" i="91" s="1"/>
  <c r="S16" i="90"/>
  <c r="F16" i="91" s="1"/>
  <c r="S17" i="90"/>
  <c r="F17" i="91" s="1"/>
  <c r="S18" i="90"/>
  <c r="F18" i="91" s="1"/>
  <c r="S19" i="90"/>
  <c r="F19" i="91" s="1"/>
  <c r="S20" i="90"/>
  <c r="F20" i="91" s="1"/>
  <c r="S21" i="90"/>
  <c r="F21" i="91" s="1"/>
  <c r="B2" i="90"/>
  <c r="C23" i="69"/>
  <c r="B2" i="69"/>
  <c r="B2" i="94"/>
  <c r="B2" i="89"/>
  <c r="I25" i="93" l="1"/>
  <c r="K24" i="93"/>
  <c r="K25" i="93" s="1"/>
  <c r="H25" i="93"/>
  <c r="F25" i="93"/>
  <c r="B2" i="73"/>
  <c r="B2" i="88"/>
  <c r="B2" i="52"/>
  <c r="D6" i="86"/>
  <c r="D13" i="86" s="1"/>
  <c r="D5" i="86"/>
  <c r="B2" i="86"/>
  <c r="G45" i="75"/>
  <c r="F45" i="75"/>
  <c r="D45" i="75"/>
  <c r="C45" i="75"/>
  <c r="F32" i="75"/>
  <c r="C32" i="75"/>
  <c r="G40" i="75"/>
  <c r="F40" i="75"/>
  <c r="D40" i="75"/>
  <c r="C40" i="75"/>
  <c r="G22" i="75"/>
  <c r="F22" i="75"/>
  <c r="D22" i="75"/>
  <c r="D19" i="75" s="1"/>
  <c r="C22" i="75"/>
  <c r="G19" i="75"/>
  <c r="F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F34" i="85"/>
  <c r="D34" i="85"/>
  <c r="D45" i="85" s="1"/>
  <c r="C34" i="85"/>
  <c r="E8" i="85"/>
  <c r="H8" i="85"/>
  <c r="C9" i="85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D30" i="85"/>
  <c r="F30" i="85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D53" i="85"/>
  <c r="F53" i="85"/>
  <c r="G53" i="85"/>
  <c r="E58" i="85"/>
  <c r="H58" i="85"/>
  <c r="E59" i="85"/>
  <c r="H59" i="85"/>
  <c r="E60" i="85"/>
  <c r="H60" i="85"/>
  <c r="C61" i="85"/>
  <c r="D61" i="85"/>
  <c r="F61" i="85"/>
  <c r="G61" i="85"/>
  <c r="E64" i="85"/>
  <c r="H64" i="85"/>
  <c r="E66" i="85"/>
  <c r="H66" i="85"/>
  <c r="B2" i="85"/>
  <c r="G14" i="83"/>
  <c r="F14" i="83"/>
  <c r="D14" i="83"/>
  <c r="D20" i="83" s="1"/>
  <c r="C14" i="83"/>
  <c r="C20" i="83" s="1"/>
  <c r="E7" i="83"/>
  <c r="C6" i="69" s="1"/>
  <c r="H7" i="83"/>
  <c r="E8" i="83"/>
  <c r="C7" i="69" s="1"/>
  <c r="H8" i="83"/>
  <c r="E9" i="83"/>
  <c r="C8" i="69" s="1"/>
  <c r="H9" i="83"/>
  <c r="E10" i="83"/>
  <c r="C9" i="69" s="1"/>
  <c r="H10" i="83"/>
  <c r="E11" i="83"/>
  <c r="C10" i="69" s="1"/>
  <c r="H11" i="83"/>
  <c r="E12" i="83"/>
  <c r="C11" i="69" s="1"/>
  <c r="H12" i="83"/>
  <c r="E13" i="83"/>
  <c r="C12" i="69" s="1"/>
  <c r="H13" i="83"/>
  <c r="E15" i="83"/>
  <c r="C16" i="69" s="1"/>
  <c r="H15" i="83"/>
  <c r="E16" i="83"/>
  <c r="C17" i="69" s="1"/>
  <c r="H16" i="83"/>
  <c r="E17" i="83"/>
  <c r="C18" i="69" s="1"/>
  <c r="H17" i="83"/>
  <c r="E18" i="83"/>
  <c r="C22" i="69" s="1"/>
  <c r="H18" i="83"/>
  <c r="E19" i="83"/>
  <c r="C24" i="69" s="1"/>
  <c r="H19" i="83"/>
  <c r="F20" i="83"/>
  <c r="E22" i="83"/>
  <c r="C26" i="69" s="1"/>
  <c r="H22" i="83"/>
  <c r="E23" i="83"/>
  <c r="C27" i="69" s="1"/>
  <c r="H23" i="83"/>
  <c r="E24" i="83"/>
  <c r="C28" i="69" s="1"/>
  <c r="H24" i="83"/>
  <c r="E25" i="83"/>
  <c r="C29" i="69" s="1"/>
  <c r="H25" i="83"/>
  <c r="E26" i="83"/>
  <c r="C30" i="69" s="1"/>
  <c r="H26" i="83"/>
  <c r="E27" i="83"/>
  <c r="C31" i="69" s="1"/>
  <c r="H27" i="83"/>
  <c r="E28" i="83"/>
  <c r="C32" i="69" s="1"/>
  <c r="H28" i="83"/>
  <c r="E29" i="83"/>
  <c r="C33" i="69" s="1"/>
  <c r="H29" i="83"/>
  <c r="E30" i="83"/>
  <c r="H30" i="83"/>
  <c r="C31" i="83"/>
  <c r="D31" i="83"/>
  <c r="D41" i="83" s="1"/>
  <c r="F31" i="83"/>
  <c r="G31" i="83"/>
  <c r="G41" i="83" s="1"/>
  <c r="E33" i="83"/>
  <c r="C7" i="89" s="1"/>
  <c r="C37" i="69" s="1"/>
  <c r="H33" i="83"/>
  <c r="E34" i="83"/>
  <c r="H34" i="83"/>
  <c r="E35" i="83"/>
  <c r="H35" i="83"/>
  <c r="E36" i="83"/>
  <c r="H36" i="83"/>
  <c r="E37" i="83"/>
  <c r="H37" i="83"/>
  <c r="E38" i="83"/>
  <c r="C11" i="89" s="1"/>
  <c r="C42" i="69" s="1"/>
  <c r="H38" i="83"/>
  <c r="E39" i="83"/>
  <c r="H39" i="83"/>
  <c r="E40" i="83"/>
  <c r="H40" i="83"/>
  <c r="B2" i="83"/>
  <c r="D54" i="85" l="1"/>
  <c r="H61" i="85"/>
  <c r="E31" i="83"/>
  <c r="E53" i="85"/>
  <c r="E61" i="85"/>
  <c r="H53" i="85"/>
  <c r="G54" i="85"/>
  <c r="E30" i="85"/>
  <c r="E9" i="85"/>
  <c r="H31" i="83"/>
  <c r="H14" i="83"/>
  <c r="H30" i="85"/>
  <c r="H9" i="85"/>
  <c r="H22" i="85"/>
  <c r="D31" i="85"/>
  <c r="C14" i="88"/>
  <c r="E14" i="88" s="1"/>
  <c r="C44" i="89"/>
  <c r="C35" i="69" s="1"/>
  <c r="C34" i="69"/>
  <c r="C18" i="88"/>
  <c r="E18" i="88" s="1"/>
  <c r="C19" i="88"/>
  <c r="E19" i="88" s="1"/>
  <c r="C16" i="88"/>
  <c r="E16" i="88" s="1"/>
  <c r="C20" i="88"/>
  <c r="E20" i="88" s="1"/>
  <c r="C17" i="88"/>
  <c r="E17" i="88" s="1"/>
  <c r="C11" i="88"/>
  <c r="E11" i="88" s="1"/>
  <c r="C8" i="88"/>
  <c r="E8" i="88" s="1"/>
  <c r="C12" i="88"/>
  <c r="E12" i="88" s="1"/>
  <c r="C9" i="88"/>
  <c r="E9" i="88" s="1"/>
  <c r="C13" i="88"/>
  <c r="E13" i="88" s="1"/>
  <c r="C10" i="88"/>
  <c r="E10" i="88" s="1"/>
  <c r="G20" i="83"/>
  <c r="H20" i="83" s="1"/>
  <c r="G31" i="85"/>
  <c r="G56" i="85" s="1"/>
  <c r="G63" i="85" s="1"/>
  <c r="G65" i="85" s="1"/>
  <c r="G67" i="85" s="1"/>
  <c r="F31" i="85"/>
  <c r="F41" i="83"/>
  <c r="H41" i="83" s="1"/>
  <c r="H34" i="85"/>
  <c r="F45" i="85"/>
  <c r="E34" i="85"/>
  <c r="C45" i="85"/>
  <c r="C22" i="85"/>
  <c r="E14" i="83"/>
  <c r="C15" i="88" s="1"/>
  <c r="E15" i="88" s="1"/>
  <c r="E20" i="83"/>
  <c r="C41" i="83"/>
  <c r="E41" i="83" s="1"/>
  <c r="D56" i="85" l="1"/>
  <c r="D63" i="85" s="1"/>
  <c r="D65" i="85" s="1"/>
  <c r="D67" i="85" s="1"/>
  <c r="H31" i="85"/>
  <c r="H45" i="85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D9" i="94" l="1"/>
  <c r="D12" i="94"/>
  <c r="D15" i="94"/>
  <c r="D8" i="94"/>
  <c r="D11" i="94"/>
  <c r="D7" i="94"/>
  <c r="D17" i="94"/>
  <c r="D13" i="94"/>
  <c r="D16" i="94"/>
  <c r="D21" i="94"/>
  <c r="D20" i="94"/>
  <c r="D19" i="94"/>
  <c r="N20" i="92"/>
  <c r="N19" i="92"/>
  <c r="E19" i="92"/>
  <c r="N18" i="92"/>
  <c r="E18" i="92"/>
  <c r="N17" i="92"/>
  <c r="E17" i="92"/>
  <c r="N16" i="92"/>
  <c r="E16" i="92"/>
  <c r="N15" i="92"/>
  <c r="E15" i="92"/>
  <c r="M14" i="92"/>
  <c r="L14" i="92"/>
  <c r="K14" i="92"/>
  <c r="J14" i="92"/>
  <c r="I14" i="92"/>
  <c r="H14" i="92"/>
  <c r="G14" i="92"/>
  <c r="F14" i="92"/>
  <c r="E14" i="92"/>
  <c r="C14" i="92"/>
  <c r="N13" i="92"/>
  <c r="N12" i="92"/>
  <c r="E12" i="92"/>
  <c r="N11" i="92"/>
  <c r="E11" i="92"/>
  <c r="N10" i="92"/>
  <c r="E10" i="92"/>
  <c r="N9" i="92"/>
  <c r="E9" i="92"/>
  <c r="N8" i="92"/>
  <c r="N7" i="92" s="1"/>
  <c r="E8" i="92"/>
  <c r="E7" i="92" s="1"/>
  <c r="M7" i="92"/>
  <c r="L7" i="92"/>
  <c r="L21" i="92" s="1"/>
  <c r="K7" i="92"/>
  <c r="K21" i="92" s="1"/>
  <c r="J7" i="92"/>
  <c r="J21" i="92" s="1"/>
  <c r="I7" i="92"/>
  <c r="H7" i="92"/>
  <c r="H21" i="92" s="1"/>
  <c r="G7" i="92"/>
  <c r="G21" i="92" s="1"/>
  <c r="F7" i="92"/>
  <c r="F21" i="92" s="1"/>
  <c r="C7" i="92"/>
  <c r="E21" i="92" l="1"/>
  <c r="N14" i="92"/>
  <c r="N21" i="92" s="1"/>
  <c r="C12" i="95" s="1"/>
  <c r="C18" i="95" s="1"/>
  <c r="I21" i="92"/>
  <c r="M21" i="92"/>
  <c r="C21" i="92"/>
  <c r="C21" i="88"/>
  <c r="C8" i="95" l="1"/>
  <c r="T21" i="64"/>
  <c r="U21" i="64"/>
  <c r="S21" i="64"/>
  <c r="C21" i="64"/>
  <c r="F22" i="91"/>
  <c r="E22" i="91"/>
  <c r="C22" i="91"/>
  <c r="K22" i="90" l="1"/>
  <c r="L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5" i="95" s="1"/>
  <c r="C31" i="89"/>
  <c r="C30" i="89" s="1"/>
  <c r="C35" i="89"/>
  <c r="C43" i="89"/>
  <c r="C47" i="89"/>
  <c r="C41" i="89" l="1"/>
  <c r="C52" i="89"/>
  <c r="C15" i="69" l="1"/>
  <c r="C25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H7" i="75"/>
  <c r="E7" i="75"/>
  <c r="D14" i="91" l="1"/>
  <c r="D22" i="91" s="1"/>
  <c r="C6" i="73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C8" i="73" l="1"/>
  <c r="C13" i="73" s="1"/>
  <c r="C28" i="95"/>
  <c r="C30" i="95" s="1"/>
  <c r="C36" i="95" s="1"/>
  <c r="C38" i="95" s="1"/>
  <c r="V8" i="64"/>
  <c r="G9" i="91" s="1"/>
  <c r="H9" i="91" s="1"/>
  <c r="V9" i="64"/>
  <c r="G10" i="91" s="1"/>
  <c r="H10" i="91" s="1"/>
  <c r="V10" i="64"/>
  <c r="G11" i="91" s="1"/>
  <c r="H11" i="91" s="1"/>
  <c r="V11" i="64"/>
  <c r="G12" i="91" s="1"/>
  <c r="H12" i="91" s="1"/>
  <c r="V12" i="64"/>
  <c r="G13" i="91" s="1"/>
  <c r="H13" i="91" s="1"/>
  <c r="V13" i="64"/>
  <c r="G14" i="91" s="1"/>
  <c r="V14" i="64"/>
  <c r="G15" i="91" s="1"/>
  <c r="H15" i="91" s="1"/>
  <c r="V15" i="64"/>
  <c r="G16" i="91" s="1"/>
  <c r="H16" i="91" s="1"/>
  <c r="V16" i="64"/>
  <c r="G17" i="91" s="1"/>
  <c r="H17" i="91" s="1"/>
  <c r="V17" i="64"/>
  <c r="G18" i="91" s="1"/>
  <c r="H18" i="91" s="1"/>
  <c r="V18" i="64"/>
  <c r="G19" i="91" s="1"/>
  <c r="H19" i="91" s="1"/>
  <c r="V19" i="64"/>
  <c r="G20" i="91" s="1"/>
  <c r="H20" i="91" s="1"/>
  <c r="V20" i="64"/>
  <c r="G21" i="91" s="1"/>
  <c r="H21" i="91" s="1"/>
  <c r="V7" i="64"/>
  <c r="G8" i="91" s="1"/>
  <c r="H8" i="91" s="1"/>
  <c r="H14" i="91" l="1"/>
  <c r="G22" i="91"/>
  <c r="V21" i="64"/>
  <c r="C44" i="69" l="1"/>
  <c r="C36" i="69"/>
</calcChain>
</file>

<file path=xl/sharedStrings.xml><?xml version="1.0" encoding="utf-8"?>
<sst xmlns="http://schemas.openxmlformats.org/spreadsheetml/2006/main" count="745" uniqueCount="520">
  <si>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</si>
  <si>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</si>
  <si>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</si>
  <si>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</si>
  <si>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</si>
  <si>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</si>
  <si>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</si>
  <si>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</si>
  <si>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</si>
  <si>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</si>
  <si>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</si>
  <si>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</si>
  <si>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</si>
  <si>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</si>
  <si>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</si>
  <si>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</si>
  <si>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</si>
  <si>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</si>
  <si>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</si>
  <si>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</si>
  <si>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</si>
  <si>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</si>
  <si>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</si>
  <si>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</si>
  <si>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</si>
  <si>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</si>
  <si>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</si>
  <si>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</si>
  <si>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</si>
  <si>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</si>
  <si>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</si>
  <si>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</si>
  <si>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</si>
  <si>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</si>
  <si>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</si>
  <si>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</si>
  <si>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</si>
  <si>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</si>
  <si>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</si>
  <si>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</si>
  <si>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</si>
  <si>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</si>
  <si>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</si>
  <si>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</si>
  <si>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</si>
  <si>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</si>
  <si>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</si>
  <si>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</si>
  <si>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</si>
  <si>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</si>
  <si>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</si>
  <si>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</si>
  <si>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</si>
  <si>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</si>
  <si>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</si>
  <si>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</si>
  <si>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</si>
  <si>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</si>
  <si>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</si>
  <si>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</si>
  <si>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</si>
  <si>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</si>
  <si>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</si>
  <si>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</si>
  <si>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</si>
  <si>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</si>
  <si>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</si>
  <si>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</si>
  <si>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</si>
  <si>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</si>
  <si>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</si>
  <si>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</si>
  <si>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</si>
  <si>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</si>
  <si>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</si>
  <si>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</si>
  <si>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</si>
  <si>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</si>
  <si>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</si>
  <si>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</si>
  <si>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</si>
  <si>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</si>
  <si>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</si>
  <si>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</si>
  <si>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</si>
  <si>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</si>
  <si>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</si>
  <si>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</si>
  <si>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</si>
  <si>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</si>
  <si>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</si>
  <si>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</si>
  <si>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</si>
  <si>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</si>
  <si>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</si>
  <si>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</si>
  <si>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</si>
  <si>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</si>
  <si>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</si>
  <si>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</si>
  <si>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</si>
  <si>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</si>
  <si>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</si>
  <si>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</si>
  <si>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</si>
  <si>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</si>
  <si>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</si>
  <si>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</si>
  <si>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</si>
  <si>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</si>
  <si>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</si>
  <si>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</si>
  <si>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</si>
  <si>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</si>
  <si>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</si>
  <si>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</si>
  <si>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</si>
  <si>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</si>
  <si>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</si>
  <si>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</si>
  <si>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</si>
  <si>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</si>
  <si>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</si>
  <si>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</si>
  <si>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</si>
  <si>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</si>
  <si>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</si>
  <si>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</si>
  <si>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</si>
  <si>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</si>
  <si>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</si>
  <si>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</si>
  <si>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</si>
  <si>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</si>
  <si>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</si>
  <si>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</si>
  <si>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</si>
  <si>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</si>
  <si>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</si>
  <si>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</si>
  <si>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</si>
  <si>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</si>
  <si>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</si>
  <si>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</si>
  <si>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</si>
  <si>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</si>
  <si>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</si>
  <si>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</si>
  <si>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</si>
  <si>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</si>
  <si>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</si>
  <si>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</si>
  <si>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</si>
  <si>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</si>
  <si>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</si>
  <si>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</si>
  <si>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</si>
  <si>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</si>
  <si>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</si>
  <si>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</si>
  <si>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</si>
  <si>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</si>
  <si>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</si>
  <si>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</si>
  <si>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</si>
  <si>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</si>
  <si>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</si>
  <si>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</si>
  <si>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</si>
  <si>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</si>
  <si>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</si>
  <si>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</si>
  <si>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</si>
  <si>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</si>
  <si>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</si>
  <si>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</si>
  <si>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</si>
  <si>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</si>
  <si>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</si>
  <si>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</si>
  <si>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</si>
  <si>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</si>
  <si>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</si>
  <si>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</si>
  <si>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</si>
  <si>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</si>
  <si>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</si>
  <si>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</si>
  <si>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</si>
  <si>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</si>
  <si>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</si>
  <si>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</si>
  <si>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</si>
  <si>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</si>
  <si>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</si>
  <si>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</si>
  <si>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</si>
  <si>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</si>
  <si>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</si>
  <si>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</si>
  <si>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</si>
  <si>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</si>
  <si>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</si>
  <si>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</si>
  <si>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</si>
  <si>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</si>
  <si>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</si>
  <si>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</si>
  <si>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</si>
  <si>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</si>
  <si>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</si>
  <si>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</si>
  <si>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</si>
  <si>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</si>
  <si>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</si>
  <si>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</si>
  <si>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</si>
  <si>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</si>
  <si>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</si>
  <si>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</si>
  <si>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</si>
  <si>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</si>
  <si>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</si>
  <si>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</si>
  <si>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</si>
  <si>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</si>
  <si>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</si>
  <si>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</si>
  <si>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</si>
  <si>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</si>
  <si>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</si>
  <si>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</si>
  <si>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</si>
  <si>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</si>
  <si>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</si>
  <si>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</si>
  <si>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</si>
  <si>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</si>
  <si>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</si>
  <si>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</si>
  <si>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</si>
  <si>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</si>
  <si>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</si>
  <si>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</si>
  <si>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</si>
  <si>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</si>
  <si>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</si>
  <si>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</si>
  <si>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</si>
  <si>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</si>
  <si>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</si>
  <si>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</si>
  <si>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</si>
  <si>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</si>
  <si>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</si>
  <si>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</si>
  <si>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</si>
  <si>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</si>
  <si>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</si>
  <si>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</si>
  <si>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</si>
  <si>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</si>
  <si>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</si>
  <si>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</si>
  <si>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</si>
  <si>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</si>
  <si>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</si>
  <si>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</si>
  <si>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</si>
  <si>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</si>
  <si>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</si>
  <si>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</si>
  <si>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</si>
  <si>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</si>
  <si>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</si>
  <si>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</si>
  <si>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</si>
  <si>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</si>
  <si>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</si>
  <si>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</si>
  <si>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</si>
  <si>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</si>
  <si>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</si>
  <si>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</si>
  <si>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</si>
  <si>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</si>
  <si>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</si>
  <si>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</si>
  <si>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</si>
  <si>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</si>
  <si>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</si>
  <si>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</si>
  <si>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</si>
  <si>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</si>
  <si>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</si>
  <si>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</si>
  <si>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</si>
  <si>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</si>
  <si>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</si>
  <si>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</si>
  <si>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</si>
  <si>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</si>
  <si>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</si>
  <si>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</si>
  <si>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</si>
  <si>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</si>
  <si>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</si>
  <si>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</si>
  <si>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</si>
  <si>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</si>
  <si>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</si>
  <si>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</si>
  <si>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</si>
  <si>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</si>
  <si>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</si>
  <si>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</si>
  <si>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</si>
  <si>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</si>
  <si>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</si>
  <si>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</si>
  <si>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</si>
  <si>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</si>
  <si>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</si>
  <si>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</si>
  <si>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</si>
  <si>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</si>
  <si>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</si>
  <si>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</si>
  <si>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</si>
  <si>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</si>
  <si>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</si>
  <si>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</si>
  <si>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</si>
  <si>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</si>
  <si>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</si>
  <si>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</si>
  <si>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</si>
  <si>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</si>
  <si>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</si>
  <si>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</si>
  <si>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</si>
  <si>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</si>
  <si>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</si>
  <si>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</si>
  <si>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</si>
  <si>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</si>
  <si>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</si>
  <si>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</si>
  <si>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</si>
  <si>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</si>
  <si>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</si>
  <si>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</si>
  <si>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</si>
  <si>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</si>
  <si>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</si>
  <si>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</si>
  <si>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</si>
  <si>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</si>
  <si>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</si>
  <si>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</si>
  <si>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</si>
  <si>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</si>
  <si>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</si>
  <si>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</si>
  <si>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</si>
  <si>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</si>
  <si>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</si>
  <si>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</si>
  <si>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</si>
  <si>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</si>
  <si>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</si>
  <si>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</si>
  <si>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</si>
  <si>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</si>
  <si>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</si>
  <si>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</si>
  <si>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</si>
  <si>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</si>
  <si>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</si>
  <si>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</si>
  <si>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</si>
  <si>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</si>
  <si>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</si>
  <si>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</si>
  <si>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</si>
  <si>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</si>
  <si>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</si>
  <si>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</si>
  <si>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</si>
  <si>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</si>
  <si>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</si>
  <si>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</si>
  <si>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</si>
  <si>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</si>
  <si>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</si>
  <si>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</si>
  <si>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</si>
  <si>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</si>
  <si>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</si>
  <si>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</si>
  <si>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</si>
  <si>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</si>
  <si>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</si>
  <si>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</si>
  <si>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</si>
  <si>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</si>
  <si>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</si>
  <si>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</si>
  <si>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</si>
  <si>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</si>
  <si>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</si>
  <si>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</si>
  <si>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</si>
  <si>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</si>
  <si>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</si>
  <si>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</si>
  <si>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</si>
  <si>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</si>
  <si>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</si>
  <si>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</si>
  <si>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</si>
  <si>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</si>
  <si>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</si>
  <si>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</si>
  <si>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</si>
  <si>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</si>
  <si>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</si>
  <si>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</si>
  <si>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</si>
  <si>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</si>
  <si>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</si>
  <si>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</si>
  <si>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</si>
  <si>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</si>
  <si>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</si>
  <si>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</si>
  <si>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</si>
  <si>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</si>
  <si>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</si>
  <si>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</si>
  <si>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Murat Bilgiç</t>
  </si>
  <si>
    <t>Ozan Gür</t>
  </si>
  <si>
    <t>www.isbank.ge</t>
  </si>
  <si>
    <t>Murat Bılgıç</t>
  </si>
  <si>
    <t>Yavuz Ergın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</si>
  <si>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</si>
  <si>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</si>
  <si>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</si>
  <si>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</si>
  <si>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</si>
  <si>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</si>
  <si>
    <t>Sezgin Lüle</t>
  </si>
  <si>
    <t>Onur Kütük</t>
  </si>
  <si>
    <t>Teimuraz Pirmisashvili</t>
  </si>
  <si>
    <t>Can Yücel</t>
  </si>
  <si>
    <t>Huseyn Serdar Yücel</t>
  </si>
  <si>
    <t>Table 15.1</t>
  </si>
  <si>
    <t>Leverage Ratio</t>
  </si>
  <si>
    <t>On-balance sheet exposures (excluding derivatives and SFTs)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</si>
  <si>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</si>
  <si>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</si>
  <si>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</si>
  <si>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</si>
  <si>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</si>
  <si>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</si>
  <si>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</si>
  <si>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</si>
  <si>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</si>
  <si>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</si>
  <si>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</si>
  <si>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</si>
  <si>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</si>
  <si>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</si>
  <si>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</si>
  <si>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</si>
  <si>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</si>
  <si>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</si>
  <si>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</si>
  <si>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</si>
  <si>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</si>
  <si>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</si>
  <si>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</si>
  <si>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</si>
  <si>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</si>
  <si>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</si>
  <si>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</si>
  <si>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</si>
  <si>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</si>
  <si>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</si>
  <si>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</si>
  <si>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</si>
  <si>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</si>
  <si>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</si>
  <si>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</si>
  <si>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</si>
  <si>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</si>
  <si>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</si>
  <si>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</si>
  <si>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</si>
  <si>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</si>
  <si>
    <t xml:space="preserve"> 2Q 2019</t>
  </si>
  <si>
    <t xml:space="preserve"> 3Q 2019</t>
  </si>
  <si>
    <t xml:space="preserve"> 4Q 2019</t>
  </si>
  <si>
    <t>Natia Janelidze</t>
  </si>
  <si>
    <t>Hakan Kural</t>
  </si>
  <si>
    <t xml:space="preserve"> 1Q 2020</t>
  </si>
  <si>
    <t>* Regarding the annulment of conservation buffer requirement please see the press release of National Bank of Goergia "Supervisory Plan Of The National Bank Of Georgia With Regard To COVID-19" (link: https://www.nbg.gov.ge/index.php?m=340&amp;newsid=3901&amp;lng=eng )</t>
  </si>
  <si>
    <t>Based on Basel III framework *</t>
  </si>
  <si>
    <t>* COVID 19 related provisions are deducted from balance sheet items after applying relevant risks weights and mitigation</t>
  </si>
  <si>
    <t>Balance sheet items *</t>
  </si>
  <si>
    <t>*Other adjustments include COVID 19 related provisions too. These provisions are deducted from risk weighted balance sheet items. See table "5.RWA"</t>
  </si>
  <si>
    <t>Effect of other adjustments *</t>
  </si>
  <si>
    <t>Capital Conservation Buffer *</t>
  </si>
  <si>
    <t>COVID 19 related provisions</t>
  </si>
  <si>
    <t>6.2.1</t>
  </si>
  <si>
    <t>*COVID 19 related provisions are deducted from balance sheet items</t>
  </si>
  <si>
    <t>On-balance sheet items (excluding derivatives, SFTs and fiduciary assets, but including collateral) *</t>
  </si>
  <si>
    <t>6.2.2</t>
  </si>
  <si>
    <t>Loan Loss General Reserves</t>
  </si>
  <si>
    <t xml:space="preserve"> 2Q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</si>
</sst>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i/>
      <sz val="9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96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</cellStyleXfs>
  <cellXfs count="595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7" fillId="0" borderId="13" xfId="0" applyNumberFormat="1" applyFont="1" applyBorder="1" applyAlignment="1">
      <alignment vertical="center"/>
    </xf>
    <xf numFmtId="167" fontId="87" fillId="0" borderId="65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89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7" fillId="0" borderId="12" xfId="0" applyFont="1" applyBorder="1" applyAlignment="1">
      <alignment horizontal="right" wrapText="1"/>
    </xf>
    <xf numFmtId="193" fontId="87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3" fontId="84" fillId="0" borderId="87" xfId="0" applyNumberFormat="1" applyFont="1" applyFill="1" applyBorder="1" applyAlignment="1">
      <alignment horizontal="center" vertical="center"/>
    </xf>
    <xf numFmtId="193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3" fontId="87" fillId="0" borderId="87" xfId="0" applyNumberFormat="1" applyFont="1" applyFill="1" applyBorder="1" applyAlignment="1">
      <alignment horizontal="center" vertical="center"/>
    </xf>
    <xf numFmtId="0" fontId="87" fillId="0" borderId="87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169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1" fillId="0" borderId="24" xfId="5" applyNumberFormat="1" applyFont="1" applyFill="1" applyBorder="1" applyAlignment="1" applyProtection="1">
      <alignment horizontal="left" vertical="center"/>
      <protection locked="0"/>
    </xf>
    <xf numFmtId="0" fontId="102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103" fillId="2" borderId="87" xfId="20962" applyNumberFormat="1" applyFont="1" applyFill="1" applyBorder="1" applyAlignment="1" applyProtection="1">
      <alignment vertical="center"/>
      <protection locked="0"/>
    </xf>
    <xf numFmtId="193" fontId="94" fillId="0" borderId="87" xfId="0" applyNumberFormat="1" applyFont="1" applyFill="1" applyBorder="1" applyAlignment="1" applyProtection="1">
      <alignment vertical="center"/>
      <protection locked="0"/>
    </xf>
    <xf numFmtId="10" fontId="94" fillId="0" borderId="25" xfId="20962" applyNumberFormat="1" applyFont="1" applyFill="1" applyBorder="1" applyAlignment="1" applyProtection="1">
      <alignment vertical="center"/>
      <protection locked="0"/>
    </xf>
    <xf numFmtId="193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3" fillId="2" borderId="88" xfId="20962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4" fontId="96" fillId="0" borderId="87" xfId="7" applyNumberFormat="1" applyFont="1" applyFill="1" applyBorder="1" applyAlignment="1" applyProtection="1">
      <alignment horizontal="right"/>
    </xf>
    <xf numFmtId="164" fontId="95" fillId="36" borderId="87" xfId="7" applyNumberFormat="1" applyFont="1" applyFill="1" applyBorder="1" applyAlignment="1" applyProtection="1">
      <alignment horizontal="right"/>
    </xf>
    <xf numFmtId="164" fontId="96" fillId="0" borderId="10" xfId="7" applyNumberFormat="1" applyFont="1" applyFill="1" applyBorder="1" applyAlignment="1" applyProtection="1">
      <alignment horizontal="right"/>
    </xf>
    <xf numFmtId="164" fontId="95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6" fillId="0" borderId="87" xfId="7" applyNumberFormat="1" applyFont="1" applyFill="1" applyBorder="1" applyAlignment="1" applyProtection="1">
      <alignment horizontal="right"/>
    </xf>
    <xf numFmtId="38" fontId="95" fillId="36" borderId="87" xfId="7" applyNumberFormat="1" applyFont="1" applyFill="1" applyBorder="1" applyAlignment="1" applyProtection="1">
      <alignment horizontal="right"/>
    </xf>
    <xf numFmtId="38" fontId="96" fillId="0" borderId="10" xfId="7" applyNumberFormat="1" applyFont="1" applyFill="1" applyBorder="1" applyAlignment="1" applyProtection="1">
      <alignment horizontal="right"/>
    </xf>
    <xf numFmtId="38" fontId="95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4" fontId="96" fillId="0" borderId="87" xfId="7" applyNumberFormat="1" applyFont="1" applyFill="1" applyBorder="1" applyAlignment="1" applyProtection="1">
      <alignment horizontal="right"/>
      <protection locked="0"/>
    </xf>
    <xf numFmtId="164" fontId="96" fillId="0" borderId="10" xfId="7" applyNumberFormat="1" applyFont="1" applyFill="1" applyBorder="1" applyAlignment="1" applyProtection="1">
      <alignment horizontal="right"/>
      <protection locked="0"/>
    </xf>
    <xf numFmtId="164" fontId="96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4" fontId="95" fillId="0" borderId="87" xfId="7" applyNumberFormat="1" applyFont="1" applyFill="1" applyBorder="1" applyAlignment="1" applyProtection="1">
      <alignment horizontal="right"/>
    </xf>
    <xf numFmtId="164" fontId="95" fillId="36" borderId="25" xfId="7" applyNumberFormat="1" applyFont="1" applyFill="1" applyBorder="1" applyAlignment="1" applyProtection="1">
      <alignment horizontal="right"/>
    </xf>
    <xf numFmtId="164" fontId="95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6" fillId="0" borderId="50" xfId="0" applyNumberFormat="1" applyFont="1" applyFill="1" applyBorder="1" applyAlignment="1" applyProtection="1">
      <alignment horizontal="right"/>
      <protection locked="0"/>
    </xf>
    <xf numFmtId="38" fontId="95" fillId="36" borderId="87" xfId="0" applyNumberFormat="1" applyFont="1" applyFill="1" applyBorder="1" applyAlignment="1">
      <alignment horizontal="right"/>
    </xf>
    <xf numFmtId="38" fontId="96" fillId="0" borderId="87" xfId="0" applyNumberFormat="1" applyFont="1" applyFill="1" applyBorder="1" applyAlignment="1" applyProtection="1">
      <alignment horizontal="right"/>
      <protection locked="0"/>
    </xf>
    <xf numFmtId="38" fontId="95" fillId="0" borderId="87" xfId="0" applyNumberFormat="1" applyFont="1" applyFill="1" applyBorder="1" applyAlignment="1">
      <alignment horizontal="center"/>
    </xf>
    <xf numFmtId="38" fontId="95" fillId="36" borderId="87" xfId="0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alignment horizontal="right" vertical="center"/>
      <protection locked="0"/>
    </xf>
    <xf numFmtId="38" fontId="95" fillId="36" borderId="25" xfId="0" applyNumberFormat="1" applyFont="1" applyFill="1" applyBorder="1" applyAlignment="1">
      <alignment horizontal="right"/>
    </xf>
    <xf numFmtId="38" fontId="95" fillId="36" borderId="87" xfId="7" applyNumberFormat="1" applyFont="1" applyFill="1" applyBorder="1" applyAlignment="1" applyProtection="1"/>
    <xf numFmtId="38" fontId="95" fillId="36" borderId="25" xfId="7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6" fillId="0" borderId="88" xfId="7" applyNumberFormat="1" applyFont="1" applyFill="1" applyBorder="1" applyAlignment="1" applyProtection="1">
      <alignment horizontal="right"/>
    </xf>
    <xf numFmtId="38" fontId="95" fillId="0" borderId="88" xfId="0" applyNumberFormat="1" applyFont="1" applyFill="1" applyBorder="1" applyAlignment="1">
      <alignment horizontal="center"/>
    </xf>
    <xf numFmtId="38" fontId="96" fillId="0" borderId="88" xfId="0" applyNumberFormat="1" applyFont="1" applyFill="1" applyBorder="1" applyAlignment="1" applyProtection="1">
      <alignment horizontal="right"/>
      <protection locked="0"/>
    </xf>
    <xf numFmtId="38" fontId="95" fillId="36" borderId="88" xfId="7" applyNumberFormat="1" applyFont="1" applyFill="1" applyBorder="1" applyAlignment="1" applyProtection="1"/>
    <xf numFmtId="38" fontId="95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6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5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5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4" fillId="0" borderId="7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193" fontId="86" fillId="36" borderId="22" xfId="0" applyNumberFormat="1" applyFont="1" applyFill="1" applyBorder="1" applyAlignment="1">
      <alignment horizontal="center" vertical="center"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193" fontId="86" fillId="0" borderId="22" xfId="0" applyNumberFormat="1" applyFont="1" applyBorder="1" applyAlignment="1">
      <alignment wrapText="1"/>
    </xf>
    <xf numFmtId="38" fontId="95" fillId="36" borderId="88" xfId="2" applyNumberFormat="1" applyFont="1" applyFill="1" applyBorder="1" applyAlignment="1" applyProtection="1">
      <alignment vertical="top"/>
    </xf>
    <xf numFmtId="38" fontId="96" fillId="3" borderId="88" xfId="2" applyNumberFormat="1" applyFont="1" applyFill="1" applyBorder="1" applyAlignment="1" applyProtection="1">
      <alignment vertical="top"/>
      <protection locked="0"/>
    </xf>
    <xf numFmtId="38" fontId="95" fillId="36" borderId="88" xfId="2" applyNumberFormat="1" applyFont="1" applyFill="1" applyBorder="1" applyAlignment="1" applyProtection="1">
      <alignment vertical="top" wrapText="1"/>
    </xf>
    <xf numFmtId="38" fontId="96" fillId="3" borderId="88" xfId="2" applyNumberFormat="1" applyFont="1" applyFill="1" applyBorder="1" applyAlignment="1" applyProtection="1">
      <alignment vertical="top" wrapText="1"/>
      <protection locked="0"/>
    </xf>
    <xf numFmtId="38" fontId="95" fillId="36" borderId="88" xfId="2" applyNumberFormat="1" applyFont="1" applyFill="1" applyBorder="1" applyAlignment="1" applyProtection="1">
      <alignment vertical="top" wrapText="1"/>
      <protection locked="0"/>
    </xf>
    <xf numFmtId="38" fontId="95" fillId="36" borderId="26" xfId="2" applyNumberFormat="1" applyFont="1" applyFill="1" applyBorder="1" applyAlignment="1" applyProtection="1">
      <alignment vertical="top" wrapText="1"/>
    </xf>
    <xf numFmtId="38" fontId="87" fillId="0" borderId="13" xfId="0" applyNumberFormat="1" applyFont="1" applyBorder="1" applyAlignment="1">
      <alignment vertical="center"/>
    </xf>
    <xf numFmtId="193" fontId="86" fillId="36" borderId="25" xfId="0" applyNumberFormat="1" applyFont="1" applyFill="1" applyBorder="1"/>
    <xf numFmtId="167" fontId="86" fillId="36" borderId="25" xfId="0" applyNumberFormat="1" applyFont="1" applyFill="1" applyBorder="1"/>
    <xf numFmtId="167" fontId="86" fillId="36" borderId="87" xfId="0" applyNumberFormat="1" applyFont="1" applyFill="1" applyBorder="1"/>
    <xf numFmtId="193" fontId="86" fillId="36" borderId="24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86" fillId="36" borderId="56" xfId="0" applyNumberFormat="1" applyFont="1" applyFill="1" applyBorder="1" applyAlignment="1"/>
    <xf numFmtId="193" fontId="86" fillId="0" borderId="23" xfId="0" applyNumberFormat="1" applyFont="1" applyBorder="1" applyAlignment="1"/>
    <xf numFmtId="193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194" fontId="3" fillId="0" borderId="85" xfId="0" applyNumberFormat="1" applyFont="1" applyFill="1" applyBorder="1" applyAlignment="1">
      <alignment vertical="center"/>
    </xf>
    <xf numFmtId="194" fontId="3" fillId="0" borderId="97" xfId="7" applyNumberFormat="1" applyFont="1" applyFill="1" applyBorder="1" applyAlignment="1">
      <alignment vertical="center"/>
    </xf>
    <xf numFmtId="194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4" fontId="3" fillId="0" borderId="89" xfId="7" applyNumberFormat="1" applyFont="1" applyFill="1" applyBorder="1" applyAlignment="1">
      <alignment vertical="center"/>
    </xf>
    <xf numFmtId="194" fontId="3" fillId="0" borderId="87" xfId="7" applyNumberFormat="1" applyFont="1" applyFill="1" applyBorder="1" applyAlignment="1">
      <alignment vertical="center"/>
    </xf>
    <xf numFmtId="194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4" fontId="4" fillId="0" borderId="89" xfId="0" applyNumberFormat="1" applyFont="1" applyFill="1" applyBorder="1" applyAlignment="1">
      <alignment vertical="center"/>
    </xf>
    <xf numFmtId="194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93" xfId="7" applyNumberFormat="1" applyFont="1" applyFill="1" applyBorder="1" applyAlignment="1">
      <alignment vertical="center"/>
    </xf>
    <xf numFmtId="194" fontId="4" fillId="0" borderId="105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4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4" fontId="4" fillId="0" borderId="90" xfId="0" applyNumberFormat="1" applyFont="1" applyFill="1" applyBorder="1" applyAlignment="1">
      <alignment vertical="center"/>
    </xf>
    <xf numFmtId="194" fontId="3" fillId="0" borderId="10" xfId="7" applyNumberFormat="1" applyFont="1" applyFill="1" applyBorder="1" applyAlignment="1">
      <alignment vertical="center"/>
    </xf>
    <xf numFmtId="194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69" fontId="9" fillId="37" borderId="69" xfId="20" applyBorder="1"/>
    <xf numFmtId="193" fontId="94" fillId="0" borderId="107" xfId="0" applyNumberFormat="1" applyFont="1" applyFill="1" applyBorder="1" applyAlignment="1" applyProtection="1">
      <alignment vertical="center"/>
      <protection locked="0"/>
    </xf>
    <xf numFmtId="10" fontId="94" fillId="0" borderId="106" xfId="20962" applyNumberFormat="1" applyFont="1" applyFill="1" applyBorder="1" applyAlignment="1" applyProtection="1">
      <alignment vertical="center"/>
      <protection locked="0"/>
    </xf>
    <xf numFmtId="164" fontId="105" fillId="0" borderId="88" xfId="7" applyNumberFormat="1" applyFont="1" applyFill="1" applyBorder="1" applyAlignment="1">
      <alignment horizontal="left" vertical="center" wrapText="1"/>
    </xf>
    <xf numFmtId="164" fontId="106" fillId="0" borderId="26" xfId="7" applyNumberFormat="1" applyFont="1" applyFill="1" applyBorder="1" applyAlignment="1" applyProtection="1">
      <alignment horizontal="left" vertical="center"/>
    </xf>
    <xf numFmtId="10" fontId="100" fillId="0" borderId="87" xfId="20962" applyNumberFormat="1" applyFont="1" applyFill="1" applyBorder="1" applyAlignment="1">
      <alignment horizontal="left" vertical="center" wrapText="1"/>
    </xf>
    <xf numFmtId="10" fontId="102" fillId="0" borderId="25" xfId="20962" applyNumberFormat="1" applyFont="1" applyFill="1" applyBorder="1" applyAlignment="1" applyProtection="1">
      <alignment horizontal="left" vertical="center"/>
    </xf>
    <xf numFmtId="164" fontId="3" fillId="0" borderId="88" xfId="7" applyNumberFormat="1" applyFont="1" applyFill="1" applyBorder="1" applyAlignment="1">
      <alignment horizontal="left" vertical="center" wrapText="1"/>
    </xf>
    <xf numFmtId="164" fontId="100" fillId="0" borderId="88" xfId="7" applyNumberFormat="1" applyFont="1" applyFill="1" applyBorder="1" applyAlignment="1">
      <alignment horizontal="left" vertical="center" wrapText="1"/>
    </xf>
    <xf numFmtId="164" fontId="4" fillId="36" borderId="88" xfId="7" applyNumberFormat="1" applyFont="1" applyFill="1" applyBorder="1" applyAlignment="1">
      <alignment horizontal="left" vertical="center" wrapText="1"/>
    </xf>
    <xf numFmtId="164" fontId="100" fillId="0" borderId="109" xfId="7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  <xf numFmtId="10" fontId="3" fillId="0" borderId="87" xfId="0" applyNumberFormat="1" applyFont="1" applyFill="1" applyBorder="1" applyAlignment="1">
      <alignment horizontal="left" vertical="center" wrapText="1"/>
    </xf>
    <xf numFmtId="10" fontId="3" fillId="0" borderId="87" xfId="20962" applyNumberFormat="1" applyFont="1" applyFill="1" applyBorder="1" applyAlignment="1">
      <alignment horizontal="left" vertical="center" wrapText="1"/>
    </xf>
    <xf numFmtId="0" fontId="45" fillId="78" borderId="93" xfId="20964" applyFont="1" applyFill="1" applyBorder="1" applyAlignment="1">
      <alignment vertical="center"/>
    </xf>
    <xf numFmtId="0" fontId="45" fillId="78" borderId="90" xfId="20964" applyFont="1" applyFill="1" applyBorder="1" applyAlignment="1">
      <alignment vertical="center"/>
    </xf>
    <xf numFmtId="0" fontId="45" fillId="78" borderId="10" xfId="20964" applyFont="1" applyFill="1" applyBorder="1" applyAlignment="1">
      <alignment vertical="center"/>
    </xf>
    <xf numFmtId="0" fontId="107" fillId="70" borderId="108" xfId="20964" applyFont="1" applyFill="1" applyBorder="1" applyAlignment="1">
      <alignment horizontal="center" vertical="center"/>
    </xf>
    <xf numFmtId="0" fontId="107" fillId="70" borderId="10" xfId="20964" applyFont="1" applyFill="1" applyBorder="1" applyAlignment="1">
      <alignment horizontal="left" vertical="center" wrapText="1"/>
    </xf>
    <xf numFmtId="164" fontId="107" fillId="0" borderId="87" xfId="7" applyNumberFormat="1" applyFont="1" applyFill="1" applyBorder="1" applyAlignment="1" applyProtection="1">
      <alignment horizontal="right" vertical="center"/>
      <protection locked="0"/>
    </xf>
    <xf numFmtId="0" fontId="108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top" wrapText="1"/>
    </xf>
    <xf numFmtId="164" fontId="45" fillId="78" borderId="10" xfId="7" applyNumberFormat="1" applyFont="1" applyFill="1" applyBorder="1" applyAlignment="1">
      <alignment horizontal="right" vertical="center"/>
    </xf>
    <xf numFmtId="0" fontId="109" fillId="70" borderId="108" xfId="20964" applyFont="1" applyFill="1" applyBorder="1" applyAlignment="1">
      <alignment horizontal="center" vertical="center"/>
    </xf>
    <xf numFmtId="0" fontId="107" fillId="70" borderId="90" xfId="20964" applyFont="1" applyFill="1" applyBorder="1" applyAlignment="1">
      <alignment vertical="center" wrapText="1"/>
    </xf>
    <xf numFmtId="0" fontId="107" fillId="70" borderId="10" xfId="20964" applyFont="1" applyFill="1" applyBorder="1" applyAlignment="1">
      <alignment horizontal="left" vertical="center"/>
    </xf>
    <xf numFmtId="0" fontId="109" fillId="3" borderId="108" xfId="20964" applyFont="1" applyFill="1" applyBorder="1" applyAlignment="1">
      <alignment horizontal="center" vertical="center"/>
    </xf>
    <xf numFmtId="0" fontId="107" fillId="3" borderId="10" xfId="20964" applyFont="1" applyFill="1" applyBorder="1" applyAlignment="1">
      <alignment horizontal="left" vertical="center"/>
    </xf>
    <xf numFmtId="0" fontId="109" fillId="0" borderId="108" xfId="20964" applyFont="1" applyFill="1" applyBorder="1" applyAlignment="1">
      <alignment horizontal="center" vertical="center"/>
    </xf>
    <xf numFmtId="0" fontId="107" fillId="0" borderId="10" xfId="20964" applyFont="1" applyFill="1" applyBorder="1" applyAlignment="1">
      <alignment horizontal="left" vertical="center"/>
    </xf>
    <xf numFmtId="0" fontId="111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center"/>
    </xf>
    <xf numFmtId="164" fontId="107" fillId="77" borderId="87" xfId="7" applyNumberFormat="1" applyFont="1" applyFill="1" applyBorder="1" applyAlignment="1" applyProtection="1">
      <alignment horizontal="right" vertical="center"/>
      <protection locked="0"/>
    </xf>
    <xf numFmtId="0" fontId="108" fillId="78" borderId="93" xfId="20964" applyFont="1" applyFill="1" applyBorder="1" applyAlignment="1">
      <alignment vertical="center"/>
    </xf>
    <xf numFmtId="0" fontId="108" fillId="78" borderId="90" xfId="20964" applyFont="1" applyFill="1" applyBorder="1" applyAlignment="1">
      <alignment vertical="center"/>
    </xf>
    <xf numFmtId="164" fontId="108" fillId="78" borderId="10" xfId="7" applyNumberFormat="1" applyFont="1" applyFill="1" applyBorder="1" applyAlignment="1">
      <alignment horizontal="right" vertical="center"/>
    </xf>
    <xf numFmtId="0" fontId="112" fillId="3" borderId="108" xfId="20964" applyFont="1" applyFill="1" applyBorder="1" applyAlignment="1">
      <alignment horizontal="center" vertical="center"/>
    </xf>
    <xf numFmtId="0" fontId="113" fillId="77" borderId="87" xfId="20964" applyFont="1" applyFill="1" applyBorder="1" applyAlignment="1">
      <alignment horizontal="center" vertical="center"/>
    </xf>
    <xf numFmtId="0" fontId="45" fillId="77" borderId="90" xfId="20964" applyFont="1" applyFill="1" applyBorder="1" applyAlignment="1">
      <alignment vertical="center"/>
    </xf>
    <xf numFmtId="0" fontId="112" fillId="70" borderId="108" xfId="20964" applyFont="1" applyFill="1" applyBorder="1" applyAlignment="1">
      <alignment horizontal="center" vertical="center"/>
    </xf>
    <xf numFmtId="164" fontId="107" fillId="3" borderId="87" xfId="7" applyNumberFormat="1" applyFont="1" applyFill="1" applyBorder="1" applyAlignment="1" applyProtection="1">
      <alignment horizontal="right" vertical="center"/>
      <protection locked="0"/>
    </xf>
    <xf numFmtId="0" fontId="113" fillId="3" borderId="87" xfId="20964" applyFont="1" applyFill="1" applyBorder="1" applyAlignment="1">
      <alignment horizontal="center" vertical="center"/>
    </xf>
    <xf numFmtId="0" fontId="45" fillId="3" borderId="90" xfId="20964" applyFont="1" applyFill="1" applyBorder="1" applyAlignment="1">
      <alignment vertical="center"/>
    </xf>
    <xf numFmtId="0" fontId="109" fillId="70" borderId="87" xfId="20964" applyFont="1" applyFill="1" applyBorder="1" applyAlignment="1">
      <alignment horizontal="center" vertical="center"/>
    </xf>
    <xf numFmtId="0" fontId="19" fillId="70" borderId="87" xfId="20964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00" fillId="0" borderId="108" xfId="20962" applyNumberFormat="1" applyFont="1" applyFill="1" applyBorder="1" applyAlignment="1">
      <alignment horizontal="left" vertical="center" wrapText="1"/>
    </xf>
    <xf numFmtId="10" fontId="114" fillId="77" borderId="87" xfId="20962" applyNumberFormat="1" applyFont="1" applyFill="1" applyBorder="1" applyAlignment="1" applyProtection="1">
      <alignment horizontal="right" vertical="center"/>
      <protection locked="0"/>
    </xf>
    <xf numFmtId="43" fontId="3" fillId="0" borderId="85" xfId="0" applyNumberFormat="1" applyFont="1" applyFill="1" applyBorder="1" applyAlignment="1">
      <alignment vertical="center"/>
    </xf>
    <xf numFmtId="164" fontId="3" fillId="0" borderId="85" xfId="0" applyNumberFormat="1" applyFont="1" applyFill="1" applyBorder="1" applyAlignment="1">
      <alignment vertical="center"/>
    </xf>
    <xf numFmtId="0" fontId="115" fillId="0" borderId="0" xfId="0" applyFont="1" applyFill="1"/>
    <xf numFmtId="193" fontId="3" fillId="0" borderId="0" xfId="0" applyNumberFormat="1" applyFont="1"/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</cellXfs>
  <cellStyles count="20965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A\FSA-SGSP\CGP\temp\3.%20&#4330;&#4309;&#4314;&#4312;&#4314;&#4308;&#4305;&#4308;&#4305;&#4312;%20&#4320;&#4308;&#4306;&#4323;&#4314;&#4304;&#4330;&#4312;&#4308;&#4305;&#4328;&#4312;\5.%20Pillar%203\Bank%20questions\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abSelected="1" zoomScaleNormal="100" workbookViewId="0">
      <selection activeCell="B1" sqref="B1"/>
    </sheetView>
  </sheetViews>
  <sheetFormatPr defaultColWidth="9.140625" defaultRowHeight="14.25"/>
  <cols>
    <col min="1" max="1" width="10.28515625" style="4" customWidth="1"/>
    <col min="2" max="2" width="134.7109375" style="5" bestFit="1" customWidth="1"/>
    <col min="3" max="3" width="39.42578125" style="5" customWidth="1"/>
    <col min="4" max="6" width="9.140625" style="5"/>
    <col min="7" max="7" width="25" style="5" customWidth="1"/>
    <col min="8" max="16384" width="9.140625" style="5"/>
  </cols>
  <sheetData>
    <row r="1" spans="1:3" ht="15">
      <c r="A1" s="145"/>
      <c r="B1" s="185" t="s">
        <v>349</v>
      </c>
      <c r="C1" s="145"/>
    </row>
    <row r="2" spans="1:3">
      <c r="A2" s="186">
        <v>1</v>
      </c>
      <c r="B2" s="325" t="s">
        <v>350</v>
      </c>
      <c r="C2" s="335" t="s">
        <v>439</v>
      </c>
    </row>
    <row r="3" spans="1:3">
      <c r="A3" s="186">
        <v>2</v>
      </c>
      <c r="B3" s="326" t="s">
        <v>346</v>
      </c>
      <c r="C3" s="335" t="s">
        <v>440</v>
      </c>
    </row>
    <row r="4" spans="1:3">
      <c r="A4" s="186">
        <v>3</v>
      </c>
      <c r="B4" s="327" t="s">
        <v>351</v>
      </c>
      <c r="C4" s="335" t="s">
        <v>441</v>
      </c>
    </row>
    <row r="5" spans="1:3">
      <c r="A5" s="187">
        <v>4</v>
      </c>
      <c r="B5" s="328" t="s">
        <v>347</v>
      </c>
      <c r="C5" s="336" t="s">
        <v>442</v>
      </c>
    </row>
    <row r="6" spans="1:3" s="188" customFormat="1" ht="45.75" customHeight="1">
      <c r="A6" s="537" t="s">
        <v>427</v>
      </c>
      <c r="B6" s="538"/>
      <c r="C6" s="538"/>
    </row>
    <row r="7" spans="1:3" ht="15">
      <c r="A7" s="189" t="s">
        <v>29</v>
      </c>
      <c r="B7" s="185" t="s">
        <v>348</v>
      </c>
    </row>
    <row r="8" spans="1:3">
      <c r="A8" s="145">
        <v>1</v>
      </c>
      <c r="B8" s="231" t="s">
        <v>20</v>
      </c>
    </row>
    <row r="9" spans="1:3">
      <c r="A9" s="145">
        <v>2</v>
      </c>
      <c r="B9" s="232" t="s">
        <v>21</v>
      </c>
    </row>
    <row r="10" spans="1:3">
      <c r="A10" s="145">
        <v>3</v>
      </c>
      <c r="B10" s="232" t="s">
        <v>22</v>
      </c>
    </row>
    <row r="11" spans="1:3">
      <c r="A11" s="145">
        <v>4</v>
      </c>
      <c r="B11" s="232" t="s">
        <v>23</v>
      </c>
      <c r="C11" s="68"/>
    </row>
    <row r="12" spans="1:3">
      <c r="A12" s="145">
        <v>5</v>
      </c>
      <c r="B12" s="232" t="s">
        <v>24</v>
      </c>
    </row>
    <row r="13" spans="1:3">
      <c r="A13" s="145">
        <v>6</v>
      </c>
      <c r="B13" s="233" t="s">
        <v>358</v>
      </c>
    </row>
    <row r="14" spans="1:3">
      <c r="A14" s="145">
        <v>7</v>
      </c>
      <c r="B14" s="232" t="s">
        <v>352</v>
      </c>
    </row>
    <row r="15" spans="1:3">
      <c r="A15" s="145">
        <v>8</v>
      </c>
      <c r="B15" s="232" t="s">
        <v>353</v>
      </c>
    </row>
    <row r="16" spans="1:3">
      <c r="A16" s="145">
        <v>9</v>
      </c>
      <c r="B16" s="232" t="s">
        <v>25</v>
      </c>
    </row>
    <row r="17" spans="1:2">
      <c r="A17" s="324" t="s">
        <v>426</v>
      </c>
      <c r="B17" s="323" t="s">
        <v>411</v>
      </c>
    </row>
    <row r="18" spans="1:2">
      <c r="A18" s="145">
        <v>10</v>
      </c>
      <c r="B18" s="232" t="s">
        <v>26</v>
      </c>
    </row>
    <row r="19" spans="1:2">
      <c r="A19" s="145">
        <v>11</v>
      </c>
      <c r="B19" s="233" t="s">
        <v>354</v>
      </c>
    </row>
    <row r="20" spans="1:2">
      <c r="A20" s="145">
        <v>12</v>
      </c>
      <c r="B20" s="233" t="s">
        <v>27</v>
      </c>
    </row>
    <row r="21" spans="1:2">
      <c r="A21" s="145">
        <v>13</v>
      </c>
      <c r="B21" s="234" t="s">
        <v>355</v>
      </c>
    </row>
    <row r="22" spans="1:2">
      <c r="A22" s="145">
        <v>14</v>
      </c>
      <c r="B22" s="231" t="s">
        <v>382</v>
      </c>
    </row>
    <row r="23" spans="1:2">
      <c r="A23" s="190">
        <v>15</v>
      </c>
      <c r="B23" s="233" t="s">
        <v>28</v>
      </c>
    </row>
    <row r="24" spans="1:2">
      <c r="A24" s="71"/>
      <c r="B24" s="17"/>
    </row>
    <row r="25" spans="1:2">
      <c r="A25" s="71"/>
      <c r="B25" s="17"/>
    </row>
    <row r="26" spans="1:2">
      <c r="A26" s="71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40625" defaultRowHeight="12.75"/>
  <cols>
    <col min="1" max="1" width="9.5703125" style="71" bestFit="1" customWidth="1"/>
    <col min="2" max="2" width="132.42578125" style="4" customWidth="1"/>
    <col min="3" max="3" width="18.42578125" style="4" customWidth="1"/>
    <col min="4" max="16384" width="9.140625" style="4"/>
  </cols>
  <sheetData>
    <row r="1" spans="1:3">
      <c r="A1" s="337" t="s">
        <v>30</v>
      </c>
      <c r="B1" s="338" t="s">
        <v>439</v>
      </c>
    </row>
    <row r="2" spans="1:3" s="59" customFormat="1" ht="15.75" customHeight="1">
      <c r="A2" s="337" t="s">
        <v>31</v>
      </c>
      <c r="B2" s="339">
        <f>'1. key ratios '!B2</f>
        <v>44012</v>
      </c>
    </row>
    <row r="3" spans="1:3" s="59" customFormat="1" ht="15.75" customHeight="1"/>
    <row r="4" spans="1:3" ht="13.5" thickBot="1">
      <c r="A4" s="71" t="s">
        <v>250</v>
      </c>
      <c r="B4" s="130" t="s">
        <v>249</v>
      </c>
    </row>
    <row r="5" spans="1:3">
      <c r="A5" s="72" t="s">
        <v>6</v>
      </c>
      <c r="B5" s="73"/>
      <c r="C5" s="74" t="s">
        <v>73</v>
      </c>
    </row>
    <row r="6" spans="1:3">
      <c r="A6" s="75">
        <v>1</v>
      </c>
      <c r="B6" s="76" t="s">
        <v>248</v>
      </c>
      <c r="C6" s="433">
        <f>SUM(C7:C11)</f>
        <v>78799387.132078215</v>
      </c>
    </row>
    <row r="7" spans="1:3">
      <c r="A7" s="75">
        <v>2</v>
      </c>
      <c r="B7" s="77" t="s">
        <v>247</v>
      </c>
      <c r="C7" s="434">
        <f>'2.RC'!E33</f>
        <v>69161600</v>
      </c>
    </row>
    <row r="8" spans="1:3">
      <c r="A8" s="75">
        <v>3</v>
      </c>
      <c r="B8" s="78" t="s">
        <v>246</v>
      </c>
      <c r="C8" s="434"/>
    </row>
    <row r="9" spans="1:3">
      <c r="A9" s="75">
        <v>4</v>
      </c>
      <c r="B9" s="78" t="s">
        <v>245</v>
      </c>
      <c r="C9" s="434"/>
    </row>
    <row r="10" spans="1:3">
      <c r="A10" s="75">
        <v>5</v>
      </c>
      <c r="B10" s="78" t="s">
        <v>244</v>
      </c>
      <c r="C10" s="434"/>
    </row>
    <row r="11" spans="1:3">
      <c r="A11" s="75">
        <v>6</v>
      </c>
      <c r="B11" s="79" t="s">
        <v>243</v>
      </c>
      <c r="C11" s="434">
        <f>'2.RC'!E38</f>
        <v>9637787.1320782118</v>
      </c>
    </row>
    <row r="12" spans="1:3" s="45" customFormat="1">
      <c r="A12" s="75">
        <v>7</v>
      </c>
      <c r="B12" s="76" t="s">
        <v>242</v>
      </c>
      <c r="C12" s="435">
        <f>SUM(C13:C27)</f>
        <v>57590.84999999986</v>
      </c>
    </row>
    <row r="13" spans="1:3" s="45" customFormat="1">
      <c r="A13" s="75">
        <v>8</v>
      </c>
      <c r="B13" s="80" t="s">
        <v>241</v>
      </c>
      <c r="C13" s="436"/>
    </row>
    <row r="14" spans="1:3" s="45" customFormat="1" ht="25.5">
      <c r="A14" s="75">
        <v>9</v>
      </c>
      <c r="B14" s="81" t="s">
        <v>240</v>
      </c>
      <c r="C14" s="436"/>
    </row>
    <row r="15" spans="1:3" s="45" customFormat="1">
      <c r="A15" s="75">
        <v>10</v>
      </c>
      <c r="B15" s="82" t="s">
        <v>239</v>
      </c>
      <c r="C15" s="436">
        <f>'7. LI1 '!D19</f>
        <v>57590.84999999986</v>
      </c>
    </row>
    <row r="16" spans="1:3" s="45" customFormat="1">
      <c r="A16" s="75">
        <v>11</v>
      </c>
      <c r="B16" s="83" t="s">
        <v>238</v>
      </c>
      <c r="C16" s="436"/>
    </row>
    <row r="17" spans="1:3" s="45" customFormat="1">
      <c r="A17" s="75">
        <v>12</v>
      </c>
      <c r="B17" s="82" t="s">
        <v>237</v>
      </c>
      <c r="C17" s="436"/>
    </row>
    <row r="18" spans="1:3" s="45" customFormat="1">
      <c r="A18" s="75">
        <v>13</v>
      </c>
      <c r="B18" s="82" t="s">
        <v>236</v>
      </c>
      <c r="C18" s="436"/>
    </row>
    <row r="19" spans="1:3" s="45" customFormat="1">
      <c r="A19" s="75">
        <v>14</v>
      </c>
      <c r="B19" s="82" t="s">
        <v>235</v>
      </c>
      <c r="C19" s="436"/>
    </row>
    <row r="20" spans="1:3" s="45" customFormat="1">
      <c r="A20" s="75">
        <v>15</v>
      </c>
      <c r="B20" s="82" t="s">
        <v>234</v>
      </c>
      <c r="C20" s="436"/>
    </row>
    <row r="21" spans="1:3" s="45" customFormat="1" ht="25.5">
      <c r="A21" s="75">
        <v>16</v>
      </c>
      <c r="B21" s="81" t="s">
        <v>233</v>
      </c>
      <c r="C21" s="436"/>
    </row>
    <row r="22" spans="1:3" s="45" customFormat="1">
      <c r="A22" s="75">
        <v>17</v>
      </c>
      <c r="B22" s="84" t="s">
        <v>232</v>
      </c>
      <c r="C22" s="436"/>
    </row>
    <row r="23" spans="1:3" s="45" customFormat="1">
      <c r="A23" s="75">
        <v>18</v>
      </c>
      <c r="B23" s="81" t="s">
        <v>231</v>
      </c>
      <c r="C23" s="436"/>
    </row>
    <row r="24" spans="1:3" s="45" customFormat="1" ht="25.5">
      <c r="A24" s="75">
        <v>19</v>
      </c>
      <c r="B24" s="81" t="s">
        <v>208</v>
      </c>
      <c r="C24" s="436"/>
    </row>
    <row r="25" spans="1:3" s="45" customFormat="1">
      <c r="A25" s="75">
        <v>20</v>
      </c>
      <c r="B25" s="85" t="s">
        <v>230</v>
      </c>
      <c r="C25" s="436"/>
    </row>
    <row r="26" spans="1:3" s="45" customFormat="1">
      <c r="A26" s="75">
        <v>21</v>
      </c>
      <c r="B26" s="85" t="s">
        <v>229</v>
      </c>
      <c r="C26" s="436"/>
    </row>
    <row r="27" spans="1:3" s="45" customFormat="1">
      <c r="A27" s="75">
        <v>22</v>
      </c>
      <c r="B27" s="85" t="s">
        <v>228</v>
      </c>
      <c r="C27" s="436"/>
    </row>
    <row r="28" spans="1:3" s="45" customFormat="1">
      <c r="A28" s="75">
        <v>23</v>
      </c>
      <c r="B28" s="86" t="s">
        <v>227</v>
      </c>
      <c r="C28" s="435">
        <f>C6-C12</f>
        <v>78741796.282078221</v>
      </c>
    </row>
    <row r="29" spans="1:3" s="45" customFormat="1">
      <c r="A29" s="87"/>
      <c r="B29" s="88"/>
      <c r="C29" s="436"/>
    </row>
    <row r="30" spans="1:3" s="45" customFormat="1">
      <c r="A30" s="87">
        <v>24</v>
      </c>
      <c r="B30" s="86" t="s">
        <v>226</v>
      </c>
      <c r="C30" s="435">
        <f>C31+C34</f>
        <v>0</v>
      </c>
    </row>
    <row r="31" spans="1:3" s="45" customFormat="1">
      <c r="A31" s="87">
        <v>25</v>
      </c>
      <c r="B31" s="78" t="s">
        <v>225</v>
      </c>
      <c r="C31" s="437">
        <f>C32+C33</f>
        <v>0</v>
      </c>
    </row>
    <row r="32" spans="1:3" s="45" customFormat="1">
      <c r="A32" s="87">
        <v>26</v>
      </c>
      <c r="B32" s="89" t="s">
        <v>307</v>
      </c>
      <c r="C32" s="436"/>
    </row>
    <row r="33" spans="1:3" s="45" customFormat="1">
      <c r="A33" s="87">
        <v>27</v>
      </c>
      <c r="B33" s="89" t="s">
        <v>224</v>
      </c>
      <c r="C33" s="436"/>
    </row>
    <row r="34" spans="1:3" s="45" customFormat="1">
      <c r="A34" s="87">
        <v>28</v>
      </c>
      <c r="B34" s="78" t="s">
        <v>223</v>
      </c>
      <c r="C34" s="436"/>
    </row>
    <row r="35" spans="1:3" s="45" customFormat="1">
      <c r="A35" s="87">
        <v>29</v>
      </c>
      <c r="B35" s="86" t="s">
        <v>222</v>
      </c>
      <c r="C35" s="435">
        <f>SUM(C36:C40)</f>
        <v>0</v>
      </c>
    </row>
    <row r="36" spans="1:3" s="45" customFormat="1">
      <c r="A36" s="87">
        <v>30</v>
      </c>
      <c r="B36" s="81" t="s">
        <v>221</v>
      </c>
      <c r="C36" s="436"/>
    </row>
    <row r="37" spans="1:3" s="45" customFormat="1">
      <c r="A37" s="87">
        <v>31</v>
      </c>
      <c r="B37" s="82" t="s">
        <v>220</v>
      </c>
      <c r="C37" s="436"/>
    </row>
    <row r="38" spans="1:3" s="45" customFormat="1" ht="25.5">
      <c r="A38" s="87">
        <v>32</v>
      </c>
      <c r="B38" s="81" t="s">
        <v>219</v>
      </c>
      <c r="C38" s="436"/>
    </row>
    <row r="39" spans="1:3" s="45" customFormat="1" ht="25.5">
      <c r="A39" s="87">
        <v>33</v>
      </c>
      <c r="B39" s="81" t="s">
        <v>208</v>
      </c>
      <c r="C39" s="436"/>
    </row>
    <row r="40" spans="1:3" s="45" customFormat="1">
      <c r="A40" s="87">
        <v>34</v>
      </c>
      <c r="B40" s="85" t="s">
        <v>218</v>
      </c>
      <c r="C40" s="436"/>
    </row>
    <row r="41" spans="1:3" s="45" customFormat="1">
      <c r="A41" s="87">
        <v>35</v>
      </c>
      <c r="B41" s="86" t="s">
        <v>217</v>
      </c>
      <c r="C41" s="435">
        <f>C30-C35</f>
        <v>0</v>
      </c>
    </row>
    <row r="42" spans="1:3" s="45" customFormat="1">
      <c r="A42" s="87"/>
      <c r="B42" s="88"/>
      <c r="C42" s="436"/>
    </row>
    <row r="43" spans="1:3" s="45" customFormat="1">
      <c r="A43" s="87">
        <v>36</v>
      </c>
      <c r="B43" s="90" t="s">
        <v>216</v>
      </c>
      <c r="C43" s="435">
        <f>SUM(C44:C46)</f>
        <v>3866484.4805038609</v>
      </c>
    </row>
    <row r="44" spans="1:3" s="45" customFormat="1">
      <c r="A44" s="87">
        <v>37</v>
      </c>
      <c r="B44" s="78" t="s">
        <v>215</v>
      </c>
      <c r="C44" s="436">
        <f>'2.RC'!E30</f>
        <v>0</v>
      </c>
    </row>
    <row r="45" spans="1:3" s="45" customFormat="1">
      <c r="A45" s="87">
        <v>38</v>
      </c>
      <c r="B45" s="78" t="s">
        <v>214</v>
      </c>
      <c r="C45" s="436"/>
    </row>
    <row r="46" spans="1:3" s="45" customFormat="1">
      <c r="A46" s="87">
        <v>39</v>
      </c>
      <c r="B46" s="78" t="s">
        <v>213</v>
      </c>
      <c r="C46" s="436">
        <f>'8. LI2'!C9</f>
        <v>3866484.4805038609</v>
      </c>
    </row>
    <row r="47" spans="1:3" s="45" customFormat="1">
      <c r="A47" s="87">
        <v>40</v>
      </c>
      <c r="B47" s="90" t="s">
        <v>212</v>
      </c>
      <c r="C47" s="435">
        <f>SUM(C48:C51)</f>
        <v>0</v>
      </c>
    </row>
    <row r="48" spans="1:3" s="45" customFormat="1">
      <c r="A48" s="87">
        <v>41</v>
      </c>
      <c r="B48" s="81" t="s">
        <v>211</v>
      </c>
      <c r="C48" s="436"/>
    </row>
    <row r="49" spans="1:3" s="45" customFormat="1">
      <c r="A49" s="87">
        <v>42</v>
      </c>
      <c r="B49" s="82" t="s">
        <v>210</v>
      </c>
      <c r="C49" s="436"/>
    </row>
    <row r="50" spans="1:3" s="45" customFormat="1">
      <c r="A50" s="87">
        <v>43</v>
      </c>
      <c r="B50" s="81" t="s">
        <v>209</v>
      </c>
      <c r="C50" s="436"/>
    </row>
    <row r="51" spans="1:3" s="45" customFormat="1" ht="25.5">
      <c r="A51" s="87">
        <v>44</v>
      </c>
      <c r="B51" s="81" t="s">
        <v>208</v>
      </c>
      <c r="C51" s="436"/>
    </row>
    <row r="52" spans="1:3" s="45" customFormat="1" ht="13.5" thickBot="1">
      <c r="A52" s="91">
        <v>45</v>
      </c>
      <c r="B52" s="92" t="s">
        <v>207</v>
      </c>
      <c r="C52" s="438">
        <f>C43-C47</f>
        <v>3866484.4805038609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B4" sqref="B4"/>
    </sheetView>
  </sheetViews>
  <sheetFormatPr defaultColWidth="9.140625" defaultRowHeight="12.75"/>
  <cols>
    <col min="1" max="1" width="9.42578125" style="246" bestFit="1" customWidth="1"/>
    <col min="2" max="2" width="59" style="246" customWidth="1"/>
    <col min="3" max="3" width="6.7109375" style="246" bestFit="1" customWidth="1"/>
    <col min="4" max="4" width="13.5703125" style="246" bestFit="1" customWidth="1"/>
    <col min="5" max="16384" width="9.140625" style="246"/>
  </cols>
  <sheetData>
    <row r="1" spans="1:4">
      <c r="A1" s="337" t="s">
        <v>30</v>
      </c>
      <c r="B1" s="338" t="s">
        <v>439</v>
      </c>
    </row>
    <row r="2" spans="1:4" s="216" customFormat="1" ht="15.75" customHeight="1">
      <c r="A2" s="337" t="s">
        <v>31</v>
      </c>
      <c r="B2" s="339">
        <f>'1. key ratios '!B2</f>
        <v>44012</v>
      </c>
    </row>
    <row r="3" spans="1:4" s="216" customFormat="1" ht="15.75" customHeight="1"/>
    <row r="4" spans="1:4" ht="13.5" thickBot="1">
      <c r="A4" s="533" t="s">
        <v>410</v>
      </c>
      <c r="B4" s="315" t="s">
        <v>411</v>
      </c>
    </row>
    <row r="5" spans="1:4" s="316" customFormat="1">
      <c r="A5" s="559" t="s">
        <v>414</v>
      </c>
      <c r="B5" s="560"/>
      <c r="C5" s="304" t="s">
        <v>412</v>
      </c>
      <c r="D5" s="305" t="s">
        <v>413</v>
      </c>
    </row>
    <row r="6" spans="1:4" s="317" customFormat="1">
      <c r="A6" s="306">
        <v>1</v>
      </c>
      <c r="B6" s="307" t="s">
        <v>415</v>
      </c>
      <c r="C6" s="307"/>
      <c r="D6" s="308"/>
    </row>
    <row r="7" spans="1:4" s="317" customFormat="1">
      <c r="A7" s="309" t="s">
        <v>401</v>
      </c>
      <c r="B7" s="310" t="s">
        <v>416</v>
      </c>
      <c r="C7" s="495">
        <v>4.4999999999999998E-2</v>
      </c>
      <c r="D7" s="489">
        <f>C7*'5. RWA '!$C$13</f>
        <v>15024801.019176081</v>
      </c>
    </row>
    <row r="8" spans="1:4" s="317" customFormat="1">
      <c r="A8" s="309" t="s">
        <v>402</v>
      </c>
      <c r="B8" s="310" t="s">
        <v>417</v>
      </c>
      <c r="C8" s="496">
        <v>0.06</v>
      </c>
      <c r="D8" s="489">
        <f>C8*'5. RWA '!$C$13</f>
        <v>20033068.025568109</v>
      </c>
    </row>
    <row r="9" spans="1:4" s="317" customFormat="1">
      <c r="A9" s="309" t="s">
        <v>403</v>
      </c>
      <c r="B9" s="310" t="s">
        <v>418</v>
      </c>
      <c r="C9" s="496">
        <v>0.08</v>
      </c>
      <c r="D9" s="489">
        <f>C9*'5. RWA '!$C$13</f>
        <v>26710757.367424145</v>
      </c>
    </row>
    <row r="10" spans="1:4" s="317" customFormat="1">
      <c r="A10" s="306" t="s">
        <v>404</v>
      </c>
      <c r="B10" s="307" t="s">
        <v>419</v>
      </c>
      <c r="C10" s="307"/>
      <c r="D10" s="308"/>
    </row>
    <row r="11" spans="1:4" s="318" customFormat="1">
      <c r="A11" s="311" t="s">
        <v>405</v>
      </c>
      <c r="B11" s="312" t="s">
        <v>512</v>
      </c>
      <c r="C11" s="487">
        <v>0</v>
      </c>
      <c r="D11" s="490">
        <f>C11*'5. RWA '!$C$13</f>
        <v>0</v>
      </c>
    </row>
    <row r="12" spans="1:4" s="318" customFormat="1">
      <c r="A12" s="311" t="s">
        <v>406</v>
      </c>
      <c r="B12" s="312" t="s">
        <v>420</v>
      </c>
      <c r="C12" s="487">
        <v>0</v>
      </c>
      <c r="D12" s="490">
        <f>C12*'5. RWA '!$C$13</f>
        <v>0</v>
      </c>
    </row>
    <row r="13" spans="1:4" s="318" customFormat="1">
      <c r="A13" s="311" t="s">
        <v>407</v>
      </c>
      <c r="B13" s="312" t="s">
        <v>421</v>
      </c>
      <c r="C13" s="312"/>
      <c r="D13" s="490">
        <f>C13*'5. RWA '!$C$13</f>
        <v>0</v>
      </c>
    </row>
    <row r="14" spans="1:4" s="318" customFormat="1">
      <c r="A14" s="306" t="s">
        <v>408</v>
      </c>
      <c r="B14" s="307" t="s">
        <v>422</v>
      </c>
      <c r="C14" s="313"/>
      <c r="D14" s="491"/>
    </row>
    <row r="15" spans="1:4" s="318" customFormat="1">
      <c r="A15" s="311">
        <v>3.1</v>
      </c>
      <c r="B15" s="312" t="s">
        <v>428</v>
      </c>
      <c r="C15" s="487">
        <v>1.6538104733356852E-2</v>
      </c>
      <c r="D15" s="490">
        <f>C15*'5. RWA '!$C$13</f>
        <v>5521816.2856217958</v>
      </c>
    </row>
    <row r="16" spans="1:4" s="318" customFormat="1">
      <c r="A16" s="311">
        <v>3.2</v>
      </c>
      <c r="B16" s="312" t="s">
        <v>429</v>
      </c>
      <c r="C16" s="487">
        <v>2.2073292290444749E-2</v>
      </c>
      <c r="D16" s="490">
        <f>C16*'5. RWA '!$C$13</f>
        <v>7369929.4333787961</v>
      </c>
    </row>
    <row r="17" spans="1:6" s="317" customFormat="1">
      <c r="A17" s="311">
        <v>3.3</v>
      </c>
      <c r="B17" s="312" t="s">
        <v>430</v>
      </c>
      <c r="C17" s="529">
        <v>9.1815528527846496E-2</v>
      </c>
      <c r="D17" s="492">
        <f>C17*'5. RWA '!$C$13</f>
        <v>30655778.813363969</v>
      </c>
    </row>
    <row r="18" spans="1:6" s="316" customFormat="1">
      <c r="A18" s="561" t="s">
        <v>425</v>
      </c>
      <c r="B18" s="562"/>
      <c r="C18" s="493" t="s">
        <v>412</v>
      </c>
      <c r="D18" s="494" t="s">
        <v>413</v>
      </c>
    </row>
    <row r="19" spans="1:6" s="317" customFormat="1">
      <c r="A19" s="314">
        <v>4</v>
      </c>
      <c r="B19" s="312" t="s">
        <v>423</v>
      </c>
      <c r="C19" s="487">
        <f>C7+C11+C12+C13+C15</f>
        <v>6.1538104733356851E-2</v>
      </c>
      <c r="D19" s="485">
        <f>C19*'5. RWA '!$C$13</f>
        <v>20546617.304797877</v>
      </c>
    </row>
    <row r="20" spans="1:6" s="317" customFormat="1">
      <c r="A20" s="314">
        <v>5</v>
      </c>
      <c r="B20" s="312" t="s">
        <v>140</v>
      </c>
      <c r="C20" s="487">
        <f>C8+C11+C12+C13+C16</f>
        <v>8.2073292290444744E-2</v>
      </c>
      <c r="D20" s="485">
        <f>C20*'5. RWA '!$C$13</f>
        <v>27402997.458946902</v>
      </c>
    </row>
    <row r="21" spans="1:6" s="317" customFormat="1" ht="13.5" thickBot="1">
      <c r="A21" s="319" t="s">
        <v>409</v>
      </c>
      <c r="B21" s="320" t="s">
        <v>424</v>
      </c>
      <c r="C21" s="488">
        <f>C9+C11+C12+C13+C17</f>
        <v>0.17181552852784648</v>
      </c>
      <c r="D21" s="486">
        <f>C21*'5. RWA '!$C$13</f>
        <v>57366536.180788107</v>
      </c>
    </row>
    <row r="22" spans="1:6">
      <c r="F22" s="267"/>
    </row>
    <row r="23" spans="1:6" ht="51">
      <c r="B23" s="266" t="s">
        <v>506</v>
      </c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B4" sqref="B4"/>
    </sheetView>
  </sheetViews>
  <sheetFormatPr defaultColWidth="9.140625" defaultRowHeight="14.25"/>
  <cols>
    <col min="1" max="1" width="10.7109375" style="4" customWidth="1"/>
    <col min="2" max="2" width="91.85546875" style="4" customWidth="1"/>
    <col min="3" max="3" width="53.140625" style="4" customWidth="1"/>
    <col min="4" max="4" width="32.28515625" style="4" customWidth="1"/>
    <col min="5" max="5" width="9.42578125" style="5" customWidth="1"/>
    <col min="6" max="16384" width="9.140625" style="5"/>
  </cols>
  <sheetData>
    <row r="1" spans="1:6">
      <c r="A1" s="337" t="s">
        <v>30</v>
      </c>
      <c r="B1" s="338" t="s">
        <v>439</v>
      </c>
      <c r="E1" s="4"/>
      <c r="F1" s="4"/>
    </row>
    <row r="2" spans="1:6" s="59" customFormat="1" ht="15.75" customHeight="1">
      <c r="A2" s="337" t="s">
        <v>31</v>
      </c>
      <c r="B2" s="339">
        <f>'1. key ratios '!B2</f>
        <v>44012</v>
      </c>
    </row>
    <row r="3" spans="1:6" s="59" customFormat="1" ht="15.75" customHeight="1">
      <c r="A3" s="93"/>
    </row>
    <row r="4" spans="1:6" s="59" customFormat="1" ht="15.75" customHeight="1" thickBot="1">
      <c r="A4" s="59" t="s">
        <v>86</v>
      </c>
      <c r="B4" s="207" t="s">
        <v>291</v>
      </c>
      <c r="D4" s="31" t="s">
        <v>73</v>
      </c>
    </row>
    <row r="5" spans="1:6" ht="25.5">
      <c r="A5" s="94" t="s">
        <v>6</v>
      </c>
      <c r="B5" s="237" t="s">
        <v>345</v>
      </c>
      <c r="C5" s="95" t="s">
        <v>93</v>
      </c>
      <c r="D5" s="96" t="s">
        <v>94</v>
      </c>
    </row>
    <row r="6" spans="1:6">
      <c r="A6" s="64">
        <v>1</v>
      </c>
      <c r="B6" s="97" t="s">
        <v>35</v>
      </c>
      <c r="C6" s="98">
        <f>'2.RC'!E7</f>
        <v>3697326.0700000003</v>
      </c>
      <c r="D6" s="99"/>
      <c r="E6" s="100"/>
    </row>
    <row r="7" spans="1:6">
      <c r="A7" s="64">
        <v>2</v>
      </c>
      <c r="B7" s="101" t="s">
        <v>36</v>
      </c>
      <c r="C7" s="102">
        <f>'2.RC'!E8</f>
        <v>38873293.149999999</v>
      </c>
      <c r="D7" s="103"/>
      <c r="E7" s="100"/>
    </row>
    <row r="8" spans="1:6">
      <c r="A8" s="64">
        <v>3</v>
      </c>
      <c r="B8" s="101" t="s">
        <v>37</v>
      </c>
      <c r="C8" s="102">
        <f>'2.RC'!E9</f>
        <v>30538875.820402998</v>
      </c>
      <c r="D8" s="103"/>
      <c r="E8" s="100"/>
    </row>
    <row r="9" spans="1:6">
      <c r="A9" s="64">
        <v>4</v>
      </c>
      <c r="B9" s="101" t="s">
        <v>38</v>
      </c>
      <c r="C9" s="102">
        <f>'2.RC'!E10</f>
        <v>0</v>
      </c>
      <c r="D9" s="103"/>
      <c r="E9" s="100"/>
    </row>
    <row r="10" spans="1:6">
      <c r="A10" s="64">
        <v>5</v>
      </c>
      <c r="B10" s="101" t="s">
        <v>39</v>
      </c>
      <c r="C10" s="102">
        <f>'2.RC'!E11</f>
        <v>32938026.490551375</v>
      </c>
      <c r="D10" s="103"/>
      <c r="E10" s="100"/>
    </row>
    <row r="11" spans="1:6">
      <c r="A11" s="64">
        <v>6.1</v>
      </c>
      <c r="B11" s="208" t="s">
        <v>40</v>
      </c>
      <c r="C11" s="104">
        <f>'2.RC'!E12</f>
        <v>197978079.76000002</v>
      </c>
      <c r="D11" s="105"/>
      <c r="E11" s="106"/>
    </row>
    <row r="12" spans="1:6">
      <c r="A12" s="64">
        <v>6.2</v>
      </c>
      <c r="B12" s="209" t="s">
        <v>41</v>
      </c>
      <c r="C12" s="439">
        <f>'2.RC'!E13</f>
        <v>-11366583.9038</v>
      </c>
      <c r="D12" s="105"/>
      <c r="E12" s="106"/>
    </row>
    <row r="13" spans="1:6">
      <c r="A13" s="64" t="s">
        <v>514</v>
      </c>
      <c r="B13" s="209" t="s">
        <v>518</v>
      </c>
      <c r="C13" s="439">
        <v>-3738735.2007999998</v>
      </c>
      <c r="D13" s="105"/>
      <c r="E13" s="106"/>
    </row>
    <row r="14" spans="1:6">
      <c r="A14" s="64" t="s">
        <v>517</v>
      </c>
      <c r="B14" s="209" t="s">
        <v>513</v>
      </c>
      <c r="C14" s="439">
        <f>-'8. LI2'!C12</f>
        <v>-4554784</v>
      </c>
      <c r="D14" s="105"/>
      <c r="E14" s="106"/>
    </row>
    <row r="15" spans="1:6">
      <c r="A15" s="64">
        <v>6</v>
      </c>
      <c r="B15" s="101" t="s">
        <v>42</v>
      </c>
      <c r="C15" s="107">
        <f>C11+C12</f>
        <v>186611495.85620001</v>
      </c>
      <c r="D15" s="105"/>
      <c r="E15" s="100"/>
    </row>
    <row r="16" spans="1:6">
      <c r="A16" s="64">
        <v>7</v>
      </c>
      <c r="B16" s="101" t="s">
        <v>43</v>
      </c>
      <c r="C16" s="102">
        <f>'2.RC'!E15</f>
        <v>2509237.3904879983</v>
      </c>
      <c r="D16" s="103"/>
      <c r="E16" s="100"/>
    </row>
    <row r="17" spans="1:5">
      <c r="A17" s="64">
        <v>8</v>
      </c>
      <c r="B17" s="235" t="s">
        <v>203</v>
      </c>
      <c r="C17" s="102">
        <f>'2.RC'!E16</f>
        <v>1046317.8400000001</v>
      </c>
      <c r="D17" s="103"/>
      <c r="E17" s="100"/>
    </row>
    <row r="18" spans="1:5">
      <c r="A18" s="64">
        <v>9</v>
      </c>
      <c r="B18" s="101" t="s">
        <v>44</v>
      </c>
      <c r="C18" s="102">
        <f>'2.RC'!E17</f>
        <v>0</v>
      </c>
      <c r="D18" s="103"/>
      <c r="E18" s="100"/>
    </row>
    <row r="19" spans="1:5">
      <c r="A19" s="64">
        <v>9.1</v>
      </c>
      <c r="B19" s="108" t="s">
        <v>88</v>
      </c>
      <c r="C19" s="104"/>
      <c r="D19" s="103"/>
      <c r="E19" s="100"/>
    </row>
    <row r="20" spans="1:5">
      <c r="A20" s="64">
        <v>9.1999999999999993</v>
      </c>
      <c r="B20" s="108" t="s">
        <v>89</v>
      </c>
      <c r="C20" s="104"/>
      <c r="D20" s="103"/>
      <c r="E20" s="100"/>
    </row>
    <row r="21" spans="1:5">
      <c r="A21" s="64">
        <v>9.3000000000000007</v>
      </c>
      <c r="B21" s="210" t="s">
        <v>273</v>
      </c>
      <c r="C21" s="104"/>
      <c r="D21" s="103"/>
      <c r="E21" s="100"/>
    </row>
    <row r="22" spans="1:5">
      <c r="A22" s="64">
        <v>10</v>
      </c>
      <c r="B22" s="101" t="s">
        <v>45</v>
      </c>
      <c r="C22" s="102">
        <f>'2.RC'!E18</f>
        <v>688956.61000000034</v>
      </c>
      <c r="D22" s="103"/>
      <c r="E22" s="100"/>
    </row>
    <row r="23" spans="1:5">
      <c r="A23" s="64">
        <v>10.1</v>
      </c>
      <c r="B23" s="108" t="s">
        <v>90</v>
      </c>
      <c r="C23" s="102">
        <f>'9.Capital'!C15</f>
        <v>57590.84999999986</v>
      </c>
      <c r="D23" s="109" t="s">
        <v>92</v>
      </c>
      <c r="E23" s="100"/>
    </row>
    <row r="24" spans="1:5">
      <c r="A24" s="64">
        <v>11</v>
      </c>
      <c r="B24" s="110" t="s">
        <v>46</v>
      </c>
      <c r="C24" s="111">
        <f>'2.RC'!E19</f>
        <v>3337977.4047466409</v>
      </c>
      <c r="D24" s="112"/>
      <c r="E24" s="100"/>
    </row>
    <row r="25" spans="1:5" ht="15">
      <c r="A25" s="64">
        <v>12</v>
      </c>
      <c r="B25" s="113" t="s">
        <v>47</v>
      </c>
      <c r="C25" s="114">
        <f>SUM(C6:C10,C15:C18,C22,C24)</f>
        <v>300241506.63238895</v>
      </c>
      <c r="D25" s="115"/>
      <c r="E25" s="116"/>
    </row>
    <row r="26" spans="1:5">
      <c r="A26" s="64">
        <v>13</v>
      </c>
      <c r="B26" s="101" t="s">
        <v>49</v>
      </c>
      <c r="C26" s="117">
        <f>'2.RC'!E22</f>
        <v>158987725.56999999</v>
      </c>
      <c r="D26" s="118"/>
      <c r="E26" s="100"/>
    </row>
    <row r="27" spans="1:5">
      <c r="A27" s="64">
        <v>14</v>
      </c>
      <c r="B27" s="101" t="s">
        <v>50</v>
      </c>
      <c r="C27" s="102">
        <f>'2.RC'!E23</f>
        <v>25457773.03999998</v>
      </c>
      <c r="D27" s="103"/>
      <c r="E27" s="100"/>
    </row>
    <row r="28" spans="1:5">
      <c r="A28" s="64">
        <v>15</v>
      </c>
      <c r="B28" s="101" t="s">
        <v>51</v>
      </c>
      <c r="C28" s="102">
        <f>'2.RC'!E24</f>
        <v>0</v>
      </c>
      <c r="D28" s="103"/>
      <c r="E28" s="100"/>
    </row>
    <row r="29" spans="1:5">
      <c r="A29" s="64">
        <v>16</v>
      </c>
      <c r="B29" s="101" t="s">
        <v>52</v>
      </c>
      <c r="C29" s="102">
        <f>'2.RC'!E25</f>
        <v>18383207.449999999</v>
      </c>
      <c r="D29" s="103"/>
      <c r="E29" s="100"/>
    </row>
    <row r="30" spans="1:5">
      <c r="A30" s="64">
        <v>17</v>
      </c>
      <c r="B30" s="101" t="s">
        <v>53</v>
      </c>
      <c r="C30" s="102">
        <f>'2.RC'!E26</f>
        <v>0</v>
      </c>
      <c r="D30" s="103"/>
      <c r="E30" s="100"/>
    </row>
    <row r="31" spans="1:5">
      <c r="A31" s="64">
        <v>18</v>
      </c>
      <c r="B31" s="101" t="s">
        <v>54</v>
      </c>
      <c r="C31" s="102">
        <f>'2.RC'!E27</f>
        <v>16257599.979632001</v>
      </c>
      <c r="D31" s="103"/>
      <c r="E31" s="100"/>
    </row>
    <row r="32" spans="1:5">
      <c r="A32" s="64">
        <v>19</v>
      </c>
      <c r="B32" s="101" t="s">
        <v>55</v>
      </c>
      <c r="C32" s="102">
        <f>'2.RC'!E28</f>
        <v>1279530.98</v>
      </c>
      <c r="D32" s="103"/>
      <c r="E32" s="100"/>
    </row>
    <row r="33" spans="1:5">
      <c r="A33" s="64">
        <v>20</v>
      </c>
      <c r="B33" s="101" t="s">
        <v>56</v>
      </c>
      <c r="C33" s="102">
        <f>'2.RC'!E29</f>
        <v>1076283.1740000001</v>
      </c>
      <c r="D33" s="103"/>
      <c r="E33" s="100"/>
    </row>
    <row r="34" spans="1:5">
      <c r="A34" s="64">
        <v>21</v>
      </c>
      <c r="B34" s="110" t="s">
        <v>57</v>
      </c>
      <c r="C34" s="111">
        <f>'2.RC'!E30</f>
        <v>0</v>
      </c>
      <c r="D34" s="112"/>
      <c r="E34" s="100"/>
    </row>
    <row r="35" spans="1:5">
      <c r="A35" s="64">
        <v>21.1</v>
      </c>
      <c r="B35" s="119" t="s">
        <v>91</v>
      </c>
      <c r="C35" s="120">
        <f>'9.Capital'!C44</f>
        <v>0</v>
      </c>
      <c r="D35" s="109" t="s">
        <v>448</v>
      </c>
      <c r="E35" s="100"/>
    </row>
    <row r="36" spans="1:5" ht="15">
      <c r="A36" s="64">
        <v>22</v>
      </c>
      <c r="B36" s="113" t="s">
        <v>58</v>
      </c>
      <c r="C36" s="114">
        <f>SUM(C26:C34)</f>
        <v>221442120.19363195</v>
      </c>
      <c r="D36" s="115"/>
      <c r="E36" s="116"/>
    </row>
    <row r="37" spans="1:5">
      <c r="A37" s="64">
        <v>23</v>
      </c>
      <c r="B37" s="110" t="s">
        <v>60</v>
      </c>
      <c r="C37" s="102">
        <f>'9.Capital'!C7</f>
        <v>69161600</v>
      </c>
      <c r="D37" s="109" t="s">
        <v>449</v>
      </c>
      <c r="E37" s="100"/>
    </row>
    <row r="38" spans="1:5">
      <c r="A38" s="64">
        <v>24</v>
      </c>
      <c r="B38" s="110" t="s">
        <v>61</v>
      </c>
      <c r="C38" s="102"/>
      <c r="D38" s="103"/>
      <c r="E38" s="100"/>
    </row>
    <row r="39" spans="1:5">
      <c r="A39" s="64">
        <v>25</v>
      </c>
      <c r="B39" s="110" t="s">
        <v>62</v>
      </c>
      <c r="C39" s="102"/>
      <c r="D39" s="103"/>
      <c r="E39" s="100"/>
    </row>
    <row r="40" spans="1:5">
      <c r="A40" s="64">
        <v>26</v>
      </c>
      <c r="B40" s="110" t="s">
        <v>63</v>
      </c>
      <c r="C40" s="102"/>
      <c r="D40" s="103"/>
      <c r="E40" s="100"/>
    </row>
    <row r="41" spans="1:5">
      <c r="A41" s="64">
        <v>27</v>
      </c>
      <c r="B41" s="110" t="s">
        <v>64</v>
      </c>
      <c r="C41" s="102"/>
      <c r="D41" s="103"/>
      <c r="E41" s="100"/>
    </row>
    <row r="42" spans="1:5">
      <c r="A42" s="64">
        <v>28</v>
      </c>
      <c r="B42" s="110" t="s">
        <v>65</v>
      </c>
      <c r="C42" s="102">
        <f>'9.Capital'!C11</f>
        <v>9637787.1320782118</v>
      </c>
      <c r="D42" s="109" t="s">
        <v>450</v>
      </c>
      <c r="E42" s="100"/>
    </row>
    <row r="43" spans="1:5">
      <c r="A43" s="64">
        <v>29</v>
      </c>
      <c r="B43" s="110" t="s">
        <v>66</v>
      </c>
      <c r="C43" s="102"/>
      <c r="D43" s="103"/>
      <c r="E43" s="100"/>
    </row>
    <row r="44" spans="1:5" ht="15.75" thickBot="1">
      <c r="A44" s="121">
        <v>30</v>
      </c>
      <c r="B44" s="122" t="s">
        <v>271</v>
      </c>
      <c r="C44" s="123">
        <f>SUM(C37:C43)</f>
        <v>78799387.132078215</v>
      </c>
      <c r="D44" s="124"/>
      <c r="E44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80" zoomScaleNormal="8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40625" defaultRowHeight="12.75"/>
  <cols>
    <col min="1" max="1" width="10.5703125" style="4" bestFit="1" customWidth="1"/>
    <col min="2" max="2" width="80.5703125" style="4" bestFit="1" customWidth="1"/>
    <col min="3" max="3" width="13" style="4" bestFit="1" customWidth="1"/>
    <col min="4" max="4" width="16.42578125" style="4" bestFit="1" customWidth="1"/>
    <col min="5" max="5" width="13" style="4" bestFit="1" customWidth="1"/>
    <col min="6" max="6" width="16.42578125" style="4" bestFit="1" customWidth="1"/>
    <col min="7" max="7" width="13" style="4" bestFit="1" customWidth="1"/>
    <col min="8" max="8" width="13.28515625" style="4" bestFit="1" customWidth="1"/>
    <col min="9" max="9" width="13" style="4" bestFit="1" customWidth="1"/>
    <col min="10" max="10" width="13.28515625" style="4" bestFit="1" customWidth="1"/>
    <col min="11" max="11" width="13" style="4" bestFit="1" customWidth="1"/>
    <col min="12" max="12" width="13" style="29" bestFit="1" customWidth="1"/>
    <col min="13" max="13" width="16.28515625" style="29" bestFit="1" customWidth="1"/>
    <col min="14" max="14" width="13" style="29" bestFit="1" customWidth="1"/>
    <col min="15" max="17" width="12.28515625" style="29" bestFit="1" customWidth="1"/>
    <col min="18" max="18" width="13" style="29" bestFit="1" customWidth="1"/>
    <col min="19" max="19" width="18.5703125" style="29" customWidth="1"/>
    <col min="20" max="16384" width="9.140625" style="29"/>
  </cols>
  <sheetData>
    <row r="1" spans="1:19">
      <c r="A1" s="337" t="s">
        <v>30</v>
      </c>
      <c r="B1" s="338" t="s">
        <v>439</v>
      </c>
    </row>
    <row r="2" spans="1:19">
      <c r="A2" s="337" t="s">
        <v>31</v>
      </c>
      <c r="B2" s="339">
        <f>'1. key ratios '!B2</f>
        <v>44012</v>
      </c>
    </row>
    <row r="4" spans="1:19" ht="26.25" thickBot="1">
      <c r="A4" s="4" t="s">
        <v>253</v>
      </c>
      <c r="B4" s="254" t="s">
        <v>380</v>
      </c>
    </row>
    <row r="5" spans="1:19" s="244" customFormat="1">
      <c r="A5" s="239"/>
      <c r="B5" s="240"/>
      <c r="C5" s="241" t="s">
        <v>0</v>
      </c>
      <c r="D5" s="241" t="s">
        <v>1</v>
      </c>
      <c r="E5" s="241" t="s">
        <v>2</v>
      </c>
      <c r="F5" s="241" t="s">
        <v>3</v>
      </c>
      <c r="G5" s="241" t="s">
        <v>4</v>
      </c>
      <c r="H5" s="241" t="s">
        <v>5</v>
      </c>
      <c r="I5" s="241" t="s">
        <v>8</v>
      </c>
      <c r="J5" s="241" t="s">
        <v>9</v>
      </c>
      <c r="K5" s="241" t="s">
        <v>10</v>
      </c>
      <c r="L5" s="241" t="s">
        <v>11</v>
      </c>
      <c r="M5" s="241" t="s">
        <v>12</v>
      </c>
      <c r="N5" s="241" t="s">
        <v>13</v>
      </c>
      <c r="O5" s="241" t="s">
        <v>363</v>
      </c>
      <c r="P5" s="241" t="s">
        <v>364</v>
      </c>
      <c r="Q5" s="241" t="s">
        <v>365</v>
      </c>
      <c r="R5" s="242" t="s">
        <v>366</v>
      </c>
      <c r="S5" s="243" t="s">
        <v>367</v>
      </c>
    </row>
    <row r="6" spans="1:19" s="244" customFormat="1" ht="99" customHeight="1">
      <c r="A6" s="245"/>
      <c r="B6" s="567" t="s">
        <v>368</v>
      </c>
      <c r="C6" s="563">
        <v>0</v>
      </c>
      <c r="D6" s="564"/>
      <c r="E6" s="563">
        <v>0.2</v>
      </c>
      <c r="F6" s="564"/>
      <c r="G6" s="563">
        <v>0.35</v>
      </c>
      <c r="H6" s="564"/>
      <c r="I6" s="563">
        <v>0.5</v>
      </c>
      <c r="J6" s="564"/>
      <c r="K6" s="563">
        <v>0.75</v>
      </c>
      <c r="L6" s="564"/>
      <c r="M6" s="563">
        <v>1</v>
      </c>
      <c r="N6" s="564"/>
      <c r="O6" s="563">
        <v>1.5</v>
      </c>
      <c r="P6" s="564"/>
      <c r="Q6" s="563">
        <v>2.5</v>
      </c>
      <c r="R6" s="564"/>
      <c r="S6" s="565" t="s">
        <v>252</v>
      </c>
    </row>
    <row r="7" spans="1:19" s="244" customFormat="1" ht="30.75" customHeight="1">
      <c r="A7" s="245"/>
      <c r="B7" s="568"/>
      <c r="C7" s="236" t="s">
        <v>255</v>
      </c>
      <c r="D7" s="236" t="s">
        <v>254</v>
      </c>
      <c r="E7" s="236" t="s">
        <v>255</v>
      </c>
      <c r="F7" s="236" t="s">
        <v>254</v>
      </c>
      <c r="G7" s="236" t="s">
        <v>255</v>
      </c>
      <c r="H7" s="236" t="s">
        <v>254</v>
      </c>
      <c r="I7" s="236" t="s">
        <v>255</v>
      </c>
      <c r="J7" s="236" t="s">
        <v>254</v>
      </c>
      <c r="K7" s="236" t="s">
        <v>255</v>
      </c>
      <c r="L7" s="236" t="s">
        <v>254</v>
      </c>
      <c r="M7" s="236" t="s">
        <v>255</v>
      </c>
      <c r="N7" s="236" t="s">
        <v>254</v>
      </c>
      <c r="O7" s="236" t="s">
        <v>255</v>
      </c>
      <c r="P7" s="236" t="s">
        <v>254</v>
      </c>
      <c r="Q7" s="236" t="s">
        <v>255</v>
      </c>
      <c r="R7" s="236" t="s">
        <v>254</v>
      </c>
      <c r="S7" s="566"/>
    </row>
    <row r="8" spans="1:19" s="127" customFormat="1">
      <c r="A8" s="125">
        <v>1</v>
      </c>
      <c r="B8" s="1" t="s">
        <v>96</v>
      </c>
      <c r="C8" s="126">
        <v>18748817.818462387</v>
      </c>
      <c r="D8" s="126"/>
      <c r="E8" s="126"/>
      <c r="F8" s="126"/>
      <c r="G8" s="126"/>
      <c r="H8" s="126"/>
      <c r="I8" s="126"/>
      <c r="J8" s="126"/>
      <c r="K8" s="126"/>
      <c r="L8" s="126"/>
      <c r="M8" s="126">
        <v>42953610.004694603</v>
      </c>
      <c r="N8" s="126"/>
      <c r="O8" s="126"/>
      <c r="P8" s="126"/>
      <c r="Q8" s="126"/>
      <c r="R8" s="126"/>
      <c r="S8" s="442">
        <f>$C$6*SUM(C8:D8)+$E$6*SUM(E8:F8)+$G$6*SUM(G8:H8)+$I$6*SUM(I8:J8)+$K$6*SUM(K8:L8)+$M$6*SUM(M8:N8)+$O$6*SUM(O8:P8)+$Q$6*SUM(Q8:R8)</f>
        <v>42953610.004694603</v>
      </c>
    </row>
    <row r="9" spans="1:19" s="127" customFormat="1">
      <c r="A9" s="125">
        <v>2</v>
      </c>
      <c r="B9" s="1" t="s">
        <v>97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442">
        <f t="shared" ref="S9:S21" si="0">$C$6*SUM(C9:D9)+$E$6*SUM(E9:F9)+$G$6*SUM(G9:H9)+$I$6*SUM(I9:J9)+$K$6*SUM(K9:L9)+$M$6*SUM(M9:N9)+$O$6*SUM(O9:P9)+$Q$6*SUM(Q9:R9)</f>
        <v>0</v>
      </c>
    </row>
    <row r="10" spans="1:19" s="127" customFormat="1">
      <c r="A10" s="125">
        <v>3</v>
      </c>
      <c r="B10" s="1" t="s">
        <v>274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442">
        <f t="shared" si="0"/>
        <v>0</v>
      </c>
    </row>
    <row r="11" spans="1:19" s="127" customFormat="1">
      <c r="A11" s="125">
        <v>4</v>
      </c>
      <c r="B11" s="1" t="s">
        <v>98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442">
        <f t="shared" si="0"/>
        <v>0</v>
      </c>
    </row>
    <row r="12" spans="1:19" s="127" customFormat="1">
      <c r="A12" s="125">
        <v>5</v>
      </c>
      <c r="B12" s="1" t="s">
        <v>99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442">
        <f t="shared" si="0"/>
        <v>0</v>
      </c>
    </row>
    <row r="13" spans="1:19" s="127" customFormat="1">
      <c r="A13" s="125">
        <v>6</v>
      </c>
      <c r="B13" s="1" t="s">
        <v>100</v>
      </c>
      <c r="C13" s="126"/>
      <c r="D13" s="126"/>
      <c r="E13" s="126">
        <v>96830.73000000001</v>
      </c>
      <c r="F13" s="126">
        <v>0</v>
      </c>
      <c r="G13" s="126"/>
      <c r="H13" s="126"/>
      <c r="I13" s="126">
        <v>30939915.307057001</v>
      </c>
      <c r="J13" s="126">
        <v>580488</v>
      </c>
      <c r="K13" s="126"/>
      <c r="L13" s="126"/>
      <c r="M13" s="126">
        <v>808259.18334600003</v>
      </c>
      <c r="N13" s="126">
        <v>23281515.349999994</v>
      </c>
      <c r="O13" s="126"/>
      <c r="P13" s="126"/>
      <c r="Q13" s="126"/>
      <c r="R13" s="126"/>
      <c r="S13" s="442">
        <f t="shared" si="0"/>
        <v>39869342.332874492</v>
      </c>
    </row>
    <row r="14" spans="1:19" s="127" customFormat="1">
      <c r="A14" s="125">
        <v>7</v>
      </c>
      <c r="B14" s="1" t="s">
        <v>101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>
        <v>198378232.13699314</v>
      </c>
      <c r="N14" s="126">
        <v>20130630.350000001</v>
      </c>
      <c r="O14" s="126"/>
      <c r="P14" s="126"/>
      <c r="Q14" s="126"/>
      <c r="R14" s="126"/>
      <c r="S14" s="442">
        <f t="shared" si="0"/>
        <v>218508862.48699313</v>
      </c>
    </row>
    <row r="15" spans="1:19" s="127" customFormat="1">
      <c r="A15" s="125">
        <v>8</v>
      </c>
      <c r="B15" s="1" t="s">
        <v>102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>
        <v>41966.625</v>
      </c>
      <c r="O15" s="126"/>
      <c r="P15" s="126"/>
      <c r="Q15" s="126"/>
      <c r="R15" s="126"/>
      <c r="S15" s="442">
        <f t="shared" si="0"/>
        <v>41966.625</v>
      </c>
    </row>
    <row r="16" spans="1:19" s="127" customFormat="1">
      <c r="A16" s="125">
        <v>9</v>
      </c>
      <c r="B16" s="1" t="s">
        <v>103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442">
        <f t="shared" si="0"/>
        <v>0</v>
      </c>
    </row>
    <row r="17" spans="1:19" s="127" customFormat="1">
      <c r="A17" s="125">
        <v>10</v>
      </c>
      <c r="B17" s="1" t="s">
        <v>104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1916964.7410000029</v>
      </c>
      <c r="N17" s="126"/>
      <c r="O17" s="126"/>
      <c r="P17" s="126"/>
      <c r="Q17" s="126"/>
      <c r="R17" s="126"/>
      <c r="S17" s="442">
        <f t="shared" si="0"/>
        <v>1916964.7410000029</v>
      </c>
    </row>
    <row r="18" spans="1:19" s="127" customFormat="1">
      <c r="A18" s="125">
        <v>11</v>
      </c>
      <c r="B18" s="1" t="s">
        <v>105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442">
        <f t="shared" si="0"/>
        <v>0</v>
      </c>
    </row>
    <row r="19" spans="1:19" s="127" customFormat="1">
      <c r="A19" s="125">
        <v>12</v>
      </c>
      <c r="B19" s="1" t="s">
        <v>106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442">
        <f t="shared" si="0"/>
        <v>0</v>
      </c>
    </row>
    <row r="20" spans="1:19" s="127" customFormat="1">
      <c r="A20" s="125">
        <v>13</v>
      </c>
      <c r="B20" s="1" t="s">
        <v>251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442">
        <f t="shared" si="0"/>
        <v>0</v>
      </c>
    </row>
    <row r="21" spans="1:19" s="127" customFormat="1">
      <c r="A21" s="125">
        <v>14</v>
      </c>
      <c r="B21" s="1" t="s">
        <v>108</v>
      </c>
      <c r="C21" s="126">
        <v>3697326.0700000003</v>
      </c>
      <c r="D21" s="126"/>
      <c r="E21" s="126">
        <v>0</v>
      </c>
      <c r="F21" s="126"/>
      <c r="G21" s="126">
        <v>0</v>
      </c>
      <c r="H21" s="126"/>
      <c r="I21" s="126"/>
      <c r="J21" s="126"/>
      <c r="K21" s="126"/>
      <c r="L21" s="126"/>
      <c r="M21" s="126">
        <v>11355509.20974664</v>
      </c>
      <c r="N21" s="126"/>
      <c r="O21" s="126">
        <v>0</v>
      </c>
      <c r="P21" s="126"/>
      <c r="Q21" s="126">
        <v>0</v>
      </c>
      <c r="R21" s="126"/>
      <c r="S21" s="442">
        <f t="shared" si="0"/>
        <v>11355509.20974664</v>
      </c>
    </row>
    <row r="22" spans="1:19" ht="13.5" thickBot="1">
      <c r="A22" s="128"/>
      <c r="B22" s="129" t="s">
        <v>109</v>
      </c>
      <c r="C22" s="440">
        <f>SUM(C8:C21)</f>
        <v>22446143.888462387</v>
      </c>
      <c r="D22" s="440">
        <f t="shared" ref="D22:J22" si="1">SUM(D8:D21)</f>
        <v>0</v>
      </c>
      <c r="E22" s="440">
        <f t="shared" si="1"/>
        <v>96830.73000000001</v>
      </c>
      <c r="F22" s="440">
        <f t="shared" si="1"/>
        <v>0</v>
      </c>
      <c r="G22" s="440">
        <f t="shared" si="1"/>
        <v>0</v>
      </c>
      <c r="H22" s="440">
        <f t="shared" si="1"/>
        <v>0</v>
      </c>
      <c r="I22" s="440">
        <f t="shared" si="1"/>
        <v>30939915.307057001</v>
      </c>
      <c r="J22" s="440">
        <f t="shared" si="1"/>
        <v>580488</v>
      </c>
      <c r="K22" s="440">
        <f t="shared" ref="K22:S22" si="2">SUM(K8:K21)</f>
        <v>0</v>
      </c>
      <c r="L22" s="440">
        <f t="shared" si="2"/>
        <v>0</v>
      </c>
      <c r="M22" s="440">
        <f t="shared" si="2"/>
        <v>255412575.27578038</v>
      </c>
      <c r="N22" s="440">
        <f t="shared" si="2"/>
        <v>43454112.324999996</v>
      </c>
      <c r="O22" s="440">
        <f t="shared" si="2"/>
        <v>0</v>
      </c>
      <c r="P22" s="440">
        <f t="shared" si="2"/>
        <v>0</v>
      </c>
      <c r="Q22" s="440">
        <f t="shared" si="2"/>
        <v>0</v>
      </c>
      <c r="R22" s="440">
        <f t="shared" si="2"/>
        <v>0</v>
      </c>
      <c r="S22" s="441">
        <f t="shared" si="2"/>
        <v>314646255.40030885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40625" defaultRowHeight="12.75"/>
  <cols>
    <col min="1" max="1" width="10.5703125" style="4" bestFit="1" customWidth="1"/>
    <col min="2" max="2" width="63.7109375" style="4" bestFit="1" customWidth="1"/>
    <col min="3" max="3" width="19" style="4" customWidth="1"/>
    <col min="4" max="4" width="19.5703125" style="4" customWidth="1"/>
    <col min="5" max="5" width="31.140625" style="4" customWidth="1"/>
    <col min="6" max="6" width="29.140625" style="4" customWidth="1"/>
    <col min="7" max="7" width="28.5703125" style="4" customWidth="1"/>
    <col min="8" max="8" width="26.42578125" style="4" customWidth="1"/>
    <col min="9" max="9" width="23.7109375" style="4" customWidth="1"/>
    <col min="10" max="10" width="21.5703125" style="4" customWidth="1"/>
    <col min="11" max="11" width="15.7109375" style="4" customWidth="1"/>
    <col min="12" max="12" width="13.28515625" style="4" customWidth="1"/>
    <col min="13" max="13" width="20.85546875" style="4" customWidth="1"/>
    <col min="14" max="14" width="19.28515625" style="4" customWidth="1"/>
    <col min="15" max="15" width="18.42578125" style="4" customWidth="1"/>
    <col min="16" max="16" width="19" style="4" customWidth="1"/>
    <col min="17" max="17" width="20.28515625" style="4" customWidth="1"/>
    <col min="18" max="18" width="18" style="4" customWidth="1"/>
    <col min="19" max="19" width="36" style="4" customWidth="1"/>
    <col min="20" max="20" width="26.140625" style="4" customWidth="1"/>
    <col min="21" max="21" width="24.85546875" style="4" customWidth="1"/>
    <col min="22" max="22" width="20" style="4" customWidth="1"/>
    <col min="23" max="16384" width="9.140625" style="29"/>
  </cols>
  <sheetData>
    <row r="1" spans="1:22">
      <c r="A1" s="337" t="s">
        <v>30</v>
      </c>
      <c r="B1" s="338" t="s">
        <v>439</v>
      </c>
    </row>
    <row r="2" spans="1:22">
      <c r="A2" s="337" t="s">
        <v>31</v>
      </c>
      <c r="B2" s="339">
        <f>'1. key ratios '!B2</f>
        <v>44012</v>
      </c>
    </row>
    <row r="4" spans="1:22" ht="13.5" thickBot="1">
      <c r="A4" s="4" t="s">
        <v>371</v>
      </c>
      <c r="B4" s="130" t="s">
        <v>95</v>
      </c>
      <c r="V4" s="31" t="s">
        <v>73</v>
      </c>
    </row>
    <row r="5" spans="1:22" ht="12.75" customHeight="1">
      <c r="A5" s="131"/>
      <c r="B5" s="132"/>
      <c r="C5" s="569" t="s">
        <v>282</v>
      </c>
      <c r="D5" s="570"/>
      <c r="E5" s="570"/>
      <c r="F5" s="570"/>
      <c r="G5" s="570"/>
      <c r="H5" s="570"/>
      <c r="I5" s="570"/>
      <c r="J5" s="570"/>
      <c r="K5" s="570"/>
      <c r="L5" s="571"/>
      <c r="M5" s="572" t="s">
        <v>283</v>
      </c>
      <c r="N5" s="573"/>
      <c r="O5" s="573"/>
      <c r="P5" s="573"/>
      <c r="Q5" s="573"/>
      <c r="R5" s="573"/>
      <c r="S5" s="574"/>
      <c r="T5" s="577" t="s">
        <v>369</v>
      </c>
      <c r="U5" s="577" t="s">
        <v>370</v>
      </c>
      <c r="V5" s="575" t="s">
        <v>121</v>
      </c>
    </row>
    <row r="6" spans="1:22" s="70" customFormat="1" ht="102">
      <c r="A6" s="67"/>
      <c r="B6" s="133"/>
      <c r="C6" s="134" t="s">
        <v>110</v>
      </c>
      <c r="D6" s="213" t="s">
        <v>111</v>
      </c>
      <c r="E6" s="157" t="s">
        <v>285</v>
      </c>
      <c r="F6" s="157" t="s">
        <v>286</v>
      </c>
      <c r="G6" s="213" t="s">
        <v>289</v>
      </c>
      <c r="H6" s="213" t="s">
        <v>284</v>
      </c>
      <c r="I6" s="213" t="s">
        <v>112</v>
      </c>
      <c r="J6" s="213" t="s">
        <v>113</v>
      </c>
      <c r="K6" s="135" t="s">
        <v>114</v>
      </c>
      <c r="L6" s="136" t="s">
        <v>115</v>
      </c>
      <c r="M6" s="134" t="s">
        <v>287</v>
      </c>
      <c r="N6" s="135" t="s">
        <v>116</v>
      </c>
      <c r="O6" s="135" t="s">
        <v>117</v>
      </c>
      <c r="P6" s="135" t="s">
        <v>118</v>
      </c>
      <c r="Q6" s="135" t="s">
        <v>119</v>
      </c>
      <c r="R6" s="135" t="s">
        <v>120</v>
      </c>
      <c r="S6" s="238" t="s">
        <v>288</v>
      </c>
      <c r="T6" s="578"/>
      <c r="U6" s="578"/>
      <c r="V6" s="576"/>
    </row>
    <row r="7" spans="1:22" s="127" customFormat="1">
      <c r="A7" s="137">
        <v>1</v>
      </c>
      <c r="B7" s="1" t="s">
        <v>96</v>
      </c>
      <c r="C7" s="138"/>
      <c r="D7" s="126"/>
      <c r="E7" s="126"/>
      <c r="F7" s="126"/>
      <c r="G7" s="126"/>
      <c r="H7" s="126"/>
      <c r="I7" s="126"/>
      <c r="J7" s="126"/>
      <c r="K7" s="126"/>
      <c r="L7" s="139"/>
      <c r="M7" s="138"/>
      <c r="N7" s="126"/>
      <c r="O7" s="126"/>
      <c r="P7" s="126"/>
      <c r="Q7" s="126"/>
      <c r="R7" s="126"/>
      <c r="S7" s="139"/>
      <c r="T7" s="447"/>
      <c r="U7" s="447"/>
      <c r="V7" s="446">
        <f>SUM(C7:S7)</f>
        <v>0</v>
      </c>
    </row>
    <row r="8" spans="1:22" s="127" customFormat="1">
      <c r="A8" s="137">
        <v>2</v>
      </c>
      <c r="B8" s="1" t="s">
        <v>97</v>
      </c>
      <c r="C8" s="138"/>
      <c r="D8" s="126"/>
      <c r="E8" s="126"/>
      <c r="F8" s="126"/>
      <c r="G8" s="126"/>
      <c r="H8" s="126"/>
      <c r="I8" s="126"/>
      <c r="J8" s="126"/>
      <c r="K8" s="126"/>
      <c r="L8" s="139"/>
      <c r="M8" s="138"/>
      <c r="N8" s="126"/>
      <c r="O8" s="126"/>
      <c r="P8" s="126"/>
      <c r="Q8" s="126"/>
      <c r="R8" s="126"/>
      <c r="S8" s="139"/>
      <c r="T8" s="447"/>
      <c r="U8" s="447"/>
      <c r="V8" s="446">
        <f t="shared" ref="V8:V20" si="0">SUM(C8:S8)</f>
        <v>0</v>
      </c>
    </row>
    <row r="9" spans="1:22" s="127" customFormat="1">
      <c r="A9" s="137">
        <v>3</v>
      </c>
      <c r="B9" s="1" t="s">
        <v>275</v>
      </c>
      <c r="C9" s="138"/>
      <c r="D9" s="126"/>
      <c r="E9" s="126"/>
      <c r="F9" s="126"/>
      <c r="G9" s="126"/>
      <c r="H9" s="126"/>
      <c r="I9" s="126"/>
      <c r="J9" s="126"/>
      <c r="K9" s="126"/>
      <c r="L9" s="139"/>
      <c r="M9" s="138"/>
      <c r="N9" s="126"/>
      <c r="O9" s="126"/>
      <c r="P9" s="126"/>
      <c r="Q9" s="126"/>
      <c r="R9" s="126"/>
      <c r="S9" s="139"/>
      <c r="T9" s="447"/>
      <c r="U9" s="447"/>
      <c r="V9" s="446">
        <f t="shared" si="0"/>
        <v>0</v>
      </c>
    </row>
    <row r="10" spans="1:22" s="127" customFormat="1">
      <c r="A10" s="137">
        <v>4</v>
      </c>
      <c r="B10" s="1" t="s">
        <v>98</v>
      </c>
      <c r="C10" s="138"/>
      <c r="D10" s="126"/>
      <c r="E10" s="126"/>
      <c r="F10" s="126"/>
      <c r="G10" s="126"/>
      <c r="H10" s="126"/>
      <c r="I10" s="126"/>
      <c r="J10" s="126"/>
      <c r="K10" s="126"/>
      <c r="L10" s="139"/>
      <c r="M10" s="138"/>
      <c r="N10" s="126"/>
      <c r="O10" s="126"/>
      <c r="P10" s="126"/>
      <c r="Q10" s="126"/>
      <c r="R10" s="126"/>
      <c r="S10" s="139"/>
      <c r="T10" s="447"/>
      <c r="U10" s="447"/>
      <c r="V10" s="446">
        <f t="shared" si="0"/>
        <v>0</v>
      </c>
    </row>
    <row r="11" spans="1:22" s="127" customFormat="1">
      <c r="A11" s="137">
        <v>5</v>
      </c>
      <c r="B11" s="1" t="s">
        <v>99</v>
      </c>
      <c r="C11" s="138"/>
      <c r="D11" s="126"/>
      <c r="E11" s="126"/>
      <c r="F11" s="126"/>
      <c r="G11" s="126"/>
      <c r="H11" s="126"/>
      <c r="I11" s="126"/>
      <c r="J11" s="126"/>
      <c r="K11" s="126"/>
      <c r="L11" s="139"/>
      <c r="M11" s="138"/>
      <c r="N11" s="126"/>
      <c r="O11" s="126"/>
      <c r="P11" s="126"/>
      <c r="Q11" s="126"/>
      <c r="R11" s="126"/>
      <c r="S11" s="139"/>
      <c r="T11" s="447"/>
      <c r="U11" s="447"/>
      <c r="V11" s="446">
        <f t="shared" si="0"/>
        <v>0</v>
      </c>
    </row>
    <row r="12" spans="1:22" s="127" customFormat="1">
      <c r="A12" s="137">
        <v>6</v>
      </c>
      <c r="B12" s="1" t="s">
        <v>100</v>
      </c>
      <c r="C12" s="138"/>
      <c r="D12" s="126"/>
      <c r="E12" s="126"/>
      <c r="F12" s="126"/>
      <c r="G12" s="126"/>
      <c r="H12" s="126"/>
      <c r="I12" s="126"/>
      <c r="J12" s="126"/>
      <c r="K12" s="126"/>
      <c r="L12" s="139"/>
      <c r="M12" s="138"/>
      <c r="N12" s="126"/>
      <c r="O12" s="126"/>
      <c r="P12" s="126"/>
      <c r="Q12" s="126"/>
      <c r="R12" s="126"/>
      <c r="S12" s="139"/>
      <c r="T12" s="447"/>
      <c r="U12" s="447"/>
      <c r="V12" s="446">
        <f t="shared" si="0"/>
        <v>0</v>
      </c>
    </row>
    <row r="13" spans="1:22" s="127" customFormat="1">
      <c r="A13" s="137">
        <v>7</v>
      </c>
      <c r="B13" s="1" t="s">
        <v>101</v>
      </c>
      <c r="C13" s="138"/>
      <c r="D13" s="126">
        <v>772712.95999999996</v>
      </c>
      <c r="E13" s="126"/>
      <c r="F13" s="126"/>
      <c r="G13" s="126"/>
      <c r="H13" s="126"/>
      <c r="I13" s="126"/>
      <c r="J13" s="126"/>
      <c r="K13" s="126"/>
      <c r="L13" s="139"/>
      <c r="M13" s="138"/>
      <c r="N13" s="126"/>
      <c r="O13" s="126"/>
      <c r="P13" s="126"/>
      <c r="Q13" s="126"/>
      <c r="R13" s="126"/>
      <c r="S13" s="139"/>
      <c r="T13" s="447">
        <v>0</v>
      </c>
      <c r="U13" s="447">
        <v>772712.95999999996</v>
      </c>
      <c r="V13" s="446">
        <f t="shared" si="0"/>
        <v>772712.95999999996</v>
      </c>
    </row>
    <row r="14" spans="1:22" s="127" customFormat="1">
      <c r="A14" s="137">
        <v>8</v>
      </c>
      <c r="B14" s="1" t="s">
        <v>102</v>
      </c>
      <c r="C14" s="138"/>
      <c r="D14" s="126">
        <v>0</v>
      </c>
      <c r="E14" s="126"/>
      <c r="F14" s="126"/>
      <c r="G14" s="126"/>
      <c r="H14" s="126"/>
      <c r="I14" s="126"/>
      <c r="J14" s="126"/>
      <c r="K14" s="126"/>
      <c r="L14" s="139"/>
      <c r="M14" s="138"/>
      <c r="N14" s="126"/>
      <c r="O14" s="126"/>
      <c r="P14" s="126"/>
      <c r="Q14" s="126"/>
      <c r="R14" s="126"/>
      <c r="S14" s="139"/>
      <c r="T14" s="447">
        <v>0</v>
      </c>
      <c r="U14" s="447"/>
      <c r="V14" s="446">
        <f t="shared" si="0"/>
        <v>0</v>
      </c>
    </row>
    <row r="15" spans="1:22" s="127" customFormat="1">
      <c r="A15" s="137">
        <v>9</v>
      </c>
      <c r="B15" s="1" t="s">
        <v>103</v>
      </c>
      <c r="C15" s="138"/>
      <c r="D15" s="126"/>
      <c r="E15" s="126"/>
      <c r="F15" s="126"/>
      <c r="G15" s="126"/>
      <c r="H15" s="126"/>
      <c r="I15" s="126"/>
      <c r="J15" s="126"/>
      <c r="K15" s="126"/>
      <c r="L15" s="139"/>
      <c r="M15" s="138"/>
      <c r="N15" s="126"/>
      <c r="O15" s="126"/>
      <c r="P15" s="126"/>
      <c r="Q15" s="126"/>
      <c r="R15" s="126"/>
      <c r="S15" s="139"/>
      <c r="T15" s="447"/>
      <c r="U15" s="447"/>
      <c r="V15" s="446">
        <f t="shared" si="0"/>
        <v>0</v>
      </c>
    </row>
    <row r="16" spans="1:22" s="127" customFormat="1">
      <c r="A16" s="137">
        <v>10</v>
      </c>
      <c r="B16" s="1" t="s">
        <v>104</v>
      </c>
      <c r="C16" s="138"/>
      <c r="D16" s="126"/>
      <c r="E16" s="126"/>
      <c r="F16" s="126"/>
      <c r="G16" s="126"/>
      <c r="H16" s="126"/>
      <c r="I16" s="126"/>
      <c r="J16" s="126"/>
      <c r="K16" s="126"/>
      <c r="L16" s="139"/>
      <c r="M16" s="138"/>
      <c r="N16" s="126"/>
      <c r="O16" s="126"/>
      <c r="P16" s="126"/>
      <c r="Q16" s="126"/>
      <c r="R16" s="126"/>
      <c r="S16" s="139"/>
      <c r="T16" s="447"/>
      <c r="U16" s="447"/>
      <c r="V16" s="446">
        <f t="shared" si="0"/>
        <v>0</v>
      </c>
    </row>
    <row r="17" spans="1:22" s="127" customFormat="1">
      <c r="A17" s="137">
        <v>11</v>
      </c>
      <c r="B17" s="1" t="s">
        <v>105</v>
      </c>
      <c r="C17" s="138"/>
      <c r="D17" s="126"/>
      <c r="E17" s="126"/>
      <c r="F17" s="126"/>
      <c r="G17" s="126"/>
      <c r="H17" s="126"/>
      <c r="I17" s="126"/>
      <c r="J17" s="126"/>
      <c r="K17" s="126"/>
      <c r="L17" s="139"/>
      <c r="M17" s="138"/>
      <c r="N17" s="126"/>
      <c r="O17" s="126"/>
      <c r="P17" s="126"/>
      <c r="Q17" s="126"/>
      <c r="R17" s="126"/>
      <c r="S17" s="139"/>
      <c r="T17" s="447"/>
      <c r="U17" s="447"/>
      <c r="V17" s="446">
        <f t="shared" si="0"/>
        <v>0</v>
      </c>
    </row>
    <row r="18" spans="1:22" s="127" customFormat="1">
      <c r="A18" s="137">
        <v>12</v>
      </c>
      <c r="B18" s="1" t="s">
        <v>106</v>
      </c>
      <c r="C18" s="138"/>
      <c r="D18" s="126"/>
      <c r="E18" s="126"/>
      <c r="F18" s="126"/>
      <c r="G18" s="126"/>
      <c r="H18" s="126"/>
      <c r="I18" s="126"/>
      <c r="J18" s="126"/>
      <c r="K18" s="126"/>
      <c r="L18" s="139"/>
      <c r="M18" s="138"/>
      <c r="N18" s="126"/>
      <c r="O18" s="126"/>
      <c r="P18" s="126"/>
      <c r="Q18" s="126"/>
      <c r="R18" s="126"/>
      <c r="S18" s="139"/>
      <c r="T18" s="447"/>
      <c r="U18" s="447"/>
      <c r="V18" s="446">
        <f t="shared" si="0"/>
        <v>0</v>
      </c>
    </row>
    <row r="19" spans="1:22" s="127" customFormat="1">
      <c r="A19" s="137">
        <v>13</v>
      </c>
      <c r="B19" s="1" t="s">
        <v>107</v>
      </c>
      <c r="C19" s="138"/>
      <c r="D19" s="126"/>
      <c r="E19" s="126"/>
      <c r="F19" s="126"/>
      <c r="G19" s="126"/>
      <c r="H19" s="126"/>
      <c r="I19" s="126"/>
      <c r="J19" s="126"/>
      <c r="K19" s="126"/>
      <c r="L19" s="139"/>
      <c r="M19" s="138"/>
      <c r="N19" s="126"/>
      <c r="O19" s="126"/>
      <c r="P19" s="126"/>
      <c r="Q19" s="126"/>
      <c r="R19" s="126"/>
      <c r="S19" s="139"/>
      <c r="T19" s="447"/>
      <c r="U19" s="447"/>
      <c r="V19" s="446">
        <f t="shared" si="0"/>
        <v>0</v>
      </c>
    </row>
    <row r="20" spans="1:22" s="127" customFormat="1">
      <c r="A20" s="137">
        <v>14</v>
      </c>
      <c r="B20" s="1" t="s">
        <v>108</v>
      </c>
      <c r="C20" s="138"/>
      <c r="D20" s="126"/>
      <c r="E20" s="126"/>
      <c r="F20" s="126"/>
      <c r="G20" s="126"/>
      <c r="H20" s="126"/>
      <c r="I20" s="126"/>
      <c r="J20" s="126"/>
      <c r="K20" s="126"/>
      <c r="L20" s="139"/>
      <c r="M20" s="138"/>
      <c r="N20" s="126"/>
      <c r="O20" s="126"/>
      <c r="P20" s="126"/>
      <c r="Q20" s="126"/>
      <c r="R20" s="126"/>
      <c r="S20" s="139"/>
      <c r="T20" s="447"/>
      <c r="U20" s="447"/>
      <c r="V20" s="446">
        <f t="shared" si="0"/>
        <v>0</v>
      </c>
    </row>
    <row r="21" spans="1:22" ht="13.5" thickBot="1">
      <c r="A21" s="128"/>
      <c r="B21" s="140" t="s">
        <v>109</v>
      </c>
      <c r="C21" s="443">
        <f>SUM(C7:C20)</f>
        <v>0</v>
      </c>
      <c r="D21" s="440">
        <f t="shared" ref="D21:V21" si="1">SUM(D7:D20)</f>
        <v>772712.95999999996</v>
      </c>
      <c r="E21" s="440">
        <f t="shared" si="1"/>
        <v>0</v>
      </c>
      <c r="F21" s="440">
        <f t="shared" si="1"/>
        <v>0</v>
      </c>
      <c r="G21" s="440">
        <f t="shared" si="1"/>
        <v>0</v>
      </c>
      <c r="H21" s="440">
        <f t="shared" si="1"/>
        <v>0</v>
      </c>
      <c r="I21" s="440">
        <f t="shared" si="1"/>
        <v>0</v>
      </c>
      <c r="J21" s="440">
        <f t="shared" si="1"/>
        <v>0</v>
      </c>
      <c r="K21" s="440">
        <f t="shared" si="1"/>
        <v>0</v>
      </c>
      <c r="L21" s="444">
        <f t="shared" si="1"/>
        <v>0</v>
      </c>
      <c r="M21" s="443">
        <f t="shared" si="1"/>
        <v>0</v>
      </c>
      <c r="N21" s="440">
        <f t="shared" si="1"/>
        <v>0</v>
      </c>
      <c r="O21" s="440">
        <f t="shared" si="1"/>
        <v>0</v>
      </c>
      <c r="P21" s="440">
        <f t="shared" si="1"/>
        <v>0</v>
      </c>
      <c r="Q21" s="440">
        <f t="shared" si="1"/>
        <v>0</v>
      </c>
      <c r="R21" s="440">
        <f t="shared" si="1"/>
        <v>0</v>
      </c>
      <c r="S21" s="444">
        <f>SUM(S7:S20)</f>
        <v>0</v>
      </c>
      <c r="T21" s="444">
        <f>SUM(T7:T20)</f>
        <v>0</v>
      </c>
      <c r="U21" s="444">
        <f t="shared" ref="U21" si="2">SUM(U7:U20)</f>
        <v>772712.95999999996</v>
      </c>
      <c r="V21" s="445">
        <f t="shared" si="1"/>
        <v>772712.95999999996</v>
      </c>
    </row>
    <row r="24" spans="1:22">
      <c r="A24" s="7"/>
      <c r="B24" s="7"/>
      <c r="C24" s="43"/>
      <c r="D24" s="43"/>
      <c r="E24" s="43"/>
    </row>
    <row r="25" spans="1:22">
      <c r="A25" s="141"/>
      <c r="B25" s="141"/>
      <c r="C25" s="7"/>
      <c r="D25" s="43"/>
      <c r="E25" s="43"/>
    </row>
    <row r="26" spans="1:22">
      <c r="A26" s="141"/>
      <c r="B26" s="44"/>
      <c r="C26" s="7"/>
      <c r="D26" s="43"/>
      <c r="E26" s="43"/>
    </row>
    <row r="27" spans="1:22">
      <c r="A27" s="141"/>
      <c r="B27" s="141"/>
      <c r="C27" s="7"/>
      <c r="D27" s="43"/>
      <c r="E27" s="43"/>
    </row>
    <row r="28" spans="1:22">
      <c r="A28" s="141"/>
      <c r="B28" s="44"/>
      <c r="C28" s="7"/>
      <c r="D28" s="43"/>
      <c r="E28" s="43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40625" defaultRowHeight="12.75"/>
  <cols>
    <col min="1" max="1" width="10.5703125" style="4" bestFit="1" customWidth="1"/>
    <col min="2" max="2" width="101.85546875" style="4" customWidth="1"/>
    <col min="3" max="3" width="13.7109375" style="246" customWidth="1"/>
    <col min="4" max="4" width="14.85546875" style="246" bestFit="1" customWidth="1"/>
    <col min="5" max="5" width="17.7109375" style="246" customWidth="1"/>
    <col min="6" max="6" width="15.85546875" style="246" customWidth="1"/>
    <col min="7" max="7" width="17.42578125" style="246" customWidth="1"/>
    <col min="8" max="8" width="15.28515625" style="246" customWidth="1"/>
    <col min="9" max="16384" width="9.140625" style="29"/>
  </cols>
  <sheetData>
    <row r="1" spans="1:9">
      <c r="A1" s="337" t="s">
        <v>30</v>
      </c>
      <c r="B1" s="338" t="s">
        <v>439</v>
      </c>
    </row>
    <row r="2" spans="1:9">
      <c r="A2" s="337" t="s">
        <v>31</v>
      </c>
      <c r="B2" s="339">
        <f>'1. key ratios '!B2</f>
        <v>44012</v>
      </c>
    </row>
    <row r="4" spans="1:9" ht="13.5" thickBot="1">
      <c r="A4" s="2" t="s">
        <v>257</v>
      </c>
      <c r="B4" s="130" t="s">
        <v>381</v>
      </c>
    </row>
    <row r="5" spans="1:9">
      <c r="A5" s="131"/>
      <c r="B5" s="142"/>
      <c r="C5" s="247" t="s">
        <v>0</v>
      </c>
      <c r="D5" s="247" t="s">
        <v>1</v>
      </c>
      <c r="E5" s="247" t="s">
        <v>2</v>
      </c>
      <c r="F5" s="247" t="s">
        <v>3</v>
      </c>
      <c r="G5" s="248" t="s">
        <v>4</v>
      </c>
      <c r="H5" s="249" t="s">
        <v>5</v>
      </c>
      <c r="I5" s="143"/>
    </row>
    <row r="6" spans="1:9" s="143" customFormat="1" ht="12.75" customHeight="1">
      <c r="A6" s="144"/>
      <c r="B6" s="581" t="s">
        <v>256</v>
      </c>
      <c r="C6" s="583" t="s">
        <v>373</v>
      </c>
      <c r="D6" s="585" t="s">
        <v>372</v>
      </c>
      <c r="E6" s="586"/>
      <c r="F6" s="583" t="s">
        <v>377</v>
      </c>
      <c r="G6" s="583" t="s">
        <v>378</v>
      </c>
      <c r="H6" s="579" t="s">
        <v>376</v>
      </c>
    </row>
    <row r="7" spans="1:9" ht="38.25">
      <c r="A7" s="146"/>
      <c r="B7" s="582"/>
      <c r="C7" s="584"/>
      <c r="D7" s="250" t="s">
        <v>375</v>
      </c>
      <c r="E7" s="250" t="s">
        <v>374</v>
      </c>
      <c r="F7" s="584"/>
      <c r="G7" s="584"/>
      <c r="H7" s="580"/>
      <c r="I7" s="143"/>
    </row>
    <row r="8" spans="1:9">
      <c r="A8" s="144">
        <v>1</v>
      </c>
      <c r="B8" s="1" t="s">
        <v>96</v>
      </c>
      <c r="C8" s="251">
        <f>'11. CRWA '!C8+'11. CRWA '!E8+'11. CRWA '!G8+'11. CRWA '!I8+'11. CRWA '!K8+'11. CRWA '!M8+'11. CRWA '!O8+'11. CRWA '!Q8</f>
        <v>61702427.82315699</v>
      </c>
      <c r="D8" s="251"/>
      <c r="E8" s="251">
        <f>'11. CRWA '!D8+'11. CRWA '!F8+'11. CRWA '!H8+'11. CRWA '!J8+'11. CRWA '!L8+'11. CRWA '!N8+'11. CRWA '!P8+'11. CRWA '!R8</f>
        <v>0</v>
      </c>
      <c r="F8" s="251">
        <f>'11. CRWA '!S8</f>
        <v>42953610.004694603</v>
      </c>
      <c r="G8" s="253">
        <f>F8-'12. CRM'!V7</f>
        <v>42953610.004694603</v>
      </c>
      <c r="H8" s="449">
        <f>IFERROR(G8/(C8+E8),0)</f>
        <v>0.69614132733645961</v>
      </c>
    </row>
    <row r="9" spans="1:9" ht="15" customHeight="1">
      <c r="A9" s="144">
        <v>2</v>
      </c>
      <c r="B9" s="1" t="s">
        <v>97</v>
      </c>
      <c r="C9" s="251">
        <f>'11. CRWA '!C9+'11. CRWA '!E9+'11. CRWA '!G9+'11. CRWA '!I9+'11. CRWA '!K9+'11. CRWA '!M9+'11. CRWA '!O9+'11. CRWA '!Q9</f>
        <v>0</v>
      </c>
      <c r="D9" s="252"/>
      <c r="E9" s="251">
        <f>'11. CRWA '!D9+'11. CRWA '!F9+'11. CRWA '!H9+'11. CRWA '!J9+'11. CRWA '!L9+'11. CRWA '!N9+'11. CRWA '!P9+'11. CRWA '!R9</f>
        <v>0</v>
      </c>
      <c r="F9" s="251">
        <f>'11. CRWA '!S9</f>
        <v>0</v>
      </c>
      <c r="G9" s="253">
        <f>F9-'12. CRM'!V8</f>
        <v>0</v>
      </c>
      <c r="H9" s="449">
        <f t="shared" ref="H9:H21" si="0">IFERROR(G9/(C9+E9),0)</f>
        <v>0</v>
      </c>
    </row>
    <row r="10" spans="1:9">
      <c r="A10" s="144">
        <v>3</v>
      </c>
      <c r="B10" s="1" t="s">
        <v>275</v>
      </c>
      <c r="C10" s="251">
        <f>'11. CRWA '!C10+'11. CRWA '!E10+'11. CRWA '!G10+'11. CRWA '!I10+'11. CRWA '!K10+'11. CRWA '!M10+'11. CRWA '!O10+'11. CRWA '!Q10</f>
        <v>0</v>
      </c>
      <c r="D10" s="252"/>
      <c r="E10" s="251">
        <f>'11. CRWA '!D10+'11. CRWA '!F10+'11. CRWA '!H10+'11. CRWA '!J10+'11. CRWA '!L10+'11. CRWA '!N10+'11. CRWA '!P10+'11. CRWA '!R10</f>
        <v>0</v>
      </c>
      <c r="F10" s="251">
        <f>'11. CRWA '!S10</f>
        <v>0</v>
      </c>
      <c r="G10" s="253">
        <f>F10-'12. CRM'!V9</f>
        <v>0</v>
      </c>
      <c r="H10" s="449">
        <f t="shared" si="0"/>
        <v>0</v>
      </c>
    </row>
    <row r="11" spans="1:9">
      <c r="A11" s="144">
        <v>4</v>
      </c>
      <c r="B11" s="1" t="s">
        <v>98</v>
      </c>
      <c r="C11" s="251">
        <f>'11. CRWA '!C11+'11. CRWA '!E11+'11. CRWA '!G11+'11. CRWA '!I11+'11. CRWA '!K11+'11. CRWA '!M11+'11. CRWA '!O11+'11. CRWA '!Q11</f>
        <v>0</v>
      </c>
      <c r="D11" s="252"/>
      <c r="E11" s="251">
        <f>'11. CRWA '!D11+'11. CRWA '!F11+'11. CRWA '!H11+'11. CRWA '!J11+'11. CRWA '!L11+'11. CRWA '!N11+'11. CRWA '!P11+'11. CRWA '!R11</f>
        <v>0</v>
      </c>
      <c r="F11" s="251">
        <f>'11. CRWA '!S11</f>
        <v>0</v>
      </c>
      <c r="G11" s="253">
        <f>F11-'12. CRM'!V10</f>
        <v>0</v>
      </c>
      <c r="H11" s="449">
        <f t="shared" si="0"/>
        <v>0</v>
      </c>
    </row>
    <row r="12" spans="1:9">
      <c r="A12" s="144">
        <v>5</v>
      </c>
      <c r="B12" s="1" t="s">
        <v>99</v>
      </c>
      <c r="C12" s="251">
        <f>'11. CRWA '!C12+'11. CRWA '!E12+'11. CRWA '!G12+'11. CRWA '!I12+'11. CRWA '!K12+'11. CRWA '!M12+'11. CRWA '!O12+'11. CRWA '!Q12</f>
        <v>0</v>
      </c>
      <c r="D12" s="252"/>
      <c r="E12" s="251">
        <f>'11. CRWA '!D12+'11. CRWA '!F12+'11. CRWA '!H12+'11. CRWA '!J12+'11. CRWA '!L12+'11. CRWA '!N12+'11. CRWA '!P12+'11. CRWA '!R12</f>
        <v>0</v>
      </c>
      <c r="F12" s="251">
        <f>'11. CRWA '!S12</f>
        <v>0</v>
      </c>
      <c r="G12" s="253">
        <f>F12-'12. CRM'!V11</f>
        <v>0</v>
      </c>
      <c r="H12" s="449">
        <f t="shared" si="0"/>
        <v>0</v>
      </c>
    </row>
    <row r="13" spans="1:9">
      <c r="A13" s="144">
        <v>6</v>
      </c>
      <c r="B13" s="1" t="s">
        <v>100</v>
      </c>
      <c r="C13" s="251">
        <f>'11. CRWA '!C13+'11. CRWA '!E13+'11. CRWA '!G13+'11. CRWA '!I13+'11. CRWA '!K13+'11. CRWA '!M13+'11. CRWA '!O13+'11. CRWA '!Q13</f>
        <v>31845005.220403001</v>
      </c>
      <c r="D13" s="252">
        <f>'11. CRWA '!D13+'11. CRWA '!F13+'11. CRWA '!H13+'11. CRWA '!J13+'11. CRWA '!L13+'11. CRWA '!N13+'11. CRWA '!P13+'11. CRWA '!R13</f>
        <v>23862003.349999994</v>
      </c>
      <c r="E13" s="251">
        <f>'11. CRWA '!D13+'11. CRWA '!F13+'11. CRWA '!H13+'11. CRWA '!J13+'11. CRWA '!L13+'11. CRWA '!N13+'11. CRWA '!P13+'11. CRWA '!R13</f>
        <v>23862003.349999994</v>
      </c>
      <c r="F13" s="251">
        <f>'11. CRWA '!S13</f>
        <v>39869342.332874492</v>
      </c>
      <c r="G13" s="253">
        <f>F13-'12. CRM'!V12</f>
        <v>39869342.332874492</v>
      </c>
      <c r="H13" s="449">
        <f t="shared" si="0"/>
        <v>0.71569706139376121</v>
      </c>
    </row>
    <row r="14" spans="1:9">
      <c r="A14" s="144">
        <v>7</v>
      </c>
      <c r="B14" s="1" t="s">
        <v>101</v>
      </c>
      <c r="C14" s="251">
        <f>'11. CRWA '!C14+'11. CRWA '!E14+'11. CRWA '!G14+'11. CRWA '!I14+'11. CRWA '!K14+'11. CRWA '!M14+'11. CRWA '!O14+'11. CRWA '!Q14</f>
        <v>198378232.13699314</v>
      </c>
      <c r="D14" s="252">
        <f>'4. Off-Balance'!E7-D13</f>
        <v>48410636.300000012</v>
      </c>
      <c r="E14" s="251">
        <f>'11. CRWA '!D14+'11. CRWA '!F14+'11. CRWA '!H14+'11. CRWA '!J14+'11. CRWA '!L14+'11. CRWA '!N14+'11. CRWA '!P14+'11. CRWA '!R14</f>
        <v>20130630.350000001</v>
      </c>
      <c r="F14" s="251">
        <f>'11. CRWA '!S14</f>
        <v>218508862.48699313</v>
      </c>
      <c r="G14" s="253">
        <f>F14-'12. CRM'!V13</f>
        <v>217736149.52699313</v>
      </c>
      <c r="H14" s="449">
        <f t="shared" si="0"/>
        <v>0.99646369968153581</v>
      </c>
    </row>
    <row r="15" spans="1:9">
      <c r="A15" s="144">
        <v>8</v>
      </c>
      <c r="B15" s="1" t="s">
        <v>102</v>
      </c>
      <c r="C15" s="251">
        <f>'11. CRWA '!C15+'11. CRWA '!E15+'11. CRWA '!G15+'11. CRWA '!I15+'11. CRWA '!K15+'11. CRWA '!M15+'11. CRWA '!O15+'11. CRWA '!Q15</f>
        <v>0</v>
      </c>
      <c r="D15" s="252"/>
      <c r="E15" s="251">
        <f>'11. CRWA '!D15+'11. CRWA '!F15+'11. CRWA '!H15+'11. CRWA '!J15+'11. CRWA '!L15+'11. CRWA '!N15+'11. CRWA '!P15+'11. CRWA '!R15</f>
        <v>41966.625</v>
      </c>
      <c r="F15" s="251">
        <f>'11. CRWA '!S15</f>
        <v>41966.625</v>
      </c>
      <c r="G15" s="253">
        <f>F15-'12. CRM'!V14</f>
        <v>41966.625</v>
      </c>
      <c r="H15" s="449">
        <f t="shared" si="0"/>
        <v>1</v>
      </c>
    </row>
    <row r="16" spans="1:9">
      <c r="A16" s="144">
        <v>9</v>
      </c>
      <c r="B16" s="1" t="s">
        <v>103</v>
      </c>
      <c r="C16" s="251">
        <f>'11. CRWA '!C16+'11. CRWA '!E16+'11. CRWA '!G16+'11. CRWA '!I16+'11. CRWA '!K16+'11. CRWA '!M16+'11. CRWA '!O16+'11. CRWA '!Q16</f>
        <v>0</v>
      </c>
      <c r="D16" s="252"/>
      <c r="E16" s="251">
        <f>'11. CRWA '!D16+'11. CRWA '!F16+'11. CRWA '!H16+'11. CRWA '!J16+'11. CRWA '!L16+'11. CRWA '!N16+'11. CRWA '!P16+'11. CRWA '!R16</f>
        <v>0</v>
      </c>
      <c r="F16" s="251">
        <f>'11. CRWA '!S16</f>
        <v>0</v>
      </c>
      <c r="G16" s="253">
        <f>F16-'12. CRM'!V15</f>
        <v>0</v>
      </c>
      <c r="H16" s="449">
        <f t="shared" si="0"/>
        <v>0</v>
      </c>
    </row>
    <row r="17" spans="1:8">
      <c r="A17" s="144">
        <v>10</v>
      </c>
      <c r="B17" s="1" t="s">
        <v>104</v>
      </c>
      <c r="C17" s="251">
        <f>'11. CRWA '!C17+'11. CRWA '!E17+'11. CRWA '!G17+'11. CRWA '!I17+'11. CRWA '!K17+'11. CRWA '!M17+'11. CRWA '!O17+'11. CRWA '!Q17</f>
        <v>1916964.7410000029</v>
      </c>
      <c r="D17" s="252"/>
      <c r="E17" s="251">
        <f>'11. CRWA '!D17+'11. CRWA '!F17+'11. CRWA '!H17+'11. CRWA '!J17+'11. CRWA '!L17+'11. CRWA '!N17+'11. CRWA '!P17+'11. CRWA '!R17</f>
        <v>0</v>
      </c>
      <c r="F17" s="251">
        <f>'11. CRWA '!S17</f>
        <v>1916964.7410000029</v>
      </c>
      <c r="G17" s="253">
        <f>F17-'12. CRM'!V16</f>
        <v>1916964.7410000029</v>
      </c>
      <c r="H17" s="449">
        <f t="shared" si="0"/>
        <v>1</v>
      </c>
    </row>
    <row r="18" spans="1:8">
      <c r="A18" s="144">
        <v>11</v>
      </c>
      <c r="B18" s="1" t="s">
        <v>105</v>
      </c>
      <c r="C18" s="251">
        <f>'11. CRWA '!C18+'11. CRWA '!E18+'11. CRWA '!G18+'11. CRWA '!I18+'11. CRWA '!K18+'11. CRWA '!M18+'11. CRWA '!O18+'11. CRWA '!Q18</f>
        <v>0</v>
      </c>
      <c r="D18" s="252"/>
      <c r="E18" s="251">
        <f>'11. CRWA '!D18+'11. CRWA '!F18+'11. CRWA '!H18+'11. CRWA '!J18+'11. CRWA '!L18+'11. CRWA '!N18+'11. CRWA '!P18+'11. CRWA '!R18</f>
        <v>0</v>
      </c>
      <c r="F18" s="251">
        <f>'11. CRWA '!S18</f>
        <v>0</v>
      </c>
      <c r="G18" s="253">
        <f>F18-'12. CRM'!V17</f>
        <v>0</v>
      </c>
      <c r="H18" s="449">
        <f t="shared" si="0"/>
        <v>0</v>
      </c>
    </row>
    <row r="19" spans="1:8">
      <c r="A19" s="144">
        <v>12</v>
      </c>
      <c r="B19" s="1" t="s">
        <v>106</v>
      </c>
      <c r="C19" s="251">
        <f>'11. CRWA '!C19+'11. CRWA '!E19+'11. CRWA '!G19+'11. CRWA '!I19+'11. CRWA '!K19+'11. CRWA '!M19+'11. CRWA '!O19+'11. CRWA '!Q19</f>
        <v>0</v>
      </c>
      <c r="D19" s="252"/>
      <c r="E19" s="251">
        <f>'11. CRWA '!D19+'11. CRWA '!F19+'11. CRWA '!H19+'11. CRWA '!J19+'11. CRWA '!L19+'11. CRWA '!N19+'11. CRWA '!P19+'11. CRWA '!R19</f>
        <v>0</v>
      </c>
      <c r="F19" s="251">
        <f>'11. CRWA '!S19</f>
        <v>0</v>
      </c>
      <c r="G19" s="253">
        <f>F19-'12. CRM'!V18</f>
        <v>0</v>
      </c>
      <c r="H19" s="449">
        <f t="shared" si="0"/>
        <v>0</v>
      </c>
    </row>
    <row r="20" spans="1:8">
      <c r="A20" s="144">
        <v>13</v>
      </c>
      <c r="B20" s="1" t="s">
        <v>251</v>
      </c>
      <c r="C20" s="251">
        <f>'11. CRWA '!C20+'11. CRWA '!E20+'11. CRWA '!G20+'11. CRWA '!I20+'11. CRWA '!K20+'11. CRWA '!M20+'11. CRWA '!O20+'11. CRWA '!Q20</f>
        <v>0</v>
      </c>
      <c r="D20" s="252"/>
      <c r="E20" s="251">
        <f>'11. CRWA '!D20+'11. CRWA '!F20+'11. CRWA '!H20+'11. CRWA '!J20+'11. CRWA '!L20+'11. CRWA '!N20+'11. CRWA '!P20+'11. CRWA '!R20</f>
        <v>0</v>
      </c>
      <c r="F20" s="251">
        <f>'11. CRWA '!S20</f>
        <v>0</v>
      </c>
      <c r="G20" s="253">
        <f>F20-'12. CRM'!V19</f>
        <v>0</v>
      </c>
      <c r="H20" s="449">
        <f t="shared" si="0"/>
        <v>0</v>
      </c>
    </row>
    <row r="21" spans="1:8">
      <c r="A21" s="144">
        <v>14</v>
      </c>
      <c r="B21" s="1" t="s">
        <v>108</v>
      </c>
      <c r="C21" s="251">
        <f>'11. CRWA '!C21+'11. CRWA '!E21+'11. CRWA '!G21+'11. CRWA '!I21+'11. CRWA '!K21+'11. CRWA '!M21+'11. CRWA '!O21+'11. CRWA '!Q21</f>
        <v>15052835.27974664</v>
      </c>
      <c r="D21" s="252"/>
      <c r="E21" s="251">
        <f>'11. CRWA '!D21+'11. CRWA '!F21+'11. CRWA '!H21+'11. CRWA '!J21+'11. CRWA '!L21+'11. CRWA '!N21+'11. CRWA '!P21+'11. CRWA '!R21</f>
        <v>0</v>
      </c>
      <c r="F21" s="251">
        <f>'11. CRWA '!S21</f>
        <v>11355509.20974664</v>
      </c>
      <c r="G21" s="253">
        <f>F21-'12. CRM'!V20</f>
        <v>11355509.20974664</v>
      </c>
      <c r="H21" s="449">
        <f t="shared" si="0"/>
        <v>0.75437676681583732</v>
      </c>
    </row>
    <row r="22" spans="1:8" ht="13.5" thickBot="1">
      <c r="A22" s="147"/>
      <c r="B22" s="148" t="s">
        <v>109</v>
      </c>
      <c r="C22" s="448">
        <f>SUM(C8:C21)</f>
        <v>308895465.20129979</v>
      </c>
      <c r="D22" s="448">
        <f>SUM(D8:D21)</f>
        <v>72272639.650000006</v>
      </c>
      <c r="E22" s="448">
        <f>SUM(E8:E21)</f>
        <v>44034600.324999996</v>
      </c>
      <c r="F22" s="448">
        <f>SUM(F8:F21)</f>
        <v>314646255.40030885</v>
      </c>
      <c r="G22" s="448">
        <f>SUM(G8:G21)</f>
        <v>313873542.44030887</v>
      </c>
      <c r="H22" s="450"/>
    </row>
    <row r="23" spans="1:8">
      <c r="G23" s="534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40625" defaultRowHeight="12.75"/>
  <cols>
    <col min="1" max="1" width="10.5703125" style="246" bestFit="1" customWidth="1"/>
    <col min="2" max="2" width="104.140625" style="246" customWidth="1"/>
    <col min="3" max="9" width="12.7109375" style="246" customWidth="1"/>
    <col min="10" max="10" width="13.5703125" style="246" bestFit="1" customWidth="1"/>
    <col min="11" max="11" width="12.7109375" style="246" customWidth="1"/>
    <col min="12" max="16384" width="9.140625" style="246"/>
  </cols>
  <sheetData>
    <row r="1" spans="1:11">
      <c r="A1" s="337" t="s">
        <v>30</v>
      </c>
      <c r="B1" s="338" t="s">
        <v>439</v>
      </c>
    </row>
    <row r="2" spans="1:11">
      <c r="A2" s="337" t="s">
        <v>31</v>
      </c>
      <c r="B2" s="339">
        <f>'1. key ratios '!B2</f>
        <v>44012</v>
      </c>
      <c r="C2" s="267"/>
      <c r="D2" s="267"/>
    </row>
    <row r="3" spans="1:11">
      <c r="B3" s="267"/>
      <c r="C3" s="267"/>
      <c r="D3" s="267"/>
    </row>
    <row r="4" spans="1:11" ht="13.5" thickBot="1">
      <c r="A4" s="246" t="s">
        <v>253</v>
      </c>
      <c r="B4" s="293" t="s">
        <v>382</v>
      </c>
      <c r="C4" s="267"/>
      <c r="D4" s="267"/>
    </row>
    <row r="5" spans="1:11" ht="30" customHeight="1">
      <c r="A5" s="587"/>
      <c r="B5" s="588"/>
      <c r="C5" s="589" t="s">
        <v>436</v>
      </c>
      <c r="D5" s="590"/>
      <c r="E5" s="591"/>
      <c r="F5" s="589" t="s">
        <v>437</v>
      </c>
      <c r="G5" s="590"/>
      <c r="H5" s="591"/>
      <c r="I5" s="590" t="s">
        <v>438</v>
      </c>
      <c r="J5" s="590"/>
      <c r="K5" s="591"/>
    </row>
    <row r="6" spans="1:11">
      <c r="A6" s="268"/>
      <c r="B6" s="269"/>
      <c r="C6" s="481" t="s">
        <v>69</v>
      </c>
      <c r="D6" s="384" t="s">
        <v>70</v>
      </c>
      <c r="E6" s="397" t="s">
        <v>71</v>
      </c>
      <c r="F6" s="481" t="s">
        <v>69</v>
      </c>
      <c r="G6" s="384" t="s">
        <v>70</v>
      </c>
      <c r="H6" s="397" t="s">
        <v>71</v>
      </c>
      <c r="I6" s="475" t="s">
        <v>69</v>
      </c>
      <c r="J6" s="191" t="s">
        <v>70</v>
      </c>
      <c r="K6" s="191" t="s">
        <v>71</v>
      </c>
    </row>
    <row r="7" spans="1:11">
      <c r="A7" s="270" t="s">
        <v>385</v>
      </c>
      <c r="B7" s="271"/>
      <c r="C7" s="466"/>
      <c r="D7" s="271"/>
      <c r="E7" s="272"/>
      <c r="F7" s="466"/>
      <c r="G7" s="271"/>
      <c r="H7" s="272"/>
      <c r="I7" s="271"/>
      <c r="J7" s="271"/>
      <c r="K7" s="272"/>
    </row>
    <row r="8" spans="1:11">
      <c r="A8" s="273">
        <v>1</v>
      </c>
      <c r="B8" s="275" t="s">
        <v>383</v>
      </c>
      <c r="C8" s="482"/>
      <c r="D8" s="274"/>
      <c r="E8" s="303"/>
      <c r="F8" s="460">
        <v>29764252.891483523</v>
      </c>
      <c r="G8" s="472">
        <v>69130627.610988989</v>
      </c>
      <c r="H8" s="462">
        <f>F8+G8</f>
        <v>98894880.50247252</v>
      </c>
      <c r="I8" s="476">
        <v>28279521.723296721</v>
      </c>
      <c r="J8" s="472">
        <v>43123180.987967022</v>
      </c>
      <c r="K8" s="462">
        <f>I8+J8</f>
        <v>71402702.711263746</v>
      </c>
    </row>
    <row r="9" spans="1:11">
      <c r="A9" s="270" t="s">
        <v>386</v>
      </c>
      <c r="B9" s="271"/>
      <c r="C9" s="466"/>
      <c r="D9" s="271"/>
      <c r="E9" s="272"/>
      <c r="F9" s="466"/>
      <c r="G9" s="271"/>
      <c r="H9" s="272"/>
      <c r="I9" s="271"/>
      <c r="J9" s="271"/>
      <c r="K9" s="272"/>
    </row>
    <row r="10" spans="1:11">
      <c r="A10" s="276">
        <v>2</v>
      </c>
      <c r="B10" s="277" t="s">
        <v>394</v>
      </c>
      <c r="C10" s="460">
        <v>597355.62428571458</v>
      </c>
      <c r="D10" s="461">
        <v>22097164.164011534</v>
      </c>
      <c r="E10" s="462">
        <f>C10+D10</f>
        <v>22694519.788297247</v>
      </c>
      <c r="F10" s="460">
        <v>185687.56214890102</v>
      </c>
      <c r="G10" s="461">
        <v>5726776.6656644484</v>
      </c>
      <c r="H10" s="462">
        <f>F10+G10</f>
        <v>5912464.2278133491</v>
      </c>
      <c r="I10" s="476">
        <v>33124.937554945041</v>
      </c>
      <c r="J10" s="461">
        <v>1476109.3406154385</v>
      </c>
      <c r="K10" s="462">
        <f>I10+J10</f>
        <v>1509234.2781703835</v>
      </c>
    </row>
    <row r="11" spans="1:11">
      <c r="A11" s="276">
        <v>3</v>
      </c>
      <c r="B11" s="277" t="s">
        <v>388</v>
      </c>
      <c r="C11" s="460">
        <v>8121062.6222527549</v>
      </c>
      <c r="D11" s="461">
        <v>166941153.29751641</v>
      </c>
      <c r="E11" s="462">
        <f>C11+D11</f>
        <v>175062215.91976917</v>
      </c>
      <c r="F11" s="460">
        <v>4143871.5911840652</v>
      </c>
      <c r="G11" s="460">
        <v>53839810.687063232</v>
      </c>
      <c r="H11" s="462">
        <f>F11+G11</f>
        <v>57983682.278247297</v>
      </c>
      <c r="I11" s="476">
        <v>2995834.9514285685</v>
      </c>
      <c r="J11" s="460">
        <v>60355873.169653885</v>
      </c>
      <c r="K11" s="462">
        <f>I11+J11</f>
        <v>63351708.121082455</v>
      </c>
    </row>
    <row r="12" spans="1:11">
      <c r="A12" s="276">
        <v>4</v>
      </c>
      <c r="B12" s="277" t="s">
        <v>389</v>
      </c>
      <c r="C12" s="463"/>
      <c r="D12" s="277"/>
      <c r="E12" s="278"/>
      <c r="F12" s="463"/>
      <c r="G12" s="277"/>
      <c r="H12" s="278"/>
      <c r="I12" s="477"/>
      <c r="J12" s="277"/>
      <c r="K12" s="278"/>
    </row>
    <row r="13" spans="1:11">
      <c r="A13" s="276">
        <v>5</v>
      </c>
      <c r="B13" s="277" t="s">
        <v>397</v>
      </c>
      <c r="C13" s="460">
        <v>30274277.251791209</v>
      </c>
      <c r="D13" s="461">
        <v>35554338.323463745</v>
      </c>
      <c r="E13" s="462">
        <f>C13+D13</f>
        <v>65828615.575254954</v>
      </c>
      <c r="F13" s="460">
        <v>3047920.8226946178</v>
      </c>
      <c r="G13" s="461">
        <v>3673643.9349696715</v>
      </c>
      <c r="H13" s="462">
        <f>F13+G13</f>
        <v>6721564.7576642893</v>
      </c>
      <c r="I13" s="476">
        <v>1518447.4010510987</v>
      </c>
      <c r="J13" s="461">
        <v>1780566.3777116495</v>
      </c>
      <c r="K13" s="462">
        <f>I13+J13</f>
        <v>3299013.7787627485</v>
      </c>
    </row>
    <row r="14" spans="1:11">
      <c r="A14" s="276">
        <v>6</v>
      </c>
      <c r="B14" s="277" t="s">
        <v>431</v>
      </c>
      <c r="C14" s="463"/>
      <c r="D14" s="277"/>
      <c r="E14" s="278"/>
      <c r="F14" s="463"/>
      <c r="G14" s="277"/>
      <c r="H14" s="278"/>
      <c r="I14" s="477"/>
      <c r="J14" s="277"/>
      <c r="K14" s="278"/>
    </row>
    <row r="15" spans="1:11">
      <c r="A15" s="276">
        <v>7</v>
      </c>
      <c r="B15" s="277" t="s">
        <v>432</v>
      </c>
      <c r="C15" s="460">
        <v>512885.37989011011</v>
      </c>
      <c r="D15" s="461">
        <v>1346299.8838461547</v>
      </c>
      <c r="E15" s="462">
        <f>C15+D15</f>
        <v>1859185.2637362648</v>
      </c>
      <c r="F15" s="460">
        <v>0</v>
      </c>
      <c r="G15" s="461">
        <v>79464.725274725279</v>
      </c>
      <c r="H15" s="462">
        <f>F15+G15</f>
        <v>79464.725274725279</v>
      </c>
      <c r="I15" s="476">
        <v>0</v>
      </c>
      <c r="J15" s="461">
        <v>0</v>
      </c>
      <c r="K15" s="462">
        <f>I15+J15</f>
        <v>0</v>
      </c>
    </row>
    <row r="16" spans="1:11">
      <c r="A16" s="276">
        <v>8</v>
      </c>
      <c r="B16" s="473" t="s">
        <v>390</v>
      </c>
      <c r="C16" s="464">
        <f>SUM(C10:C15)</f>
        <v>39505580.878219783</v>
      </c>
      <c r="D16" s="465">
        <f>SUM(D10:D15)</f>
        <v>225938955.66883785</v>
      </c>
      <c r="E16" s="462">
        <f>C16+D16</f>
        <v>265444536.54705763</v>
      </c>
      <c r="F16" s="464">
        <f>SUM(F10:F15)</f>
        <v>7377479.9760275837</v>
      </c>
      <c r="G16" s="465">
        <f>SUM(G10:G15)</f>
        <v>63319696.012972079</v>
      </c>
      <c r="H16" s="462">
        <f>F16+G16</f>
        <v>70697175.988999665</v>
      </c>
      <c r="I16" s="478">
        <f>SUM(I10:I15)</f>
        <v>4547407.2900346126</v>
      </c>
      <c r="J16" s="465">
        <f>SUM(J10:J15)</f>
        <v>63612548.887980968</v>
      </c>
      <c r="K16" s="462">
        <f>I16+J16</f>
        <v>68159956.178015575</v>
      </c>
    </row>
    <row r="17" spans="1:11">
      <c r="A17" s="270" t="s">
        <v>387</v>
      </c>
      <c r="B17" s="271"/>
      <c r="C17" s="466"/>
      <c r="D17" s="271"/>
      <c r="E17" s="272"/>
      <c r="F17" s="466"/>
      <c r="G17" s="271"/>
      <c r="H17" s="272"/>
      <c r="I17" s="271"/>
      <c r="J17" s="271"/>
      <c r="K17" s="272"/>
    </row>
    <row r="18" spans="1:11">
      <c r="A18" s="276">
        <v>9</v>
      </c>
      <c r="B18" s="277" t="s">
        <v>393</v>
      </c>
      <c r="C18" s="463"/>
      <c r="D18" s="277"/>
      <c r="E18" s="462">
        <f>C18+D18</f>
        <v>0</v>
      </c>
      <c r="F18" s="463"/>
      <c r="G18" s="277"/>
      <c r="H18" s="462">
        <f>F18+G18</f>
        <v>0</v>
      </c>
      <c r="I18" s="477"/>
      <c r="J18" s="277"/>
      <c r="K18" s="462">
        <f>I18+J18</f>
        <v>0</v>
      </c>
    </row>
    <row r="19" spans="1:11">
      <c r="A19" s="276">
        <v>10</v>
      </c>
      <c r="B19" s="277" t="s">
        <v>433</v>
      </c>
      <c r="C19" s="460">
        <v>58155046.326716498</v>
      </c>
      <c r="D19" s="461">
        <v>130253820.67854431</v>
      </c>
      <c r="E19" s="462">
        <f>C19+D19</f>
        <v>188408867.00526083</v>
      </c>
      <c r="F19" s="460">
        <v>3307745.157995604</v>
      </c>
      <c r="G19" s="461">
        <v>3504273.58167418</v>
      </c>
      <c r="H19" s="462">
        <f>F19+G19</f>
        <v>6812018.739669784</v>
      </c>
      <c r="I19" s="476">
        <v>4760497.8215670334</v>
      </c>
      <c r="J19" s="461">
        <v>30493826.405238319</v>
      </c>
      <c r="K19" s="462">
        <f>I19+J19</f>
        <v>35254324.226805352</v>
      </c>
    </row>
    <row r="20" spans="1:11">
      <c r="A20" s="276">
        <v>11</v>
      </c>
      <c r="B20" s="277" t="s">
        <v>392</v>
      </c>
      <c r="C20" s="467">
        <v>1118619.4235345118</v>
      </c>
      <c r="D20" s="468">
        <v>3840858.5898432108</v>
      </c>
      <c r="E20" s="462">
        <f>C20+D20</f>
        <v>4959478.0133777224</v>
      </c>
      <c r="F20" s="467">
        <v>309379.88735723909</v>
      </c>
      <c r="G20" s="468">
        <v>39726.412831807073</v>
      </c>
      <c r="H20" s="462">
        <f>F20+G20</f>
        <v>349106.30018904619</v>
      </c>
      <c r="I20" s="479">
        <v>309379.88735723909</v>
      </c>
      <c r="J20" s="468">
        <v>39726.412831807073</v>
      </c>
      <c r="K20" s="462">
        <f>I20+J20</f>
        <v>349106.30018904619</v>
      </c>
    </row>
    <row r="21" spans="1:11" ht="13.5" thickBot="1">
      <c r="A21" s="279">
        <v>12</v>
      </c>
      <c r="B21" s="474" t="s">
        <v>391</v>
      </c>
      <c r="C21" s="469">
        <f>SUM(C18:C20)</f>
        <v>59273665.75025101</v>
      </c>
      <c r="D21" s="470">
        <f>SUM(D18:D20)</f>
        <v>134094679.26838753</v>
      </c>
      <c r="E21" s="471">
        <f>C21+D21</f>
        <v>193368345.01863855</v>
      </c>
      <c r="F21" s="469">
        <f>SUM(F18:F20)</f>
        <v>3617125.0453528431</v>
      </c>
      <c r="G21" s="470">
        <f>SUM(G18:G20)</f>
        <v>3543999.994505987</v>
      </c>
      <c r="H21" s="471">
        <f>F21+G21</f>
        <v>7161125.0398588302</v>
      </c>
      <c r="I21" s="480">
        <f>SUM(I18:I20)</f>
        <v>5069877.7089242721</v>
      </c>
      <c r="J21" s="470">
        <f>SUM(J18:J20)</f>
        <v>30533552.818070125</v>
      </c>
      <c r="K21" s="471">
        <f>I21+J21</f>
        <v>35603430.5269944</v>
      </c>
    </row>
    <row r="22" spans="1:11" ht="38.25" customHeight="1" thickBot="1">
      <c r="A22" s="280"/>
      <c r="B22" s="281"/>
      <c r="C22" s="281"/>
      <c r="D22" s="281"/>
      <c r="E22" s="281"/>
      <c r="F22" s="592" t="s">
        <v>435</v>
      </c>
      <c r="G22" s="593"/>
      <c r="H22" s="593"/>
      <c r="I22" s="592" t="s">
        <v>398</v>
      </c>
      <c r="J22" s="593"/>
      <c r="K22" s="594"/>
    </row>
    <row r="23" spans="1:11">
      <c r="A23" s="282">
        <v>13</v>
      </c>
      <c r="B23" s="283" t="s">
        <v>383</v>
      </c>
      <c r="C23" s="284"/>
      <c r="D23" s="284"/>
      <c r="E23" s="284"/>
      <c r="F23" s="451">
        <f>F8</f>
        <v>29764252.891483523</v>
      </c>
      <c r="G23" s="452">
        <f>G8</f>
        <v>69130627.610988989</v>
      </c>
      <c r="H23" s="453">
        <f>F23+G23</f>
        <v>98894880.50247252</v>
      </c>
      <c r="I23" s="451">
        <f>I8</f>
        <v>28279521.723296721</v>
      </c>
      <c r="J23" s="452">
        <f>J8</f>
        <v>43123180.987967022</v>
      </c>
      <c r="K23" s="453">
        <f t="shared" ref="K23" si="0">I23+J23</f>
        <v>71402702.711263746</v>
      </c>
    </row>
    <row r="24" spans="1:11" ht="13.5" thickBot="1">
      <c r="A24" s="285">
        <v>14</v>
      </c>
      <c r="B24" s="286" t="s">
        <v>395</v>
      </c>
      <c r="C24" s="287"/>
      <c r="D24" s="288"/>
      <c r="E24" s="289"/>
      <c r="F24" s="454">
        <f>F16-F21</f>
        <v>3760354.9306747406</v>
      </c>
      <c r="G24" s="455">
        <f>G16-G21</f>
        <v>59775696.018466093</v>
      </c>
      <c r="H24" s="456">
        <f>F24+G24</f>
        <v>63536050.949140832</v>
      </c>
      <c r="I24" s="531">
        <f>I16-MIN(I16*75%,I21)</f>
        <v>1136851.8225086532</v>
      </c>
      <c r="J24" s="532">
        <f>J16-MIN(J16*75%,J21)</f>
        <v>33078996.069910843</v>
      </c>
      <c r="K24" s="456">
        <f>I24+J24</f>
        <v>34215847.892419495</v>
      </c>
    </row>
    <row r="25" spans="1:11" ht="13.5" thickBot="1">
      <c r="A25" s="290">
        <v>15</v>
      </c>
      <c r="B25" s="291" t="s">
        <v>396</v>
      </c>
      <c r="C25" s="292"/>
      <c r="D25" s="292"/>
      <c r="E25" s="292"/>
      <c r="F25" s="457">
        <f>F23/F24</f>
        <v>7.9152775310342216</v>
      </c>
      <c r="G25" s="458">
        <f t="shared" ref="G25:H25" si="1">G23/G24</f>
        <v>1.1565005882931576</v>
      </c>
      <c r="H25" s="459">
        <f t="shared" si="1"/>
        <v>1.5565160098104873</v>
      </c>
      <c r="I25" s="457">
        <f>I23/I24</f>
        <v>24.875292596086304</v>
      </c>
      <c r="J25" s="458">
        <f>J23/J24</f>
        <v>1.3036423746605939</v>
      </c>
      <c r="K25" s="459">
        <f>K23/K24</f>
        <v>2.0868313109108421</v>
      </c>
    </row>
    <row r="27" spans="1:11" ht="25.5">
      <c r="B27" s="266" t="s">
        <v>434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2.5703125" style="4" bestFit="1" customWidth="1"/>
    <col min="4" max="4" width="11.42578125" style="4" customWidth="1"/>
    <col min="5" max="5" width="18.28515625" style="4" bestFit="1" customWidth="1"/>
    <col min="6" max="13" width="12.7109375" style="4" customWidth="1"/>
    <col min="14" max="14" width="31" style="4" bestFit="1" customWidth="1"/>
    <col min="15" max="16384" width="9.140625" style="29"/>
  </cols>
  <sheetData>
    <row r="1" spans="1:14">
      <c r="A1" s="337" t="s">
        <v>30</v>
      </c>
      <c r="B1" s="338" t="s">
        <v>439</v>
      </c>
    </row>
    <row r="2" spans="1:14" ht="14.25" customHeight="1">
      <c r="A2" s="337" t="s">
        <v>31</v>
      </c>
      <c r="B2" s="339">
        <f>'1. key ratios '!B2</f>
        <v>44012</v>
      </c>
    </row>
    <row r="3" spans="1:14" ht="14.25" customHeight="1"/>
    <row r="4" spans="1:14" ht="13.5" thickBot="1">
      <c r="A4" s="4" t="s">
        <v>269</v>
      </c>
      <c r="B4" s="212" t="s">
        <v>28</v>
      </c>
    </row>
    <row r="5" spans="1:14" s="154" customFormat="1">
      <c r="A5" s="150"/>
      <c r="B5" s="151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5</v>
      </c>
      <c r="I5" s="152" t="s">
        <v>8</v>
      </c>
      <c r="J5" s="152" t="s">
        <v>9</v>
      </c>
      <c r="K5" s="152" t="s">
        <v>10</v>
      </c>
      <c r="L5" s="152" t="s">
        <v>11</v>
      </c>
      <c r="M5" s="152" t="s">
        <v>12</v>
      </c>
      <c r="N5" s="153" t="s">
        <v>13</v>
      </c>
    </row>
    <row r="6" spans="1:14" ht="25.5">
      <c r="A6" s="155"/>
      <c r="B6" s="156"/>
      <c r="C6" s="157" t="s">
        <v>268</v>
      </c>
      <c r="D6" s="158" t="s">
        <v>267</v>
      </c>
      <c r="E6" s="159" t="s">
        <v>266</v>
      </c>
      <c r="F6" s="160">
        <v>0</v>
      </c>
      <c r="G6" s="160">
        <v>0.2</v>
      </c>
      <c r="H6" s="160">
        <v>0.35</v>
      </c>
      <c r="I6" s="160">
        <v>0.5</v>
      </c>
      <c r="J6" s="160">
        <v>0.75</v>
      </c>
      <c r="K6" s="160">
        <v>1</v>
      </c>
      <c r="L6" s="160">
        <v>1.5</v>
      </c>
      <c r="M6" s="160">
        <v>2.5</v>
      </c>
      <c r="N6" s="211" t="s">
        <v>281</v>
      </c>
    </row>
    <row r="7" spans="1:14" ht="15">
      <c r="A7" s="161">
        <v>1</v>
      </c>
      <c r="B7" s="162" t="s">
        <v>265</v>
      </c>
      <c r="C7" s="163">
        <f>SUM(C8:C13)</f>
        <v>0</v>
      </c>
      <c r="D7" s="156"/>
      <c r="E7" s="164">
        <f t="shared" ref="E7:M7" si="0">SUM(E8:E13)</f>
        <v>0</v>
      </c>
      <c r="F7" s="165">
        <f>SUM(F8:F13)</f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0</v>
      </c>
      <c r="K7" s="165">
        <f t="shared" si="0"/>
        <v>0</v>
      </c>
      <c r="L7" s="165">
        <f t="shared" si="0"/>
        <v>0</v>
      </c>
      <c r="M7" s="165">
        <f t="shared" si="0"/>
        <v>0</v>
      </c>
      <c r="N7" s="166">
        <f>SUM(N8:N13)</f>
        <v>0</v>
      </c>
    </row>
    <row r="8" spans="1:14" ht="14.25">
      <c r="A8" s="161">
        <v>1.1000000000000001</v>
      </c>
      <c r="B8" s="167" t="s">
        <v>263</v>
      </c>
      <c r="C8" s="165">
        <v>0</v>
      </c>
      <c r="D8" s="168">
        <v>0.02</v>
      </c>
      <c r="E8" s="164">
        <f>C8*D8</f>
        <v>0</v>
      </c>
      <c r="F8" s="165"/>
      <c r="G8" s="165"/>
      <c r="H8" s="165"/>
      <c r="I8" s="165"/>
      <c r="J8" s="165"/>
      <c r="K8" s="165">
        <v>0</v>
      </c>
      <c r="L8" s="165"/>
      <c r="M8" s="165"/>
      <c r="N8" s="166">
        <f>SUMPRODUCT($F$6:$M$6,F8:M8)</f>
        <v>0</v>
      </c>
    </row>
    <row r="9" spans="1:14" ht="14.25">
      <c r="A9" s="161">
        <v>1.2</v>
      </c>
      <c r="B9" s="167" t="s">
        <v>262</v>
      </c>
      <c r="C9" s="165">
        <v>0</v>
      </c>
      <c r="D9" s="168">
        <v>0.05</v>
      </c>
      <c r="E9" s="164">
        <f>C9*D9</f>
        <v>0</v>
      </c>
      <c r="F9" s="165"/>
      <c r="G9" s="165"/>
      <c r="H9" s="165"/>
      <c r="I9" s="165"/>
      <c r="J9" s="165"/>
      <c r="K9" s="165"/>
      <c r="L9" s="165"/>
      <c r="M9" s="165"/>
      <c r="N9" s="166">
        <f t="shared" ref="N9:N12" si="1">SUMPRODUCT($F$6:$M$6,F9:M9)</f>
        <v>0</v>
      </c>
    </row>
    <row r="10" spans="1:14" ht="14.25">
      <c r="A10" s="161">
        <v>1.3</v>
      </c>
      <c r="B10" s="167" t="s">
        <v>261</v>
      </c>
      <c r="C10" s="165">
        <v>0</v>
      </c>
      <c r="D10" s="168">
        <v>0.08</v>
      </c>
      <c r="E10" s="164">
        <f>C10*D10</f>
        <v>0</v>
      </c>
      <c r="F10" s="165"/>
      <c r="G10" s="165"/>
      <c r="H10" s="165"/>
      <c r="I10" s="165"/>
      <c r="J10" s="165"/>
      <c r="K10" s="165"/>
      <c r="L10" s="165"/>
      <c r="M10" s="165"/>
      <c r="N10" s="166">
        <f>SUMPRODUCT($F$6:$M$6,F10:M10)</f>
        <v>0</v>
      </c>
    </row>
    <row r="11" spans="1:14" ht="14.25">
      <c r="A11" s="161">
        <v>1.4</v>
      </c>
      <c r="B11" s="167" t="s">
        <v>260</v>
      </c>
      <c r="C11" s="165">
        <v>0</v>
      </c>
      <c r="D11" s="168">
        <v>0.11</v>
      </c>
      <c r="E11" s="164">
        <f>C11*D11</f>
        <v>0</v>
      </c>
      <c r="F11" s="165"/>
      <c r="G11" s="165"/>
      <c r="H11" s="165"/>
      <c r="I11" s="165"/>
      <c r="J11" s="165"/>
      <c r="K11" s="165"/>
      <c r="L11" s="165"/>
      <c r="M11" s="165"/>
      <c r="N11" s="166">
        <f t="shared" si="1"/>
        <v>0</v>
      </c>
    </row>
    <row r="12" spans="1:14" ht="14.25">
      <c r="A12" s="161">
        <v>1.5</v>
      </c>
      <c r="B12" s="167" t="s">
        <v>259</v>
      </c>
      <c r="C12" s="165">
        <v>0</v>
      </c>
      <c r="D12" s="168">
        <v>0.14000000000000001</v>
      </c>
      <c r="E12" s="164">
        <f>C12*D12</f>
        <v>0</v>
      </c>
      <c r="F12" s="165"/>
      <c r="G12" s="165"/>
      <c r="H12" s="165"/>
      <c r="I12" s="165"/>
      <c r="J12" s="165"/>
      <c r="K12" s="165"/>
      <c r="L12" s="165"/>
      <c r="M12" s="165"/>
      <c r="N12" s="166">
        <f t="shared" si="1"/>
        <v>0</v>
      </c>
    </row>
    <row r="13" spans="1:14" ht="14.25">
      <c r="A13" s="161">
        <v>1.6</v>
      </c>
      <c r="B13" s="169" t="s">
        <v>258</v>
      </c>
      <c r="C13" s="165">
        <v>0</v>
      </c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6">
        <f>SUMPRODUCT($F$6:$M$6,F13:M13)</f>
        <v>0</v>
      </c>
    </row>
    <row r="14" spans="1:14" ht="15">
      <c r="A14" s="161">
        <v>2</v>
      </c>
      <c r="B14" s="171" t="s">
        <v>264</v>
      </c>
      <c r="C14" s="163">
        <f>SUM(C15:C20)</f>
        <v>0</v>
      </c>
      <c r="D14" s="156"/>
      <c r="E14" s="164">
        <f t="shared" ref="E14:M14" si="2">SUM(E15:E20)</f>
        <v>0</v>
      </c>
      <c r="F14" s="165">
        <f t="shared" si="2"/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6">
        <f>SUM(N15:N20)</f>
        <v>0</v>
      </c>
    </row>
    <row r="15" spans="1:14" ht="14.25">
      <c r="A15" s="161">
        <v>2.1</v>
      </c>
      <c r="B15" s="169" t="s">
        <v>263</v>
      </c>
      <c r="C15" s="165"/>
      <c r="D15" s="168">
        <v>5.0000000000000001E-3</v>
      </c>
      <c r="E15" s="164">
        <f>C15*D15</f>
        <v>0</v>
      </c>
      <c r="F15" s="165"/>
      <c r="G15" s="165"/>
      <c r="H15" s="165"/>
      <c r="I15" s="165"/>
      <c r="J15" s="165"/>
      <c r="K15" s="165"/>
      <c r="L15" s="165"/>
      <c r="M15" s="165"/>
      <c r="N15" s="166">
        <f>SUMPRODUCT($F$6:$M$6,F15:M15)</f>
        <v>0</v>
      </c>
    </row>
    <row r="16" spans="1:14" ht="14.25">
      <c r="A16" s="161">
        <v>2.2000000000000002</v>
      </c>
      <c r="B16" s="169" t="s">
        <v>262</v>
      </c>
      <c r="C16" s="165"/>
      <c r="D16" s="168">
        <v>0.01</v>
      </c>
      <c r="E16" s="164">
        <f>C16*D16</f>
        <v>0</v>
      </c>
      <c r="F16" s="165"/>
      <c r="G16" s="165"/>
      <c r="H16" s="165"/>
      <c r="I16" s="165"/>
      <c r="J16" s="165"/>
      <c r="K16" s="165"/>
      <c r="L16" s="165"/>
      <c r="M16" s="165"/>
      <c r="N16" s="166">
        <f t="shared" ref="N16:N20" si="3">SUMPRODUCT($F$6:$M$6,F16:M16)</f>
        <v>0</v>
      </c>
    </row>
    <row r="17" spans="1:14" ht="14.25">
      <c r="A17" s="161">
        <v>2.2999999999999998</v>
      </c>
      <c r="B17" s="169" t="s">
        <v>261</v>
      </c>
      <c r="C17" s="165"/>
      <c r="D17" s="168">
        <v>0.02</v>
      </c>
      <c r="E17" s="164">
        <f>C17*D17</f>
        <v>0</v>
      </c>
      <c r="F17" s="165"/>
      <c r="G17" s="165"/>
      <c r="H17" s="165"/>
      <c r="I17" s="165"/>
      <c r="J17" s="165"/>
      <c r="K17" s="165"/>
      <c r="L17" s="165"/>
      <c r="M17" s="165"/>
      <c r="N17" s="166">
        <f t="shared" si="3"/>
        <v>0</v>
      </c>
    </row>
    <row r="18" spans="1:14" ht="14.25">
      <c r="A18" s="161">
        <v>2.4</v>
      </c>
      <c r="B18" s="169" t="s">
        <v>260</v>
      </c>
      <c r="C18" s="165"/>
      <c r="D18" s="168">
        <v>0.03</v>
      </c>
      <c r="E18" s="164">
        <f>C18*D18</f>
        <v>0</v>
      </c>
      <c r="F18" s="165"/>
      <c r="G18" s="165"/>
      <c r="H18" s="165"/>
      <c r="I18" s="165"/>
      <c r="J18" s="165"/>
      <c r="K18" s="165"/>
      <c r="L18" s="165"/>
      <c r="M18" s="165"/>
      <c r="N18" s="166">
        <f t="shared" si="3"/>
        <v>0</v>
      </c>
    </row>
    <row r="19" spans="1:14" ht="14.25">
      <c r="A19" s="161">
        <v>2.5</v>
      </c>
      <c r="B19" s="169" t="s">
        <v>259</v>
      </c>
      <c r="C19" s="165"/>
      <c r="D19" s="168">
        <v>0.04</v>
      </c>
      <c r="E19" s="164">
        <f>C19*D19</f>
        <v>0</v>
      </c>
      <c r="F19" s="165"/>
      <c r="G19" s="165"/>
      <c r="H19" s="165"/>
      <c r="I19" s="165"/>
      <c r="J19" s="165"/>
      <c r="K19" s="165"/>
      <c r="L19" s="165"/>
      <c r="M19" s="165"/>
      <c r="N19" s="166">
        <f t="shared" si="3"/>
        <v>0</v>
      </c>
    </row>
    <row r="20" spans="1:14" ht="14.25">
      <c r="A20" s="161">
        <v>2.6</v>
      </c>
      <c r="B20" s="169" t="s">
        <v>258</v>
      </c>
      <c r="C20" s="165"/>
      <c r="D20" s="170"/>
      <c r="E20" s="172"/>
      <c r="F20" s="165"/>
      <c r="G20" s="165"/>
      <c r="H20" s="165"/>
      <c r="I20" s="165"/>
      <c r="J20" s="165"/>
      <c r="K20" s="165"/>
      <c r="L20" s="165"/>
      <c r="M20" s="165"/>
      <c r="N20" s="166">
        <f t="shared" si="3"/>
        <v>0</v>
      </c>
    </row>
    <row r="21" spans="1:14" ht="15.75" thickBot="1">
      <c r="A21" s="173"/>
      <c r="B21" s="174" t="s">
        <v>109</v>
      </c>
      <c r="C21" s="149">
        <f>C14+C7</f>
        <v>0</v>
      </c>
      <c r="D21" s="175"/>
      <c r="E21" s="176">
        <f>E14+E7</f>
        <v>0</v>
      </c>
      <c r="F21" s="177">
        <f>F7+F14</f>
        <v>0</v>
      </c>
      <c r="G21" s="177">
        <f t="shared" ref="G21:L21" si="4">G7+G14</f>
        <v>0</v>
      </c>
      <c r="H21" s="177">
        <f t="shared" si="4"/>
        <v>0</v>
      </c>
      <c r="I21" s="177">
        <f t="shared" si="4"/>
        <v>0</v>
      </c>
      <c r="J21" s="177">
        <f t="shared" si="4"/>
        <v>0</v>
      </c>
      <c r="K21" s="177">
        <f t="shared" si="4"/>
        <v>0</v>
      </c>
      <c r="L21" s="177">
        <f t="shared" si="4"/>
        <v>0</v>
      </c>
      <c r="M21" s="177">
        <f>M7+M14</f>
        <v>0</v>
      </c>
      <c r="N21" s="178">
        <f>N14+N7</f>
        <v>0</v>
      </c>
    </row>
    <row r="22" spans="1:14">
      <c r="E22" s="179"/>
      <c r="F22" s="179"/>
      <c r="G22" s="179"/>
      <c r="H22" s="179"/>
      <c r="I22" s="179"/>
      <c r="J22" s="179"/>
      <c r="K22" s="179"/>
      <c r="L22" s="179"/>
      <c r="M22" s="179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zoomScaleNormal="100" workbookViewId="0">
      <selection activeCell="B4" sqref="B4"/>
    </sheetView>
  </sheetViews>
  <sheetFormatPr defaultRowHeight="15"/>
  <cols>
    <col min="1" max="1" width="11.42578125" customWidth="1"/>
    <col min="2" max="2" width="76.85546875" style="528" customWidth="1"/>
    <col min="3" max="3" width="22.85546875" customWidth="1"/>
  </cols>
  <sheetData>
    <row r="1" spans="1:3">
      <c r="A1" s="337" t="s">
        <v>30</v>
      </c>
      <c r="B1" s="338" t="s">
        <v>439</v>
      </c>
    </row>
    <row r="2" spans="1:3">
      <c r="A2" s="337" t="s">
        <v>31</v>
      </c>
      <c r="B2" s="339">
        <f>'1. key ratios '!B2</f>
        <v>44012</v>
      </c>
    </row>
    <row r="3" spans="1:3">
      <c r="A3" s="4"/>
      <c r="B3"/>
    </row>
    <row r="4" spans="1:3">
      <c r="A4" s="4" t="s">
        <v>456</v>
      </c>
      <c r="B4" t="s">
        <v>457</v>
      </c>
    </row>
    <row r="5" spans="1:3">
      <c r="A5" s="497" t="s">
        <v>458</v>
      </c>
      <c r="B5" s="498"/>
      <c r="C5" s="499"/>
    </row>
    <row r="6" spans="1:3" ht="24">
      <c r="A6" s="500">
        <v>1</v>
      </c>
      <c r="B6" s="501" t="s">
        <v>516</v>
      </c>
      <c r="C6" s="502">
        <v>304398272.05129987</v>
      </c>
    </row>
    <row r="7" spans="1:3">
      <c r="A7" s="500">
        <v>2</v>
      </c>
      <c r="B7" s="501" t="s">
        <v>459</v>
      </c>
      <c r="C7" s="502">
        <f>-('9.Capital'!C15)</f>
        <v>-57590.84999999986</v>
      </c>
    </row>
    <row r="8" spans="1:3" ht="24">
      <c r="A8" s="503">
        <v>3</v>
      </c>
      <c r="B8" s="504" t="s">
        <v>460</v>
      </c>
      <c r="C8" s="502">
        <f>C6+C7</f>
        <v>304340681.20129985</v>
      </c>
    </row>
    <row r="9" spans="1:3">
      <c r="A9" s="497" t="s">
        <v>461</v>
      </c>
      <c r="B9" s="498"/>
      <c r="C9" s="505"/>
    </row>
    <row r="10" spans="1:3" ht="24">
      <c r="A10" s="506">
        <v>4</v>
      </c>
      <c r="B10" s="507" t="s">
        <v>462</v>
      </c>
      <c r="C10" s="502"/>
    </row>
    <row r="11" spans="1:3">
      <c r="A11" s="506">
        <v>5</v>
      </c>
      <c r="B11" s="508" t="s">
        <v>463</v>
      </c>
      <c r="C11" s="502"/>
    </row>
    <row r="12" spans="1:3">
      <c r="A12" s="506" t="s">
        <v>464</v>
      </c>
      <c r="B12" s="508" t="s">
        <v>465</v>
      </c>
      <c r="C12" s="502">
        <f>'15. CCR '!N21</f>
        <v>0</v>
      </c>
    </row>
    <row r="13" spans="1:3" ht="24">
      <c r="A13" s="509">
        <v>6</v>
      </c>
      <c r="B13" s="507" t="s">
        <v>466</v>
      </c>
      <c r="C13" s="502"/>
    </row>
    <row r="14" spans="1:3">
      <c r="A14" s="509">
        <v>7</v>
      </c>
      <c r="B14" s="510" t="s">
        <v>467</v>
      </c>
      <c r="C14" s="502"/>
    </row>
    <row r="15" spans="1:3">
      <c r="A15" s="511">
        <v>8</v>
      </c>
      <c r="B15" s="512" t="s">
        <v>468</v>
      </c>
      <c r="C15" s="502"/>
    </row>
    <row r="16" spans="1:3">
      <c r="A16" s="509">
        <v>9</v>
      </c>
      <c r="B16" s="510" t="s">
        <v>469</v>
      </c>
      <c r="C16" s="502"/>
    </row>
    <row r="17" spans="1:3">
      <c r="A17" s="509">
        <v>10</v>
      </c>
      <c r="B17" s="510" t="s">
        <v>470</v>
      </c>
      <c r="C17" s="502"/>
    </row>
    <row r="18" spans="1:3">
      <c r="A18" s="513">
        <v>11</v>
      </c>
      <c r="B18" s="514" t="s">
        <v>471</v>
      </c>
      <c r="C18" s="515">
        <f>SUM(C10:C17)</f>
        <v>0</v>
      </c>
    </row>
    <row r="19" spans="1:3">
      <c r="A19" s="516" t="s">
        <v>472</v>
      </c>
      <c r="B19" s="517"/>
      <c r="C19" s="518"/>
    </row>
    <row r="20" spans="1:3" ht="24">
      <c r="A20" s="519">
        <v>12</v>
      </c>
      <c r="B20" s="507" t="s">
        <v>473</v>
      </c>
      <c r="C20" s="502"/>
    </row>
    <row r="21" spans="1:3">
      <c r="A21" s="519">
        <v>13</v>
      </c>
      <c r="B21" s="507" t="s">
        <v>474</v>
      </c>
      <c r="C21" s="502"/>
    </row>
    <row r="22" spans="1:3">
      <c r="A22" s="519">
        <v>14</v>
      </c>
      <c r="B22" s="507" t="s">
        <v>475</v>
      </c>
      <c r="C22" s="502"/>
    </row>
    <row r="23" spans="1:3" ht="24">
      <c r="A23" s="519" t="s">
        <v>476</v>
      </c>
      <c r="B23" s="507" t="s">
        <v>477</v>
      </c>
      <c r="C23" s="502"/>
    </row>
    <row r="24" spans="1:3">
      <c r="A24" s="519">
        <v>15</v>
      </c>
      <c r="B24" s="507" t="s">
        <v>478</v>
      </c>
      <c r="C24" s="502"/>
    </row>
    <row r="25" spans="1:3">
      <c r="A25" s="519" t="s">
        <v>479</v>
      </c>
      <c r="B25" s="507" t="s">
        <v>480</v>
      </c>
      <c r="C25" s="502"/>
    </row>
    <row r="26" spans="1:3">
      <c r="A26" s="520">
        <v>16</v>
      </c>
      <c r="B26" s="521" t="s">
        <v>481</v>
      </c>
      <c r="C26" s="515">
        <f>SUM(C20:C25)</f>
        <v>0</v>
      </c>
    </row>
    <row r="27" spans="1:3">
      <c r="A27" s="497" t="s">
        <v>482</v>
      </c>
      <c r="B27" s="498"/>
      <c r="C27" s="505"/>
    </row>
    <row r="28" spans="1:3">
      <c r="A28" s="522">
        <v>17</v>
      </c>
      <c r="B28" s="508" t="s">
        <v>483</v>
      </c>
      <c r="C28" s="502">
        <f>'8. LI2'!C6</f>
        <v>72272639.650000006</v>
      </c>
    </row>
    <row r="29" spans="1:3">
      <c r="A29" s="522">
        <v>18</v>
      </c>
      <c r="B29" s="508" t="s">
        <v>484</v>
      </c>
      <c r="C29" s="502">
        <f>'8. LI2'!C10</f>
        <v>-28238039.324999996</v>
      </c>
    </row>
    <row r="30" spans="1:3">
      <c r="A30" s="520">
        <v>19</v>
      </c>
      <c r="B30" s="521" t="s">
        <v>485</v>
      </c>
      <c r="C30" s="515">
        <f>C28+C29</f>
        <v>44034600.32500001</v>
      </c>
    </row>
    <row r="31" spans="1:3">
      <c r="A31" s="497" t="s">
        <v>486</v>
      </c>
      <c r="B31" s="498"/>
      <c r="C31" s="505"/>
    </row>
    <row r="32" spans="1:3" ht="24">
      <c r="A32" s="522" t="s">
        <v>487</v>
      </c>
      <c r="B32" s="507" t="s">
        <v>488</v>
      </c>
      <c r="C32" s="523"/>
    </row>
    <row r="33" spans="1:3">
      <c r="A33" s="522" t="s">
        <v>489</v>
      </c>
      <c r="B33" s="508" t="s">
        <v>490</v>
      </c>
      <c r="C33" s="523"/>
    </row>
    <row r="34" spans="1:3">
      <c r="A34" s="497" t="s">
        <v>491</v>
      </c>
      <c r="B34" s="498"/>
      <c r="C34" s="505"/>
    </row>
    <row r="35" spans="1:3">
      <c r="A35" s="524">
        <v>20</v>
      </c>
      <c r="B35" s="525" t="s">
        <v>492</v>
      </c>
      <c r="C35" s="515">
        <f>'9.Capital'!C28</f>
        <v>78741796.282078221</v>
      </c>
    </row>
    <row r="36" spans="1:3">
      <c r="A36" s="520">
        <v>21</v>
      </c>
      <c r="B36" s="521" t="s">
        <v>493</v>
      </c>
      <c r="C36" s="515">
        <f>C8+C18+C26+C30</f>
        <v>348375281.52629983</v>
      </c>
    </row>
    <row r="37" spans="1:3">
      <c r="A37" s="497" t="s">
        <v>494</v>
      </c>
      <c r="B37" s="498"/>
      <c r="C37" s="505"/>
    </row>
    <row r="38" spans="1:3">
      <c r="A38" s="520">
        <v>22</v>
      </c>
      <c r="B38" s="521" t="s">
        <v>494</v>
      </c>
      <c r="C38" s="530">
        <f t="shared" ref="C38" si="0">C35/C36</f>
        <v>0.22602578442734256</v>
      </c>
    </row>
    <row r="39" spans="1:3">
      <c r="A39" s="497" t="s">
        <v>495</v>
      </c>
      <c r="B39" s="498"/>
      <c r="C39" s="505"/>
    </row>
    <row r="40" spans="1:3">
      <c r="A40" s="526" t="s">
        <v>496</v>
      </c>
      <c r="B40" s="507" t="s">
        <v>497</v>
      </c>
      <c r="C40" s="523"/>
    </row>
    <row r="41" spans="1:3" ht="24">
      <c r="A41" s="527" t="s">
        <v>498</v>
      </c>
      <c r="B41" s="501" t="s">
        <v>499</v>
      </c>
      <c r="C41" s="523"/>
    </row>
    <row r="43" spans="1:3">
      <c r="B43" s="528" t="s">
        <v>515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40625" defaultRowHeight="14.25"/>
  <cols>
    <col min="1" max="1" width="9.5703125" style="3" bestFit="1" customWidth="1"/>
    <col min="2" max="2" width="60.7109375" style="3" customWidth="1"/>
    <col min="3" max="3" width="12.7109375" style="3" customWidth="1"/>
    <col min="4" max="7" width="12.7109375" style="4" customWidth="1"/>
    <col min="8" max="13" width="6.7109375" style="5" customWidth="1"/>
    <col min="14" max="16384" width="9.14062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v>44012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5" thickBot="1">
      <c r="A4" s="9" t="s">
        <v>144</v>
      </c>
      <c r="B4" s="10" t="s">
        <v>143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0" t="s">
        <v>519</v>
      </c>
      <c r="D5" s="340" t="s">
        <v>505</v>
      </c>
      <c r="E5" s="340" t="s">
        <v>502</v>
      </c>
      <c r="F5" s="340" t="s">
        <v>501</v>
      </c>
      <c r="G5" s="341" t="s">
        <v>500</v>
      </c>
    </row>
    <row r="6" spans="1:8">
      <c r="B6" s="191" t="s">
        <v>142</v>
      </c>
      <c r="C6" s="274"/>
      <c r="D6" s="274"/>
      <c r="E6" s="274"/>
      <c r="F6" s="274"/>
      <c r="G6" s="303"/>
    </row>
    <row r="7" spans="1:8">
      <c r="A7" s="13"/>
      <c r="B7" s="192" t="s">
        <v>136</v>
      </c>
      <c r="C7" s="274"/>
      <c r="D7" s="274"/>
      <c r="E7" s="274"/>
      <c r="F7" s="274"/>
      <c r="G7" s="303"/>
    </row>
    <row r="8" spans="1:8" ht="15">
      <c r="A8" s="329">
        <v>1</v>
      </c>
      <c r="B8" s="14" t="s">
        <v>141</v>
      </c>
      <c r="C8" s="15">
        <v>78741796.282078221</v>
      </c>
      <c r="D8" s="16">
        <v>77838008.687568486</v>
      </c>
      <c r="E8" s="16">
        <v>80407012.169870481</v>
      </c>
      <c r="F8" s="16">
        <v>79927409.167901561</v>
      </c>
      <c r="G8" s="348">
        <v>77371808.251440719</v>
      </c>
    </row>
    <row r="9" spans="1:8" ht="15">
      <c r="A9" s="329">
        <v>2</v>
      </c>
      <c r="B9" s="14" t="s">
        <v>140</v>
      </c>
      <c r="C9" s="15">
        <v>78741796.282078221</v>
      </c>
      <c r="D9" s="16">
        <v>77838008.687568486</v>
      </c>
      <c r="E9" s="16">
        <v>80407012.169870481</v>
      </c>
      <c r="F9" s="16">
        <v>79927409.167901561</v>
      </c>
      <c r="G9" s="348">
        <v>77371808.251440719</v>
      </c>
    </row>
    <row r="10" spans="1:8" ht="15">
      <c r="A10" s="329">
        <v>3</v>
      </c>
      <c r="B10" s="14" t="s">
        <v>139</v>
      </c>
      <c r="C10" s="15">
        <v>82608280.762582079</v>
      </c>
      <c r="D10" s="16">
        <v>81870881.517205447</v>
      </c>
      <c r="E10" s="16">
        <v>83615257.09298262</v>
      </c>
      <c r="F10" s="16">
        <v>83333498.725938484</v>
      </c>
      <c r="G10" s="348">
        <v>80895977.371655077</v>
      </c>
    </row>
    <row r="11" spans="1:8" ht="15">
      <c r="A11" s="330"/>
      <c r="B11" s="191" t="s">
        <v>138</v>
      </c>
      <c r="C11" s="274"/>
      <c r="D11" s="274"/>
      <c r="E11" s="274"/>
      <c r="F11" s="274"/>
      <c r="G11" s="303"/>
    </row>
    <row r="12" spans="1:8" ht="15" customHeight="1">
      <c r="A12" s="329">
        <v>4</v>
      </c>
      <c r="B12" s="14" t="s">
        <v>270</v>
      </c>
      <c r="C12" s="263">
        <v>333884467.09280181</v>
      </c>
      <c r="D12" s="16">
        <v>344845459.14202905</v>
      </c>
      <c r="E12" s="16">
        <v>280322896.53274071</v>
      </c>
      <c r="F12" s="16">
        <v>292369352.27900398</v>
      </c>
      <c r="G12" s="348">
        <v>300729541.42249846</v>
      </c>
    </row>
    <row r="13" spans="1:8" ht="15">
      <c r="A13" s="330"/>
      <c r="B13" s="191" t="s">
        <v>137</v>
      </c>
      <c r="C13" s="274"/>
      <c r="D13" s="274"/>
      <c r="E13" s="274"/>
      <c r="F13" s="274"/>
      <c r="G13" s="303"/>
    </row>
    <row r="14" spans="1:8" s="17" customFormat="1" ht="15">
      <c r="A14" s="329"/>
      <c r="B14" s="192" t="s">
        <v>507</v>
      </c>
      <c r="C14" s="264"/>
      <c r="D14" s="16"/>
      <c r="E14" s="16"/>
      <c r="F14" s="16"/>
      <c r="G14" s="348"/>
    </row>
    <row r="15" spans="1:8" ht="15">
      <c r="A15" s="331">
        <v>5</v>
      </c>
      <c r="B15" s="14" t="str">
        <f>"Common equity Tier 1 ratio &gt;="&amp;'9.1. Capital Requirements'!C19*100&amp;"%"</f>
        <v>Common equity Tier 1 ratio &gt;=6.15381047333569%</v>
      </c>
      <c r="C15" s="342">
        <v>0.23583545819815649</v>
      </c>
      <c r="D15" s="342">
        <v>0.22571852586149294</v>
      </c>
      <c r="E15" s="343">
        <v>0.28683711949472962</v>
      </c>
      <c r="F15" s="343">
        <v>0.2733782065215507</v>
      </c>
      <c r="G15" s="349">
        <v>0.25728037187653657</v>
      </c>
    </row>
    <row r="16" spans="1:8" ht="15" customHeight="1">
      <c r="A16" s="331">
        <v>6</v>
      </c>
      <c r="B16" s="14" t="str">
        <f>"Tier 1 ratio &gt;="&amp;'9.1. Capital Requirements'!C20*100&amp;"%"</f>
        <v>Tier 1 ratio &gt;=8.20732922904447%</v>
      </c>
      <c r="C16" s="342">
        <v>0.23583545819815649</v>
      </c>
      <c r="D16" s="342">
        <v>0.22571852586149294</v>
      </c>
      <c r="E16" s="343">
        <v>0.28683711949472962</v>
      </c>
      <c r="F16" s="343">
        <v>0.2733782065215507</v>
      </c>
      <c r="G16" s="349">
        <v>0.25728037187653657</v>
      </c>
    </row>
    <row r="17" spans="1:7" ht="15">
      <c r="A17" s="331">
        <v>7</v>
      </c>
      <c r="B17" s="14" t="str">
        <f>"Total Regulatory Capital ratio &gt;="&amp;'9.1. Capital Requirements'!C21*100&amp;"%"</f>
        <v>Total Regulatory Capital ratio &gt;=17.1815528527846%</v>
      </c>
      <c r="C17" s="342">
        <v>0.24741576474601751</v>
      </c>
      <c r="D17" s="342">
        <v>0.23741325091215967</v>
      </c>
      <c r="E17" s="343">
        <v>0.29828193888977123</v>
      </c>
      <c r="F17" s="343">
        <v>0.28502816070274867</v>
      </c>
      <c r="G17" s="349">
        <v>0.26899910460742987</v>
      </c>
    </row>
    <row r="18" spans="1:7" ht="15">
      <c r="A18" s="330"/>
      <c r="B18" s="193" t="s">
        <v>135</v>
      </c>
      <c r="C18" s="274"/>
      <c r="D18" s="274"/>
      <c r="E18" s="274"/>
      <c r="F18" s="274"/>
      <c r="G18" s="303"/>
    </row>
    <row r="19" spans="1:7" ht="15" customHeight="1">
      <c r="A19" s="332">
        <v>8</v>
      </c>
      <c r="B19" s="14" t="s">
        <v>134</v>
      </c>
      <c r="C19" s="344">
        <v>5.9499238245699825E-2</v>
      </c>
      <c r="D19" s="344">
        <v>6.0436632496437416E-2</v>
      </c>
      <c r="E19" s="345">
        <v>6.2549610251267512E-2</v>
      </c>
      <c r="F19" s="345">
        <v>6.2905165085480969E-2</v>
      </c>
      <c r="G19" s="350">
        <v>6.2139024691145531E-2</v>
      </c>
    </row>
    <row r="20" spans="1:7" ht="15">
      <c r="A20" s="332">
        <v>9</v>
      </c>
      <c r="B20" s="14" t="s">
        <v>133</v>
      </c>
      <c r="C20" s="344">
        <v>1.3490960006021712E-2</v>
      </c>
      <c r="D20" s="344">
        <v>1.3827458331122928E-2</v>
      </c>
      <c r="E20" s="345">
        <v>1.7358063245516538E-2</v>
      </c>
      <c r="F20" s="345">
        <v>1.8211276177690146E-2</v>
      </c>
      <c r="G20" s="350">
        <v>1.8544317485381212E-2</v>
      </c>
    </row>
    <row r="21" spans="1:7" ht="15">
      <c r="A21" s="332">
        <v>10</v>
      </c>
      <c r="B21" s="14" t="s">
        <v>132</v>
      </c>
      <c r="C21" s="344">
        <v>3.4592805936058221E-2</v>
      </c>
      <c r="D21" s="344">
        <v>4.1833152598745371E-2</v>
      </c>
      <c r="E21" s="345">
        <v>2.8332509651600744E-2</v>
      </c>
      <c r="F21" s="345">
        <v>2.8395594227122789E-2</v>
      </c>
      <c r="G21" s="350">
        <v>2.6226326867982805E-2</v>
      </c>
    </row>
    <row r="22" spans="1:7" ht="15">
      <c r="A22" s="332">
        <v>11</v>
      </c>
      <c r="B22" s="14" t="s">
        <v>131</v>
      </c>
      <c r="C22" s="344">
        <v>4.600827823967811E-2</v>
      </c>
      <c r="D22" s="344">
        <v>4.6609174165314481E-2</v>
      </c>
      <c r="E22" s="345">
        <v>4.5191547005750975E-2</v>
      </c>
      <c r="F22" s="345">
        <v>4.4693888907790816E-2</v>
      </c>
      <c r="G22" s="350">
        <v>4.3594707205764319E-2</v>
      </c>
    </row>
    <row r="23" spans="1:7" ht="15">
      <c r="A23" s="332">
        <v>12</v>
      </c>
      <c r="B23" s="14" t="s">
        <v>276</v>
      </c>
      <c r="C23" s="344">
        <v>-1.1947163560632836E-2</v>
      </c>
      <c r="D23" s="344">
        <v>-3.7859483277682335E-2</v>
      </c>
      <c r="E23" s="345">
        <v>2.2196802588843583E-2</v>
      </c>
      <c r="F23" s="345">
        <v>2.7027335053165225E-2</v>
      </c>
      <c r="G23" s="350">
        <v>2.2230101857872712E-2</v>
      </c>
    </row>
    <row r="24" spans="1:7" ht="15">
      <c r="A24" s="332">
        <v>13</v>
      </c>
      <c r="B24" s="14" t="s">
        <v>277</v>
      </c>
      <c r="C24" s="344">
        <v>-4.3291617741475275E-2</v>
      </c>
      <c r="D24" s="344">
        <v>-0.129285057497418</v>
      </c>
      <c r="E24" s="345">
        <v>7.4492721732142844E-2</v>
      </c>
      <c r="F24" s="345">
        <v>9.2571368450566099E-2</v>
      </c>
      <c r="G24" s="350">
        <v>7.4046029099126387E-2</v>
      </c>
    </row>
    <row r="25" spans="1:7" ht="15">
      <c r="A25" s="330"/>
      <c r="B25" s="193" t="s">
        <v>356</v>
      </c>
      <c r="C25" s="274"/>
      <c r="D25" s="274"/>
      <c r="E25" s="274"/>
      <c r="F25" s="274"/>
      <c r="G25" s="303"/>
    </row>
    <row r="26" spans="1:7" ht="15">
      <c r="A26" s="332">
        <v>14</v>
      </c>
      <c r="B26" s="14" t="s">
        <v>130</v>
      </c>
      <c r="C26" s="344">
        <v>3.0616721140784942E-2</v>
      </c>
      <c r="D26" s="344">
        <v>3.1383374383505025E-2</v>
      </c>
      <c r="E26" s="345">
        <v>3.7091083586973855E-2</v>
      </c>
      <c r="F26" s="345">
        <v>4.3856065957794094E-2</v>
      </c>
      <c r="G26" s="350">
        <v>3.5186743054338041E-2</v>
      </c>
    </row>
    <row r="27" spans="1:7" ht="15" customHeight="1">
      <c r="A27" s="332">
        <v>15</v>
      </c>
      <c r="B27" s="14" t="s">
        <v>129</v>
      </c>
      <c r="C27" s="344">
        <v>5.741334554602813E-2</v>
      </c>
      <c r="D27" s="344">
        <v>6.2850331653137831E-2</v>
      </c>
      <c r="E27" s="345">
        <v>3.9855597062074463E-2</v>
      </c>
      <c r="F27" s="345">
        <v>4.3199424934015546E-2</v>
      </c>
      <c r="G27" s="350">
        <v>3.7837416778913384E-2</v>
      </c>
    </row>
    <row r="28" spans="1:7" ht="15">
      <c r="A28" s="332">
        <v>16</v>
      </c>
      <c r="B28" s="14" t="s">
        <v>128</v>
      </c>
      <c r="C28" s="344">
        <v>0.63612756868169762</v>
      </c>
      <c r="D28" s="344">
        <v>0.681440704033342</v>
      </c>
      <c r="E28" s="345">
        <v>0.63686365732586514</v>
      </c>
      <c r="F28" s="345">
        <v>0.6029229797560538</v>
      </c>
      <c r="G28" s="350">
        <v>0.6273912184147572</v>
      </c>
    </row>
    <row r="29" spans="1:7" ht="15" customHeight="1">
      <c r="A29" s="332">
        <v>17</v>
      </c>
      <c r="B29" s="14" t="s">
        <v>127</v>
      </c>
      <c r="C29" s="344">
        <v>0.6626993169769303</v>
      </c>
      <c r="D29" s="344">
        <v>0.70432453975950704</v>
      </c>
      <c r="E29" s="345">
        <v>0.65858827297638833</v>
      </c>
      <c r="F29" s="345">
        <v>0.63088773447180846</v>
      </c>
      <c r="G29" s="350">
        <v>0.62918236050228959</v>
      </c>
    </row>
    <row r="30" spans="1:7" ht="15">
      <c r="A30" s="332">
        <v>18</v>
      </c>
      <c r="B30" s="14" t="s">
        <v>126</v>
      </c>
      <c r="C30" s="344">
        <v>0.29152145101102278</v>
      </c>
      <c r="D30" s="344">
        <v>0.1913795627607382</v>
      </c>
      <c r="E30" s="345">
        <v>-5.1591218536185687E-2</v>
      </c>
      <c r="F30" s="345">
        <v>-0.16799745601233074</v>
      </c>
      <c r="G30" s="350">
        <v>3.142294992092564E-2</v>
      </c>
    </row>
    <row r="31" spans="1:7" ht="15" customHeight="1">
      <c r="A31" s="330"/>
      <c r="B31" s="193" t="s">
        <v>357</v>
      </c>
      <c r="C31" s="274"/>
      <c r="D31" s="274"/>
      <c r="E31" s="274"/>
      <c r="F31" s="274"/>
      <c r="G31" s="303"/>
    </row>
    <row r="32" spans="1:7" ht="15" customHeight="1">
      <c r="A32" s="332">
        <v>19</v>
      </c>
      <c r="B32" s="14" t="s">
        <v>125</v>
      </c>
      <c r="C32" s="344">
        <v>0.11619907934660494</v>
      </c>
      <c r="D32" s="344">
        <v>0.20018169756447959</v>
      </c>
      <c r="E32" s="344">
        <v>0.22544335949690955</v>
      </c>
      <c r="F32" s="344">
        <v>0.30899235550236059</v>
      </c>
      <c r="G32" s="351">
        <v>0.17361916098674099</v>
      </c>
    </row>
    <row r="33" spans="1:7" ht="15" customHeight="1">
      <c r="A33" s="332">
        <v>20</v>
      </c>
      <c r="B33" s="14" t="s">
        <v>124</v>
      </c>
      <c r="C33" s="344">
        <v>0.9279008190264828</v>
      </c>
      <c r="D33" s="344">
        <v>0.93896164059451526</v>
      </c>
      <c r="E33" s="344">
        <v>0.95776241751217162</v>
      </c>
      <c r="F33" s="344">
        <v>0.89343742388521852</v>
      </c>
      <c r="G33" s="351">
        <v>0.86844806306683242</v>
      </c>
    </row>
    <row r="34" spans="1:7" ht="15" customHeight="1">
      <c r="A34" s="332">
        <v>21</v>
      </c>
      <c r="B34" s="14" t="s">
        <v>123</v>
      </c>
      <c r="C34" s="344">
        <v>8.4790984849306916E-2</v>
      </c>
      <c r="D34" s="344">
        <v>6.9767994297117386E-2</v>
      </c>
      <c r="E34" s="344">
        <v>6.2716433669411542E-2</v>
      </c>
      <c r="F34" s="344">
        <v>7.5299384002034522E-2</v>
      </c>
      <c r="G34" s="351">
        <v>3.753280832851133E-2</v>
      </c>
    </row>
    <row r="35" spans="1:7" ht="15" customHeight="1">
      <c r="A35" s="333"/>
      <c r="B35" s="193" t="s">
        <v>400</v>
      </c>
      <c r="C35" s="274"/>
      <c r="D35" s="274"/>
      <c r="E35" s="274"/>
      <c r="F35" s="274"/>
      <c r="G35" s="303"/>
    </row>
    <row r="36" spans="1:7" ht="15">
      <c r="A36" s="332">
        <v>22</v>
      </c>
      <c r="B36" s="14" t="s">
        <v>383</v>
      </c>
      <c r="C36" s="346">
        <v>91227234.680000007</v>
      </c>
      <c r="D36" s="346">
        <v>120731826.71146001</v>
      </c>
      <c r="E36" s="346">
        <v>110089136.08999999</v>
      </c>
      <c r="F36" s="346">
        <v>120914587.7685</v>
      </c>
      <c r="G36" s="483">
        <v>88573687.457550019</v>
      </c>
    </row>
    <row r="37" spans="1:7" ht="15" customHeight="1">
      <c r="A37" s="332">
        <v>23</v>
      </c>
      <c r="B37" s="14" t="s">
        <v>395</v>
      </c>
      <c r="C37" s="346">
        <v>57196798.90373376</v>
      </c>
      <c r="D37" s="346">
        <v>81875012.410266101</v>
      </c>
      <c r="E37" s="346">
        <v>75563024.283210009</v>
      </c>
      <c r="F37" s="346">
        <v>74149329.353100002</v>
      </c>
      <c r="G37" s="483">
        <v>65056049.282400005</v>
      </c>
    </row>
    <row r="38" spans="1:7" ht="15.75" thickBot="1">
      <c r="A38" s="334">
        <v>24</v>
      </c>
      <c r="B38" s="194" t="s">
        <v>384</v>
      </c>
      <c r="C38" s="347">
        <f>C36/C37</f>
        <v>1.5949709848892395</v>
      </c>
      <c r="D38" s="347">
        <v>1.4745869729641927</v>
      </c>
      <c r="E38" s="347">
        <v>1.4569180777808231</v>
      </c>
      <c r="F38" s="347">
        <v>1.6306902412118021</v>
      </c>
      <c r="G38" s="484">
        <v>1.3614980994782353</v>
      </c>
    </row>
    <row r="39" spans="1:7">
      <c r="A39" s="18"/>
    </row>
    <row r="40" spans="1:7" ht="51">
      <c r="B40" s="266" t="s">
        <v>506</v>
      </c>
    </row>
    <row r="41" spans="1:7" ht="63.75">
      <c r="B41" s="266" t="s">
        <v>399</v>
      </c>
    </row>
    <row r="42" spans="1:7">
      <c r="B42" s="2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40625" defaultRowHeight="14.25"/>
  <cols>
    <col min="1" max="1" width="9.5703125" style="4" bestFit="1" customWidth="1"/>
    <col min="2" max="2" width="55.140625" style="4" bestFit="1" customWidth="1"/>
    <col min="3" max="3" width="11.7109375" style="4" customWidth="1"/>
    <col min="4" max="4" width="13.28515625" style="4" customWidth="1"/>
    <col min="5" max="5" width="14.5703125" style="4" customWidth="1"/>
    <col min="6" max="6" width="11.7109375" style="4" customWidth="1"/>
    <col min="7" max="7" width="13.7109375" style="4" customWidth="1"/>
    <col min="8" max="8" width="14.5703125" style="4" customWidth="1"/>
    <col min="9" max="16384" width="9.14062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44012</v>
      </c>
    </row>
    <row r="3" spans="1:8">
      <c r="A3" s="2"/>
    </row>
    <row r="4" spans="1:8" ht="15" thickBot="1">
      <c r="A4" s="19" t="s">
        <v>32</v>
      </c>
      <c r="B4" s="20" t="s">
        <v>33</v>
      </c>
      <c r="C4" s="19"/>
      <c r="D4" s="21"/>
      <c r="E4" s="21"/>
      <c r="F4" s="22"/>
      <c r="G4" s="22"/>
      <c r="H4" s="352" t="s">
        <v>73</v>
      </c>
    </row>
    <row r="5" spans="1:8">
      <c r="A5" s="23"/>
      <c r="B5" s="24"/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25" t="s">
        <v>6</v>
      </c>
      <c r="B6" s="353" t="s">
        <v>34</v>
      </c>
      <c r="C6" s="354" t="s">
        <v>69</v>
      </c>
      <c r="D6" s="354" t="s">
        <v>70</v>
      </c>
      <c r="E6" s="354" t="s">
        <v>71</v>
      </c>
      <c r="F6" s="354" t="s">
        <v>69</v>
      </c>
      <c r="G6" s="354" t="s">
        <v>70</v>
      </c>
      <c r="H6" s="355" t="s">
        <v>71</v>
      </c>
    </row>
    <row r="7" spans="1:8">
      <c r="A7" s="25">
        <v>1</v>
      </c>
      <c r="B7" s="356" t="s">
        <v>35</v>
      </c>
      <c r="C7" s="357">
        <v>1169019.5</v>
      </c>
      <c r="D7" s="357">
        <v>2528306.5700000003</v>
      </c>
      <c r="E7" s="358">
        <f>C7+D7</f>
        <v>3697326.0700000003</v>
      </c>
      <c r="F7" s="359">
        <v>1087052.0899999999</v>
      </c>
      <c r="G7" s="357">
        <v>4161508.56</v>
      </c>
      <c r="H7" s="360">
        <f>F7+G7</f>
        <v>5248560.6500000004</v>
      </c>
    </row>
    <row r="8" spans="1:8">
      <c r="A8" s="25">
        <v>2</v>
      </c>
      <c r="B8" s="356" t="s">
        <v>36</v>
      </c>
      <c r="C8" s="357">
        <v>5883069.4500000002</v>
      </c>
      <c r="D8" s="357">
        <v>32990223.699999999</v>
      </c>
      <c r="E8" s="358">
        <f t="shared" ref="E8:E19" si="0">C8+D8</f>
        <v>38873293.149999999</v>
      </c>
      <c r="F8" s="359">
        <v>2462234.19</v>
      </c>
      <c r="G8" s="357">
        <v>27879744.140000001</v>
      </c>
      <c r="H8" s="360">
        <f t="shared" ref="H8:H40" si="1">F8+G8</f>
        <v>30341978.330000002</v>
      </c>
    </row>
    <row r="9" spans="1:8">
      <c r="A9" s="25">
        <v>3</v>
      </c>
      <c r="B9" s="356" t="s">
        <v>37</v>
      </c>
      <c r="C9" s="357">
        <v>96830.73000000001</v>
      </c>
      <c r="D9" s="357">
        <v>30442045.090402998</v>
      </c>
      <c r="E9" s="358">
        <f t="shared" si="0"/>
        <v>30538875.820402998</v>
      </c>
      <c r="F9" s="359">
        <v>10108414.93</v>
      </c>
      <c r="G9" s="357">
        <v>35355541.066829994</v>
      </c>
      <c r="H9" s="360">
        <f t="shared" si="1"/>
        <v>45463955.996829994</v>
      </c>
    </row>
    <row r="10" spans="1:8">
      <c r="A10" s="25">
        <v>4</v>
      </c>
      <c r="B10" s="356" t="s">
        <v>38</v>
      </c>
      <c r="C10" s="357">
        <v>0</v>
      </c>
      <c r="D10" s="357">
        <v>0</v>
      </c>
      <c r="E10" s="358">
        <f t="shared" si="0"/>
        <v>0</v>
      </c>
      <c r="F10" s="359">
        <v>0</v>
      </c>
      <c r="G10" s="357">
        <v>0</v>
      </c>
      <c r="H10" s="360">
        <f t="shared" si="1"/>
        <v>0</v>
      </c>
    </row>
    <row r="11" spans="1:8">
      <c r="A11" s="25">
        <v>5</v>
      </c>
      <c r="B11" s="356" t="s">
        <v>39</v>
      </c>
      <c r="C11" s="357">
        <v>23309721.513735712</v>
      </c>
      <c r="D11" s="357">
        <v>9628304.9768156614</v>
      </c>
      <c r="E11" s="358">
        <f t="shared" si="0"/>
        <v>32938026.490551375</v>
      </c>
      <c r="F11" s="359">
        <v>27989656.240303196</v>
      </c>
      <c r="G11" s="357">
        <v>18844133.295732386</v>
      </c>
      <c r="H11" s="360">
        <f t="shared" si="1"/>
        <v>46833789.536035582</v>
      </c>
    </row>
    <row r="12" spans="1:8">
      <c r="A12" s="25">
        <v>6.1</v>
      </c>
      <c r="B12" s="361" t="s">
        <v>40</v>
      </c>
      <c r="C12" s="357">
        <v>72038765.230000004</v>
      </c>
      <c r="D12" s="357">
        <v>125939314.53000002</v>
      </c>
      <c r="E12" s="358">
        <f t="shared" si="0"/>
        <v>197978079.76000002</v>
      </c>
      <c r="F12" s="359">
        <v>58912216.170000002</v>
      </c>
      <c r="G12" s="357">
        <v>99195211.999999985</v>
      </c>
      <c r="H12" s="360">
        <f t="shared" si="1"/>
        <v>158107428.16999999</v>
      </c>
    </row>
    <row r="13" spans="1:8">
      <c r="A13" s="25">
        <v>6.2</v>
      </c>
      <c r="B13" s="361" t="s">
        <v>41</v>
      </c>
      <c r="C13" s="362">
        <v>-7088189.0877999999</v>
      </c>
      <c r="D13" s="362">
        <v>-4278394.8159999996</v>
      </c>
      <c r="E13" s="363">
        <f t="shared" si="0"/>
        <v>-11366583.9038</v>
      </c>
      <c r="F13" s="364">
        <v>-2871655.8472000007</v>
      </c>
      <c r="G13" s="362">
        <v>-3110720.8022000007</v>
      </c>
      <c r="H13" s="365">
        <f t="shared" si="1"/>
        <v>-5982376.6494000014</v>
      </c>
    </row>
    <row r="14" spans="1:8">
      <c r="A14" s="25">
        <v>6</v>
      </c>
      <c r="B14" s="356" t="s">
        <v>42</v>
      </c>
      <c r="C14" s="358">
        <f>C12+C13</f>
        <v>64950576.142200008</v>
      </c>
      <c r="D14" s="358">
        <f>D12+D13</f>
        <v>121660919.71400002</v>
      </c>
      <c r="E14" s="358">
        <f t="shared" si="0"/>
        <v>186611495.85620004</v>
      </c>
      <c r="F14" s="358">
        <f>F12+F13</f>
        <v>56040560.322800003</v>
      </c>
      <c r="G14" s="358">
        <f>G12+G13</f>
        <v>96084491.197799981</v>
      </c>
      <c r="H14" s="360">
        <f t="shared" si="1"/>
        <v>152125051.52059999</v>
      </c>
    </row>
    <row r="15" spans="1:8">
      <c r="A15" s="25">
        <v>7</v>
      </c>
      <c r="B15" s="356" t="s">
        <v>43</v>
      </c>
      <c r="C15" s="357">
        <v>1531388.4599999983</v>
      </c>
      <c r="D15" s="357">
        <v>977848.93048799981</v>
      </c>
      <c r="E15" s="358">
        <f t="shared" si="0"/>
        <v>2509237.3904879983</v>
      </c>
      <c r="F15" s="359">
        <v>1139597.790000001</v>
      </c>
      <c r="G15" s="357">
        <v>669767.85268899985</v>
      </c>
      <c r="H15" s="360">
        <f t="shared" si="1"/>
        <v>1809365.6426890008</v>
      </c>
    </row>
    <row r="16" spans="1:8">
      <c r="A16" s="25">
        <v>8</v>
      </c>
      <c r="B16" s="356" t="s">
        <v>203</v>
      </c>
      <c r="C16" s="357">
        <v>1046317.8400000001</v>
      </c>
      <c r="D16" s="357">
        <v>0</v>
      </c>
      <c r="E16" s="358">
        <f t="shared" si="0"/>
        <v>1046317.8400000001</v>
      </c>
      <c r="F16" s="359">
        <v>0</v>
      </c>
      <c r="G16" s="357">
        <v>0</v>
      </c>
      <c r="H16" s="360">
        <f t="shared" si="1"/>
        <v>0</v>
      </c>
    </row>
    <row r="17" spans="1:8">
      <c r="A17" s="25">
        <v>9</v>
      </c>
      <c r="B17" s="356" t="s">
        <v>44</v>
      </c>
      <c r="C17" s="357">
        <v>0</v>
      </c>
      <c r="D17" s="357">
        <v>0</v>
      </c>
      <c r="E17" s="358">
        <f t="shared" si="0"/>
        <v>0</v>
      </c>
      <c r="F17" s="359">
        <v>0</v>
      </c>
      <c r="G17" s="357">
        <v>0</v>
      </c>
      <c r="H17" s="360">
        <f t="shared" si="1"/>
        <v>0</v>
      </c>
    </row>
    <row r="18" spans="1:8">
      <c r="A18" s="25">
        <v>10</v>
      </c>
      <c r="B18" s="356" t="s">
        <v>45</v>
      </c>
      <c r="C18" s="357">
        <v>688956.61000000034</v>
      </c>
      <c r="D18" s="357">
        <v>0</v>
      </c>
      <c r="E18" s="358">
        <f t="shared" si="0"/>
        <v>688956.61000000034</v>
      </c>
      <c r="F18" s="359">
        <v>1069634.5699999998</v>
      </c>
      <c r="G18" s="357">
        <v>0</v>
      </c>
      <c r="H18" s="360">
        <f t="shared" si="1"/>
        <v>1069634.5699999998</v>
      </c>
    </row>
    <row r="19" spans="1:8">
      <c r="A19" s="25">
        <v>11</v>
      </c>
      <c r="B19" s="356" t="s">
        <v>46</v>
      </c>
      <c r="C19" s="357">
        <v>2595785.0130446409</v>
      </c>
      <c r="D19" s="357">
        <v>742192.39170199994</v>
      </c>
      <c r="E19" s="358">
        <f t="shared" si="0"/>
        <v>3337977.4047466409</v>
      </c>
      <c r="F19" s="359">
        <v>8678472.4771546274</v>
      </c>
      <c r="G19" s="357">
        <v>1229778.54</v>
      </c>
      <c r="H19" s="360">
        <f t="shared" si="1"/>
        <v>9908251.0171546265</v>
      </c>
    </row>
    <row r="20" spans="1:8">
      <c r="A20" s="25">
        <v>12</v>
      </c>
      <c r="B20" s="366" t="s">
        <v>47</v>
      </c>
      <c r="C20" s="358">
        <f>SUM(C7:C11)+SUM(C14:C19)</f>
        <v>101271665.25898036</v>
      </c>
      <c r="D20" s="358">
        <f>SUM(D7:D11)+SUM(D14:D19)</f>
        <v>198969841.37340868</v>
      </c>
      <c r="E20" s="358">
        <f>C20+D20</f>
        <v>300241506.63238907</v>
      </c>
      <c r="F20" s="358">
        <f>SUM(F7:F11)+SUM(F14:F19)</f>
        <v>108575622.61025783</v>
      </c>
      <c r="G20" s="358">
        <f>SUM(G7:G11)+SUM(G14:G19)</f>
        <v>184224964.65305138</v>
      </c>
      <c r="H20" s="360">
        <f t="shared" si="1"/>
        <v>292800587.26330924</v>
      </c>
    </row>
    <row r="21" spans="1:8">
      <c r="A21" s="25"/>
      <c r="B21" s="353" t="s">
        <v>48</v>
      </c>
      <c r="C21" s="367"/>
      <c r="D21" s="367"/>
      <c r="E21" s="367"/>
      <c r="F21" s="368"/>
      <c r="G21" s="367"/>
      <c r="H21" s="369"/>
    </row>
    <row r="22" spans="1:8">
      <c r="A22" s="25">
        <v>13</v>
      </c>
      <c r="B22" s="356" t="s">
        <v>49</v>
      </c>
      <c r="C22" s="357">
        <v>1300000</v>
      </c>
      <c r="D22" s="357">
        <v>157687725.56999999</v>
      </c>
      <c r="E22" s="358">
        <f>C22+D22</f>
        <v>158987725.56999999</v>
      </c>
      <c r="F22" s="359">
        <v>0</v>
      </c>
      <c r="G22" s="357">
        <v>136031009.63</v>
      </c>
      <c r="H22" s="360">
        <f t="shared" si="1"/>
        <v>136031009.63</v>
      </c>
    </row>
    <row r="23" spans="1:8">
      <c r="A23" s="25">
        <v>14</v>
      </c>
      <c r="B23" s="356" t="s">
        <v>50</v>
      </c>
      <c r="C23" s="357">
        <v>12184287.25</v>
      </c>
      <c r="D23" s="357">
        <v>13273485.78999998</v>
      </c>
      <c r="E23" s="358">
        <f t="shared" ref="E23:E40" si="2">C23+D23</f>
        <v>25457773.03999998</v>
      </c>
      <c r="F23" s="359">
        <v>4777905.6499999985</v>
      </c>
      <c r="G23" s="357">
        <v>6211722.6700000018</v>
      </c>
      <c r="H23" s="360">
        <f t="shared" si="1"/>
        <v>10989628.32</v>
      </c>
    </row>
    <row r="24" spans="1:8">
      <c r="A24" s="25">
        <v>15</v>
      </c>
      <c r="B24" s="356" t="s">
        <v>51</v>
      </c>
      <c r="C24" s="357">
        <v>0</v>
      </c>
      <c r="D24" s="357">
        <v>0</v>
      </c>
      <c r="E24" s="358">
        <f t="shared" si="2"/>
        <v>0</v>
      </c>
      <c r="F24" s="359">
        <v>0</v>
      </c>
      <c r="G24" s="357">
        <v>0</v>
      </c>
      <c r="H24" s="360">
        <f t="shared" si="1"/>
        <v>0</v>
      </c>
    </row>
    <row r="25" spans="1:8">
      <c r="A25" s="25">
        <v>16</v>
      </c>
      <c r="B25" s="356" t="s">
        <v>52</v>
      </c>
      <c r="C25" s="357">
        <v>113808.14</v>
      </c>
      <c r="D25" s="357">
        <v>18269399.309999999</v>
      </c>
      <c r="E25" s="358">
        <f t="shared" si="2"/>
        <v>18383207.449999999</v>
      </c>
      <c r="F25" s="359">
        <v>215496.41</v>
      </c>
      <c r="G25" s="357">
        <v>20606147.430000007</v>
      </c>
      <c r="H25" s="360">
        <f t="shared" si="1"/>
        <v>20821643.840000007</v>
      </c>
    </row>
    <row r="26" spans="1:8">
      <c r="A26" s="25">
        <v>17</v>
      </c>
      <c r="B26" s="356" t="s">
        <v>53</v>
      </c>
      <c r="C26" s="367"/>
      <c r="D26" s="367"/>
      <c r="E26" s="358">
        <f t="shared" si="2"/>
        <v>0</v>
      </c>
      <c r="F26" s="368"/>
      <c r="G26" s="367"/>
      <c r="H26" s="360">
        <f t="shared" si="1"/>
        <v>0</v>
      </c>
    </row>
    <row r="27" spans="1:8">
      <c r="A27" s="25">
        <v>18</v>
      </c>
      <c r="B27" s="356" t="s">
        <v>54</v>
      </c>
      <c r="C27" s="357">
        <v>2000000</v>
      </c>
      <c r="D27" s="357">
        <v>14257599.979632001</v>
      </c>
      <c r="E27" s="358">
        <f t="shared" si="2"/>
        <v>16257599.979632001</v>
      </c>
      <c r="F27" s="359">
        <v>12000000</v>
      </c>
      <c r="G27" s="357">
        <v>22045934.369796</v>
      </c>
      <c r="H27" s="360">
        <f t="shared" si="1"/>
        <v>34045934.369796</v>
      </c>
    </row>
    <row r="28" spans="1:8">
      <c r="A28" s="25">
        <v>19</v>
      </c>
      <c r="B28" s="356" t="s">
        <v>55</v>
      </c>
      <c r="C28" s="357">
        <v>8626.369999999999</v>
      </c>
      <c r="D28" s="357">
        <v>1270904.6099999999</v>
      </c>
      <c r="E28" s="358">
        <f t="shared" si="2"/>
        <v>1279530.98</v>
      </c>
      <c r="F28" s="359">
        <v>11003.460000000001</v>
      </c>
      <c r="G28" s="357">
        <v>1406968.86</v>
      </c>
      <c r="H28" s="360">
        <f t="shared" si="1"/>
        <v>1417972.32</v>
      </c>
    </row>
    <row r="29" spans="1:8">
      <c r="A29" s="25">
        <v>20</v>
      </c>
      <c r="B29" s="356" t="s">
        <v>56</v>
      </c>
      <c r="C29" s="357">
        <v>359073.73900000006</v>
      </c>
      <c r="D29" s="357">
        <v>717209.43500000006</v>
      </c>
      <c r="E29" s="358">
        <f t="shared" si="2"/>
        <v>1076283.1740000001</v>
      </c>
      <c r="F29" s="359">
        <v>11313856.720000003</v>
      </c>
      <c r="G29" s="357">
        <v>642936.86979999999</v>
      </c>
      <c r="H29" s="360">
        <f t="shared" si="1"/>
        <v>11956793.589800002</v>
      </c>
    </row>
    <row r="30" spans="1:8">
      <c r="A30" s="25">
        <v>21</v>
      </c>
      <c r="B30" s="356" t="s">
        <v>57</v>
      </c>
      <c r="C30" s="357">
        <v>0</v>
      </c>
      <c r="D30" s="357">
        <v>0</v>
      </c>
      <c r="E30" s="358">
        <f t="shared" si="2"/>
        <v>0</v>
      </c>
      <c r="F30" s="359">
        <v>0</v>
      </c>
      <c r="G30" s="357">
        <v>0</v>
      </c>
      <c r="H30" s="360">
        <f t="shared" si="1"/>
        <v>0</v>
      </c>
    </row>
    <row r="31" spans="1:8">
      <c r="A31" s="25">
        <v>22</v>
      </c>
      <c r="B31" s="366" t="s">
        <v>58</v>
      </c>
      <c r="C31" s="358">
        <f>SUM(C22:C30)</f>
        <v>15965795.499</v>
      </c>
      <c r="D31" s="358">
        <f>SUM(D22:D30)</f>
        <v>205476324.69463199</v>
      </c>
      <c r="E31" s="358">
        <f>C31+D31</f>
        <v>221442120.19363201</v>
      </c>
      <c r="F31" s="358">
        <f>SUM(F22:F30)</f>
        <v>28318262.240000002</v>
      </c>
      <c r="G31" s="358">
        <f>SUM(G22:G30)</f>
        <v>186944719.82959604</v>
      </c>
      <c r="H31" s="360">
        <f t="shared" si="1"/>
        <v>215262982.06959605</v>
      </c>
    </row>
    <row r="32" spans="1:8">
      <c r="A32" s="25"/>
      <c r="B32" s="353" t="s">
        <v>59</v>
      </c>
      <c r="C32" s="367"/>
      <c r="D32" s="367"/>
      <c r="E32" s="357"/>
      <c r="F32" s="368"/>
      <c r="G32" s="367"/>
      <c r="H32" s="369"/>
    </row>
    <row r="33" spans="1:8">
      <c r="A33" s="25">
        <v>23</v>
      </c>
      <c r="B33" s="356" t="s">
        <v>60</v>
      </c>
      <c r="C33" s="357">
        <v>69161600</v>
      </c>
      <c r="D33" s="367"/>
      <c r="E33" s="358">
        <f t="shared" si="2"/>
        <v>69161600</v>
      </c>
      <c r="F33" s="359">
        <v>69161600</v>
      </c>
      <c r="G33" s="367"/>
      <c r="H33" s="360">
        <f t="shared" si="1"/>
        <v>69161600</v>
      </c>
    </row>
    <row r="34" spans="1:8">
      <c r="A34" s="25">
        <v>24</v>
      </c>
      <c r="B34" s="356" t="s">
        <v>61</v>
      </c>
      <c r="C34" s="357">
        <v>0</v>
      </c>
      <c r="D34" s="367"/>
      <c r="E34" s="358">
        <f t="shared" si="2"/>
        <v>0</v>
      </c>
      <c r="F34" s="359">
        <v>0</v>
      </c>
      <c r="G34" s="367"/>
      <c r="H34" s="360">
        <f t="shared" si="1"/>
        <v>0</v>
      </c>
    </row>
    <row r="35" spans="1:8">
      <c r="A35" s="25">
        <v>25</v>
      </c>
      <c r="B35" s="370" t="s">
        <v>62</v>
      </c>
      <c r="C35" s="357">
        <v>0</v>
      </c>
      <c r="D35" s="367"/>
      <c r="E35" s="358">
        <f t="shared" si="2"/>
        <v>0</v>
      </c>
      <c r="F35" s="359">
        <v>0</v>
      </c>
      <c r="G35" s="367"/>
      <c r="H35" s="360">
        <f t="shared" si="1"/>
        <v>0</v>
      </c>
    </row>
    <row r="36" spans="1:8">
      <c r="A36" s="25">
        <v>26</v>
      </c>
      <c r="B36" s="356" t="s">
        <v>63</v>
      </c>
      <c r="C36" s="357">
        <v>0</v>
      </c>
      <c r="D36" s="367"/>
      <c r="E36" s="358">
        <f t="shared" si="2"/>
        <v>0</v>
      </c>
      <c r="F36" s="359">
        <v>0</v>
      </c>
      <c r="G36" s="367"/>
      <c r="H36" s="360">
        <f t="shared" si="1"/>
        <v>0</v>
      </c>
    </row>
    <row r="37" spans="1:8">
      <c r="A37" s="25">
        <v>27</v>
      </c>
      <c r="B37" s="356" t="s">
        <v>64</v>
      </c>
      <c r="C37" s="357">
        <v>0</v>
      </c>
      <c r="D37" s="367"/>
      <c r="E37" s="358">
        <f t="shared" si="2"/>
        <v>0</v>
      </c>
      <c r="F37" s="359">
        <v>0</v>
      </c>
      <c r="G37" s="367"/>
      <c r="H37" s="360">
        <f t="shared" si="1"/>
        <v>0</v>
      </c>
    </row>
    <row r="38" spans="1:8">
      <c r="A38" s="25">
        <v>28</v>
      </c>
      <c r="B38" s="356" t="s">
        <v>65</v>
      </c>
      <c r="C38" s="357">
        <v>9637787.1320782118</v>
      </c>
      <c r="D38" s="367"/>
      <c r="E38" s="358">
        <f t="shared" si="2"/>
        <v>9637787.1320782118</v>
      </c>
      <c r="F38" s="359">
        <v>8376005.2414407087</v>
      </c>
      <c r="G38" s="367"/>
      <c r="H38" s="360">
        <f t="shared" si="1"/>
        <v>8376005.2414407087</v>
      </c>
    </row>
    <row r="39" spans="1:8">
      <c r="A39" s="25">
        <v>29</v>
      </c>
      <c r="B39" s="356" t="s">
        <v>66</v>
      </c>
      <c r="C39" s="357">
        <v>0</v>
      </c>
      <c r="D39" s="367"/>
      <c r="E39" s="358">
        <f t="shared" si="2"/>
        <v>0</v>
      </c>
      <c r="F39" s="359">
        <v>0</v>
      </c>
      <c r="G39" s="367"/>
      <c r="H39" s="360">
        <f t="shared" si="1"/>
        <v>0</v>
      </c>
    </row>
    <row r="40" spans="1:8">
      <c r="A40" s="25">
        <v>30</v>
      </c>
      <c r="B40" s="371" t="s">
        <v>271</v>
      </c>
      <c r="C40" s="372">
        <f>SUM(C33:C39)</f>
        <v>78799387.132078215</v>
      </c>
      <c r="D40" s="367"/>
      <c r="E40" s="358">
        <f t="shared" si="2"/>
        <v>78799387.132078215</v>
      </c>
      <c r="F40" s="372">
        <f>SUM(F33:F39)</f>
        <v>77537605.241440713</v>
      </c>
      <c r="G40" s="367"/>
      <c r="H40" s="360">
        <f t="shared" si="1"/>
        <v>77537605.241440713</v>
      </c>
    </row>
    <row r="41" spans="1:8" ht="15" thickBot="1">
      <c r="A41" s="26">
        <v>31</v>
      </c>
      <c r="B41" s="27" t="s">
        <v>67</v>
      </c>
      <c r="C41" s="373">
        <f>C31+C40</f>
        <v>94765182.631078213</v>
      </c>
      <c r="D41" s="373">
        <f>D31+D40</f>
        <v>205476324.69463199</v>
      </c>
      <c r="E41" s="373">
        <f>C41+D41</f>
        <v>300241507.32571018</v>
      </c>
      <c r="F41" s="373">
        <f>F31+F40</f>
        <v>105855867.48144072</v>
      </c>
      <c r="G41" s="373">
        <f>G31+G40</f>
        <v>186944719.82959604</v>
      </c>
      <c r="H41" s="374">
        <f>F41+G41</f>
        <v>292800587.31103677</v>
      </c>
    </row>
    <row r="43" spans="1:8">
      <c r="B43" s="28"/>
    </row>
  </sheetData>
  <mergeCells count="2">
    <mergeCell ref="C5:E5"/>
    <mergeCell ref="F5:H5"/>
  </mergeCells>
  <dataValidations disablePrompts="1"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40625" defaultRowHeight="12.75"/>
  <cols>
    <col min="1" max="1" width="9.5703125" style="4" bestFit="1" customWidth="1"/>
    <col min="2" max="2" width="89.140625" style="4" customWidth="1"/>
    <col min="3" max="8" width="12.7109375" style="4" customWidth="1"/>
    <col min="9" max="9" width="8.85546875" style="4" customWidth="1"/>
    <col min="10" max="16384" width="9.140625" style="4"/>
  </cols>
  <sheetData>
    <row r="1" spans="1:8">
      <c r="A1" s="337" t="s">
        <v>30</v>
      </c>
      <c r="B1" s="338" t="s">
        <v>439</v>
      </c>
      <c r="C1" s="3"/>
    </row>
    <row r="2" spans="1:8">
      <c r="A2" s="337" t="s">
        <v>31</v>
      </c>
      <c r="B2" s="339">
        <f>'1. key ratios '!B2</f>
        <v>44012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5" thickBot="1">
      <c r="A4" s="30" t="s">
        <v>199</v>
      </c>
      <c r="B4" s="195" t="s">
        <v>22</v>
      </c>
      <c r="C4" s="19"/>
      <c r="D4" s="21"/>
      <c r="E4" s="21"/>
      <c r="F4" s="22"/>
      <c r="G4" s="22"/>
      <c r="H4" s="396" t="s">
        <v>73</v>
      </c>
    </row>
    <row r="5" spans="1:8">
      <c r="A5" s="32" t="s">
        <v>6</v>
      </c>
      <c r="B5" s="33"/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34" t="s">
        <v>6</v>
      </c>
      <c r="B6" s="375"/>
      <c r="C6" s="384" t="s">
        <v>69</v>
      </c>
      <c r="D6" s="384" t="s">
        <v>70</v>
      </c>
      <c r="E6" s="384" t="s">
        <v>71</v>
      </c>
      <c r="F6" s="384" t="s">
        <v>69</v>
      </c>
      <c r="G6" s="384" t="s">
        <v>70</v>
      </c>
      <c r="H6" s="397" t="s">
        <v>71</v>
      </c>
    </row>
    <row r="7" spans="1:8">
      <c r="A7" s="35"/>
      <c r="B7" s="195" t="s">
        <v>198</v>
      </c>
      <c r="C7" s="385"/>
      <c r="D7" s="385"/>
      <c r="E7" s="385"/>
      <c r="F7" s="385"/>
      <c r="G7" s="385"/>
      <c r="H7" s="398"/>
    </row>
    <row r="8" spans="1:8">
      <c r="A8" s="35">
        <v>1</v>
      </c>
      <c r="B8" s="376" t="s">
        <v>197</v>
      </c>
      <c r="C8" s="386">
        <v>198955.7</v>
      </c>
      <c r="D8" s="386">
        <v>0</v>
      </c>
      <c r="E8" s="363">
        <f t="shared" ref="E8:E22" si="0">C8+D8</f>
        <v>198955.7</v>
      </c>
      <c r="F8" s="388">
        <v>398601.88</v>
      </c>
      <c r="G8" s="388">
        <v>13010.19</v>
      </c>
      <c r="H8" s="365">
        <f t="shared" ref="H8:H22" si="1">F8+G8</f>
        <v>411612.07</v>
      </c>
    </row>
    <row r="9" spans="1:8">
      <c r="A9" s="35">
        <v>2</v>
      </c>
      <c r="B9" s="376" t="s">
        <v>196</v>
      </c>
      <c r="C9" s="387">
        <f>C10+C11+C12+C13+C14+C15+C16+C17+C18</f>
        <v>6222679.1600000001</v>
      </c>
      <c r="D9" s="387">
        <f>D10+D11+D12+D13+D14+D15+D16+D17+D18</f>
        <v>342885.76</v>
      </c>
      <c r="E9" s="363">
        <f t="shared" si="0"/>
        <v>6565564.9199999999</v>
      </c>
      <c r="F9" s="387">
        <f>F10+F11+F12+F13+F14+F15+F16+F17+F18</f>
        <v>5773100.8000000007</v>
      </c>
      <c r="G9" s="387">
        <f>G10+G11+G12+G13+G14+G15+G16+G17+G18</f>
        <v>368468.71</v>
      </c>
      <c r="H9" s="365">
        <f t="shared" si="1"/>
        <v>6141569.5100000007</v>
      </c>
    </row>
    <row r="10" spans="1:8">
      <c r="A10" s="35">
        <v>2.1</v>
      </c>
      <c r="B10" s="377" t="s">
        <v>195</v>
      </c>
      <c r="C10" s="388">
        <v>0</v>
      </c>
      <c r="D10" s="388">
        <v>52673.88</v>
      </c>
      <c r="E10" s="363">
        <f t="shared" si="0"/>
        <v>52673.88</v>
      </c>
      <c r="F10" s="388">
        <v>0</v>
      </c>
      <c r="G10" s="388">
        <v>40683.57</v>
      </c>
      <c r="H10" s="365">
        <f t="shared" si="1"/>
        <v>40683.57</v>
      </c>
    </row>
    <row r="11" spans="1:8">
      <c r="A11" s="35">
        <v>2.2000000000000002</v>
      </c>
      <c r="B11" s="377" t="s">
        <v>194</v>
      </c>
      <c r="C11" s="388">
        <v>5692797.21</v>
      </c>
      <c r="D11" s="388">
        <v>0</v>
      </c>
      <c r="E11" s="363">
        <f t="shared" si="0"/>
        <v>5692797.21</v>
      </c>
      <c r="F11" s="388">
        <v>5143049.8800000008</v>
      </c>
      <c r="G11" s="388">
        <v>0</v>
      </c>
      <c r="H11" s="365">
        <f t="shared" si="1"/>
        <v>5143049.8800000008</v>
      </c>
    </row>
    <row r="12" spans="1:8">
      <c r="A12" s="35">
        <v>2.2999999999999998</v>
      </c>
      <c r="B12" s="377" t="s">
        <v>193</v>
      </c>
      <c r="C12" s="388"/>
      <c r="D12" s="388"/>
      <c r="E12" s="363">
        <f t="shared" si="0"/>
        <v>0</v>
      </c>
      <c r="F12" s="388"/>
      <c r="G12" s="388"/>
      <c r="H12" s="365">
        <f t="shared" si="1"/>
        <v>0</v>
      </c>
    </row>
    <row r="13" spans="1:8">
      <c r="A13" s="35">
        <v>2.4</v>
      </c>
      <c r="B13" s="377" t="s">
        <v>192</v>
      </c>
      <c r="C13" s="388"/>
      <c r="D13" s="388"/>
      <c r="E13" s="363">
        <f t="shared" si="0"/>
        <v>0</v>
      </c>
      <c r="F13" s="388"/>
      <c r="G13" s="388"/>
      <c r="H13" s="365">
        <f t="shared" si="1"/>
        <v>0</v>
      </c>
    </row>
    <row r="14" spans="1:8">
      <c r="A14" s="35">
        <v>2.5</v>
      </c>
      <c r="B14" s="377" t="s">
        <v>191</v>
      </c>
      <c r="C14" s="388"/>
      <c r="D14" s="388"/>
      <c r="E14" s="363">
        <f t="shared" si="0"/>
        <v>0</v>
      </c>
      <c r="F14" s="388"/>
      <c r="G14" s="388"/>
      <c r="H14" s="365">
        <f t="shared" si="1"/>
        <v>0</v>
      </c>
    </row>
    <row r="15" spans="1:8">
      <c r="A15" s="35">
        <v>2.6</v>
      </c>
      <c r="B15" s="377" t="s">
        <v>190</v>
      </c>
      <c r="C15" s="388"/>
      <c r="D15" s="388"/>
      <c r="E15" s="363">
        <f t="shared" si="0"/>
        <v>0</v>
      </c>
      <c r="F15" s="388"/>
      <c r="G15" s="388"/>
      <c r="H15" s="365">
        <f t="shared" si="1"/>
        <v>0</v>
      </c>
    </row>
    <row r="16" spans="1:8">
      <c r="A16" s="35">
        <v>2.7</v>
      </c>
      <c r="B16" s="377" t="s">
        <v>189</v>
      </c>
      <c r="C16" s="388"/>
      <c r="D16" s="388"/>
      <c r="E16" s="363">
        <f t="shared" si="0"/>
        <v>0</v>
      </c>
      <c r="F16" s="388"/>
      <c r="G16" s="388"/>
      <c r="H16" s="365">
        <f t="shared" si="1"/>
        <v>0</v>
      </c>
    </row>
    <row r="17" spans="1:8">
      <c r="A17" s="35">
        <v>2.8</v>
      </c>
      <c r="B17" s="377" t="s">
        <v>188</v>
      </c>
      <c r="C17" s="388">
        <v>529881.94999999995</v>
      </c>
      <c r="D17" s="388">
        <v>290211.88</v>
      </c>
      <c r="E17" s="363">
        <f t="shared" si="0"/>
        <v>820093.83</v>
      </c>
      <c r="F17" s="388">
        <v>630050.91999999993</v>
      </c>
      <c r="G17" s="388">
        <v>327785.14</v>
      </c>
      <c r="H17" s="365">
        <f t="shared" si="1"/>
        <v>957836.05999999994</v>
      </c>
    </row>
    <row r="18" spans="1:8">
      <c r="A18" s="35">
        <v>2.9</v>
      </c>
      <c r="B18" s="377" t="s">
        <v>187</v>
      </c>
      <c r="C18" s="388">
        <v>0</v>
      </c>
      <c r="D18" s="388">
        <v>0</v>
      </c>
      <c r="E18" s="363">
        <f t="shared" si="0"/>
        <v>0</v>
      </c>
      <c r="F18" s="388">
        <v>0</v>
      </c>
      <c r="G18" s="388">
        <v>0</v>
      </c>
      <c r="H18" s="365">
        <f t="shared" si="1"/>
        <v>0</v>
      </c>
    </row>
    <row r="19" spans="1:8">
      <c r="A19" s="35">
        <v>3</v>
      </c>
      <c r="B19" s="376" t="s">
        <v>186</v>
      </c>
      <c r="C19" s="388">
        <v>0</v>
      </c>
      <c r="D19" s="388">
        <v>0</v>
      </c>
      <c r="E19" s="363">
        <f t="shared" si="0"/>
        <v>0</v>
      </c>
      <c r="F19" s="388">
        <v>0</v>
      </c>
      <c r="G19" s="388">
        <v>0</v>
      </c>
      <c r="H19" s="365">
        <f t="shared" si="1"/>
        <v>0</v>
      </c>
    </row>
    <row r="20" spans="1:8">
      <c r="A20" s="35">
        <v>4</v>
      </c>
      <c r="B20" s="376" t="s">
        <v>185</v>
      </c>
      <c r="C20" s="388">
        <v>1561655.9613515614</v>
      </c>
      <c r="D20" s="388">
        <v>234240.10882963758</v>
      </c>
      <c r="E20" s="363">
        <f t="shared" si="0"/>
        <v>1795896.0701811989</v>
      </c>
      <c r="F20" s="388">
        <v>1083457.7447933503</v>
      </c>
      <c r="G20" s="388">
        <v>265837.94169962319</v>
      </c>
      <c r="H20" s="365">
        <f t="shared" si="1"/>
        <v>1349295.6864929735</v>
      </c>
    </row>
    <row r="21" spans="1:8">
      <c r="A21" s="35">
        <v>5</v>
      </c>
      <c r="B21" s="376" t="s">
        <v>184</v>
      </c>
      <c r="C21" s="388">
        <v>0</v>
      </c>
      <c r="D21" s="388"/>
      <c r="E21" s="363">
        <f t="shared" si="0"/>
        <v>0</v>
      </c>
      <c r="F21" s="388">
        <v>0</v>
      </c>
      <c r="G21" s="388"/>
      <c r="H21" s="365">
        <f t="shared" si="1"/>
        <v>0</v>
      </c>
    </row>
    <row r="22" spans="1:8">
      <c r="A22" s="35">
        <v>6</v>
      </c>
      <c r="B22" s="378" t="s">
        <v>183</v>
      </c>
      <c r="C22" s="387">
        <f>C8+C9+C19+C20+C21</f>
        <v>7983290.8213515617</v>
      </c>
      <c r="D22" s="387">
        <f>D8+D9+D19+D20+D21</f>
        <v>577125.86882963753</v>
      </c>
      <c r="E22" s="363">
        <f t="shared" si="0"/>
        <v>8560416.6901811995</v>
      </c>
      <c r="F22" s="387">
        <f>F8+F9+F19+F20+F21</f>
        <v>7255160.4247933514</v>
      </c>
      <c r="G22" s="387">
        <f>G8+G9+G19+G20+G21</f>
        <v>647316.84169962327</v>
      </c>
      <c r="H22" s="365">
        <f t="shared" si="1"/>
        <v>7902477.2664929749</v>
      </c>
    </row>
    <row r="23" spans="1:8">
      <c r="A23" s="35"/>
      <c r="B23" s="195" t="s">
        <v>182</v>
      </c>
      <c r="C23" s="388"/>
      <c r="D23" s="388"/>
      <c r="E23" s="362"/>
      <c r="F23" s="388"/>
      <c r="G23" s="388"/>
      <c r="H23" s="399"/>
    </row>
    <row r="24" spans="1:8">
      <c r="A24" s="35">
        <v>7</v>
      </c>
      <c r="B24" s="376" t="s">
        <v>181</v>
      </c>
      <c r="C24" s="388">
        <v>80471.47</v>
      </c>
      <c r="D24" s="388">
        <v>0</v>
      </c>
      <c r="E24" s="363">
        <f t="shared" ref="E24:E31" si="2">C24+D24</f>
        <v>80471.47</v>
      </c>
      <c r="F24" s="388">
        <v>39016.9</v>
      </c>
      <c r="G24" s="388">
        <v>0</v>
      </c>
      <c r="H24" s="365">
        <f t="shared" ref="H24:H31" si="3">F24+G24</f>
        <v>39016.9</v>
      </c>
    </row>
    <row r="25" spans="1:8">
      <c r="A25" s="35">
        <v>8</v>
      </c>
      <c r="B25" s="376" t="s">
        <v>180</v>
      </c>
      <c r="C25" s="388">
        <v>312401.5399999998</v>
      </c>
      <c r="D25" s="388">
        <v>0</v>
      </c>
      <c r="E25" s="363">
        <f t="shared" si="2"/>
        <v>312401.5399999998</v>
      </c>
      <c r="F25" s="388">
        <v>409168.74</v>
      </c>
      <c r="G25" s="388">
        <v>0</v>
      </c>
      <c r="H25" s="365">
        <f t="shared" si="3"/>
        <v>409168.74</v>
      </c>
    </row>
    <row r="26" spans="1:8">
      <c r="A26" s="35">
        <v>9</v>
      </c>
      <c r="B26" s="376" t="s">
        <v>179</v>
      </c>
      <c r="C26" s="388">
        <v>34483.129999999997</v>
      </c>
      <c r="D26" s="388">
        <v>891443.81</v>
      </c>
      <c r="E26" s="363">
        <f t="shared" si="2"/>
        <v>925926.94000000006</v>
      </c>
      <c r="F26" s="388">
        <v>327202.2</v>
      </c>
      <c r="G26" s="388">
        <v>888703.69000000006</v>
      </c>
      <c r="H26" s="365">
        <f t="shared" si="3"/>
        <v>1215905.8900000001</v>
      </c>
    </row>
    <row r="27" spans="1:8">
      <c r="A27" s="35">
        <v>10</v>
      </c>
      <c r="B27" s="376" t="s">
        <v>178</v>
      </c>
      <c r="C27" s="388">
        <v>0</v>
      </c>
      <c r="D27" s="388">
        <v>0</v>
      </c>
      <c r="E27" s="363">
        <f t="shared" si="2"/>
        <v>0</v>
      </c>
      <c r="F27" s="388">
        <v>0</v>
      </c>
      <c r="G27" s="388">
        <v>0</v>
      </c>
      <c r="H27" s="365">
        <f t="shared" si="3"/>
        <v>0</v>
      </c>
    </row>
    <row r="28" spans="1:8">
      <c r="A28" s="35">
        <v>11</v>
      </c>
      <c r="B28" s="376" t="s">
        <v>177</v>
      </c>
      <c r="C28" s="388">
        <v>202971.24</v>
      </c>
      <c r="D28" s="388">
        <v>419232.47</v>
      </c>
      <c r="E28" s="363">
        <f t="shared" si="2"/>
        <v>622203.71</v>
      </c>
      <c r="F28" s="388">
        <v>30190.240000000002</v>
      </c>
      <c r="G28" s="388">
        <v>664075.92999999993</v>
      </c>
      <c r="H28" s="365">
        <f t="shared" si="3"/>
        <v>694266.16999999993</v>
      </c>
    </row>
    <row r="29" spans="1:8">
      <c r="A29" s="35">
        <v>12</v>
      </c>
      <c r="B29" s="376" t="s">
        <v>176</v>
      </c>
      <c r="C29" s="388"/>
      <c r="D29" s="388"/>
      <c r="E29" s="363">
        <f t="shared" si="2"/>
        <v>0</v>
      </c>
      <c r="F29" s="388"/>
      <c r="G29" s="388"/>
      <c r="H29" s="365">
        <f t="shared" si="3"/>
        <v>0</v>
      </c>
    </row>
    <row r="30" spans="1:8">
      <c r="A30" s="35">
        <v>13</v>
      </c>
      <c r="B30" s="379" t="s">
        <v>175</v>
      </c>
      <c r="C30" s="387">
        <f>C24+C25+C26+C27+C28+C29</f>
        <v>630327.37999999977</v>
      </c>
      <c r="D30" s="387">
        <f>D24+D25+D26+D27+D28+D29</f>
        <v>1310676.28</v>
      </c>
      <c r="E30" s="363">
        <f t="shared" si="2"/>
        <v>1941003.6599999997</v>
      </c>
      <c r="F30" s="387">
        <f>F24+F25+F26+F27+F28+F29</f>
        <v>805578.08000000007</v>
      </c>
      <c r="G30" s="387">
        <f>G24+G25+G26+G27+G28+G29</f>
        <v>1552779.62</v>
      </c>
      <c r="H30" s="365">
        <f t="shared" si="3"/>
        <v>2358357.7000000002</v>
      </c>
    </row>
    <row r="31" spans="1:8">
      <c r="A31" s="35">
        <v>14</v>
      </c>
      <c r="B31" s="379" t="s">
        <v>174</v>
      </c>
      <c r="C31" s="387">
        <f>C22-C30</f>
        <v>7352963.4413515618</v>
      </c>
      <c r="D31" s="387">
        <f>D22-D30</f>
        <v>-733550.41117036249</v>
      </c>
      <c r="E31" s="363">
        <f t="shared" si="2"/>
        <v>6619413.0301811993</v>
      </c>
      <c r="F31" s="387">
        <f>F22-F30</f>
        <v>6449582.3447933514</v>
      </c>
      <c r="G31" s="387">
        <f>G22-G30</f>
        <v>-905462.77830037684</v>
      </c>
      <c r="H31" s="365">
        <f t="shared" si="3"/>
        <v>5544119.5664929748</v>
      </c>
    </row>
    <row r="32" spans="1:8">
      <c r="A32" s="35"/>
      <c r="B32" s="380"/>
      <c r="C32" s="389"/>
      <c r="D32" s="389"/>
      <c r="E32" s="389"/>
      <c r="F32" s="389"/>
      <c r="G32" s="389"/>
      <c r="H32" s="400"/>
    </row>
    <row r="33" spans="1:8">
      <c r="A33" s="35"/>
      <c r="B33" s="380" t="s">
        <v>173</v>
      </c>
      <c r="C33" s="388"/>
      <c r="D33" s="388"/>
      <c r="E33" s="362"/>
      <c r="F33" s="388"/>
      <c r="G33" s="388"/>
      <c r="H33" s="399"/>
    </row>
    <row r="34" spans="1:8">
      <c r="A34" s="35">
        <v>15</v>
      </c>
      <c r="B34" s="381" t="s">
        <v>172</v>
      </c>
      <c r="C34" s="390">
        <f>C35-C36</f>
        <v>242860.80999999994</v>
      </c>
      <c r="D34" s="390">
        <f>D35-D36</f>
        <v>0</v>
      </c>
      <c r="E34" s="363">
        <f t="shared" ref="E34:E45" si="4">C34+D34</f>
        <v>242860.80999999994</v>
      </c>
      <c r="F34" s="390">
        <f>F35-F36</f>
        <v>180820.29000000004</v>
      </c>
      <c r="G34" s="390">
        <f>G35-G36</f>
        <v>0</v>
      </c>
      <c r="H34" s="365">
        <f t="shared" ref="H34:H45" si="5">F34+G34</f>
        <v>180820.29000000004</v>
      </c>
    </row>
    <row r="35" spans="1:8">
      <c r="A35" s="35">
        <v>15.1</v>
      </c>
      <c r="B35" s="377" t="s">
        <v>171</v>
      </c>
      <c r="C35" s="388">
        <v>558319.31999999995</v>
      </c>
      <c r="D35" s="388"/>
      <c r="E35" s="363">
        <f t="shared" si="4"/>
        <v>558319.31999999995</v>
      </c>
      <c r="F35" s="388">
        <v>726682.84000000008</v>
      </c>
      <c r="G35" s="388"/>
      <c r="H35" s="365">
        <f t="shared" si="5"/>
        <v>726682.84000000008</v>
      </c>
    </row>
    <row r="36" spans="1:8">
      <c r="A36" s="35">
        <v>15.2</v>
      </c>
      <c r="B36" s="377" t="s">
        <v>170</v>
      </c>
      <c r="C36" s="388">
        <v>315458.51</v>
      </c>
      <c r="D36" s="388"/>
      <c r="E36" s="363">
        <f t="shared" si="4"/>
        <v>315458.51</v>
      </c>
      <c r="F36" s="388">
        <v>545862.55000000005</v>
      </c>
      <c r="G36" s="388"/>
      <c r="H36" s="365">
        <f t="shared" si="5"/>
        <v>545862.55000000005</v>
      </c>
    </row>
    <row r="37" spans="1:8">
      <c r="A37" s="35">
        <v>16</v>
      </c>
      <c r="B37" s="376" t="s">
        <v>169</v>
      </c>
      <c r="C37" s="388">
        <v>0</v>
      </c>
      <c r="D37" s="388"/>
      <c r="E37" s="363">
        <f t="shared" si="4"/>
        <v>0</v>
      </c>
      <c r="F37" s="388">
        <v>0</v>
      </c>
      <c r="G37" s="388"/>
      <c r="H37" s="365">
        <f t="shared" si="5"/>
        <v>0</v>
      </c>
    </row>
    <row r="38" spans="1:8">
      <c r="A38" s="35">
        <v>17</v>
      </c>
      <c r="B38" s="376" t="s">
        <v>168</v>
      </c>
      <c r="C38" s="388">
        <v>0</v>
      </c>
      <c r="D38" s="388"/>
      <c r="E38" s="363">
        <f t="shared" si="4"/>
        <v>0</v>
      </c>
      <c r="F38" s="388">
        <v>0</v>
      </c>
      <c r="G38" s="388"/>
      <c r="H38" s="365">
        <f t="shared" si="5"/>
        <v>0</v>
      </c>
    </row>
    <row r="39" spans="1:8">
      <c r="A39" s="35">
        <v>18</v>
      </c>
      <c r="B39" s="376" t="s">
        <v>167</v>
      </c>
      <c r="C39" s="388">
        <v>0</v>
      </c>
      <c r="D39" s="388"/>
      <c r="E39" s="363">
        <f t="shared" si="4"/>
        <v>0</v>
      </c>
      <c r="F39" s="388">
        <v>0</v>
      </c>
      <c r="G39" s="388"/>
      <c r="H39" s="365">
        <f t="shared" si="5"/>
        <v>0</v>
      </c>
    </row>
    <row r="40" spans="1:8">
      <c r="A40" s="35">
        <v>19</v>
      </c>
      <c r="B40" s="376" t="s">
        <v>166</v>
      </c>
      <c r="C40" s="388">
        <v>680001.21000000008</v>
      </c>
      <c r="D40" s="388"/>
      <c r="E40" s="363">
        <f t="shared" si="4"/>
        <v>680001.21000000008</v>
      </c>
      <c r="F40" s="388">
        <v>374701.24999999994</v>
      </c>
      <c r="G40" s="388"/>
      <c r="H40" s="365">
        <f t="shared" si="5"/>
        <v>374701.24999999994</v>
      </c>
    </row>
    <row r="41" spans="1:8">
      <c r="A41" s="35">
        <v>20</v>
      </c>
      <c r="B41" s="376" t="s">
        <v>165</v>
      </c>
      <c r="C41" s="388">
        <v>-274846.62999999896</v>
      </c>
      <c r="D41" s="388"/>
      <c r="E41" s="363">
        <f t="shared" si="4"/>
        <v>-274846.62999999896</v>
      </c>
      <c r="F41" s="388">
        <v>54049.789999999106</v>
      </c>
      <c r="G41" s="388"/>
      <c r="H41" s="365">
        <f t="shared" si="5"/>
        <v>54049.789999999106</v>
      </c>
    </row>
    <row r="42" spans="1:8">
      <c r="A42" s="35">
        <v>21</v>
      </c>
      <c r="B42" s="376" t="s">
        <v>164</v>
      </c>
      <c r="C42" s="388">
        <v>0</v>
      </c>
      <c r="D42" s="388"/>
      <c r="E42" s="363">
        <f t="shared" si="4"/>
        <v>0</v>
      </c>
      <c r="F42" s="388">
        <v>0</v>
      </c>
      <c r="G42" s="388"/>
      <c r="H42" s="365">
        <f t="shared" si="5"/>
        <v>0</v>
      </c>
    </row>
    <row r="43" spans="1:8">
      <c r="A43" s="35">
        <v>22</v>
      </c>
      <c r="B43" s="376" t="s">
        <v>163</v>
      </c>
      <c r="C43" s="388">
        <v>1063868.8400000001</v>
      </c>
      <c r="D43" s="388"/>
      <c r="E43" s="363">
        <f t="shared" si="4"/>
        <v>1063868.8400000001</v>
      </c>
      <c r="F43" s="388">
        <v>794670.13</v>
      </c>
      <c r="G43" s="388"/>
      <c r="H43" s="365">
        <f t="shared" si="5"/>
        <v>794670.13</v>
      </c>
    </row>
    <row r="44" spans="1:8">
      <c r="A44" s="35">
        <v>23</v>
      </c>
      <c r="B44" s="376" t="s">
        <v>162</v>
      </c>
      <c r="C44" s="388">
        <v>0</v>
      </c>
      <c r="D44" s="388"/>
      <c r="E44" s="363">
        <f t="shared" si="4"/>
        <v>0</v>
      </c>
      <c r="F44" s="388">
        <v>0</v>
      </c>
      <c r="G44" s="388"/>
      <c r="H44" s="365">
        <f t="shared" si="5"/>
        <v>0</v>
      </c>
    </row>
    <row r="45" spans="1:8">
      <c r="A45" s="35">
        <v>24</v>
      </c>
      <c r="B45" s="379" t="s">
        <v>278</v>
      </c>
      <c r="C45" s="387">
        <f>C34+C37+C38+C39+C40+C41+C42+C43+C44</f>
        <v>1711884.2300000011</v>
      </c>
      <c r="D45" s="387">
        <f>D34+D37+D38+D39+D40+D41+D42+D43+D44</f>
        <v>0</v>
      </c>
      <c r="E45" s="363">
        <f t="shared" si="4"/>
        <v>1711884.2300000011</v>
      </c>
      <c r="F45" s="387">
        <f>F34+F37+F38+F39+F40+F41+F42+F43+F44</f>
        <v>1404241.459999999</v>
      </c>
      <c r="G45" s="387">
        <f>G34+G37+G38+G39+G40+G41+G42+G43+G44</f>
        <v>0</v>
      </c>
      <c r="H45" s="365">
        <f t="shared" si="5"/>
        <v>1404241.459999999</v>
      </c>
    </row>
    <row r="46" spans="1:8">
      <c r="A46" s="35"/>
      <c r="B46" s="195" t="s">
        <v>161</v>
      </c>
      <c r="C46" s="388"/>
      <c r="D46" s="388"/>
      <c r="E46" s="388"/>
      <c r="F46" s="388"/>
      <c r="G46" s="388"/>
      <c r="H46" s="401"/>
    </row>
    <row r="47" spans="1:8">
      <c r="A47" s="35">
        <v>25</v>
      </c>
      <c r="B47" s="376" t="s">
        <v>160</v>
      </c>
      <c r="C47" s="388">
        <v>0</v>
      </c>
      <c r="D47" s="388"/>
      <c r="E47" s="363">
        <f t="shared" ref="E47:E54" si="6">C47+D47</f>
        <v>0</v>
      </c>
      <c r="F47" s="388">
        <v>0</v>
      </c>
      <c r="G47" s="388"/>
      <c r="H47" s="365">
        <f t="shared" ref="H47:H54" si="7">F47+G47</f>
        <v>0</v>
      </c>
    </row>
    <row r="48" spans="1:8">
      <c r="A48" s="35">
        <v>26</v>
      </c>
      <c r="B48" s="376" t="s">
        <v>159</v>
      </c>
      <c r="C48" s="388">
        <v>26784.880000000005</v>
      </c>
      <c r="D48" s="388"/>
      <c r="E48" s="363">
        <f t="shared" si="6"/>
        <v>26784.880000000005</v>
      </c>
      <c r="F48" s="388">
        <v>51901.53</v>
      </c>
      <c r="G48" s="388"/>
      <c r="H48" s="365">
        <f t="shared" si="7"/>
        <v>51901.53</v>
      </c>
    </row>
    <row r="49" spans="1:8">
      <c r="A49" s="35">
        <v>27</v>
      </c>
      <c r="B49" s="376" t="s">
        <v>158</v>
      </c>
      <c r="C49" s="388">
        <v>2599818.69</v>
      </c>
      <c r="D49" s="388"/>
      <c r="E49" s="363">
        <f t="shared" si="6"/>
        <v>2599818.69</v>
      </c>
      <c r="F49" s="388">
        <v>2351635.2899999996</v>
      </c>
      <c r="G49" s="388"/>
      <c r="H49" s="365">
        <f t="shared" si="7"/>
        <v>2351635.2899999996</v>
      </c>
    </row>
    <row r="50" spans="1:8">
      <c r="A50" s="35">
        <v>28</v>
      </c>
      <c r="B50" s="376" t="s">
        <v>157</v>
      </c>
      <c r="C50" s="388">
        <v>21107.230000000003</v>
      </c>
      <c r="D50" s="388"/>
      <c r="E50" s="363">
        <f t="shared" si="6"/>
        <v>21107.230000000003</v>
      </c>
      <c r="F50" s="388">
        <v>9552.7499999999982</v>
      </c>
      <c r="G50" s="388"/>
      <c r="H50" s="365">
        <f t="shared" si="7"/>
        <v>9552.7499999999982</v>
      </c>
    </row>
    <row r="51" spans="1:8">
      <c r="A51" s="35">
        <v>29</v>
      </c>
      <c r="B51" s="376" t="s">
        <v>156</v>
      </c>
      <c r="C51" s="388">
        <v>244567.77000000002</v>
      </c>
      <c r="D51" s="388"/>
      <c r="E51" s="363">
        <f t="shared" si="6"/>
        <v>244567.77000000002</v>
      </c>
      <c r="F51" s="388">
        <v>365754.36000000004</v>
      </c>
      <c r="G51" s="388"/>
      <c r="H51" s="365">
        <f t="shared" si="7"/>
        <v>365754.36000000004</v>
      </c>
    </row>
    <row r="52" spans="1:8">
      <c r="A52" s="35">
        <v>30</v>
      </c>
      <c r="B52" s="376" t="s">
        <v>155</v>
      </c>
      <c r="C52" s="388">
        <v>736846.41999999993</v>
      </c>
      <c r="D52" s="388"/>
      <c r="E52" s="363">
        <f t="shared" si="6"/>
        <v>736846.41999999993</v>
      </c>
      <c r="F52" s="388">
        <v>780156.6399999999</v>
      </c>
      <c r="G52" s="388"/>
      <c r="H52" s="365">
        <f t="shared" si="7"/>
        <v>780156.6399999999</v>
      </c>
    </row>
    <row r="53" spans="1:8">
      <c r="A53" s="35">
        <v>31</v>
      </c>
      <c r="B53" s="379" t="s">
        <v>279</v>
      </c>
      <c r="C53" s="387">
        <f>C47+C48+C49+C50+C51+C52</f>
        <v>3629124.9899999998</v>
      </c>
      <c r="D53" s="387">
        <f>D47+D48+D49+D50+D51+D52</f>
        <v>0</v>
      </c>
      <c r="E53" s="363">
        <f t="shared" si="6"/>
        <v>3629124.9899999998</v>
      </c>
      <c r="F53" s="387">
        <f>F47+F48+F49+F50+F51+F52</f>
        <v>3559000.5699999994</v>
      </c>
      <c r="G53" s="387">
        <f>G47+G48+G49+G50+G51+G52</f>
        <v>0</v>
      </c>
      <c r="H53" s="365">
        <f t="shared" si="7"/>
        <v>3559000.5699999994</v>
      </c>
    </row>
    <row r="54" spans="1:8">
      <c r="A54" s="35">
        <v>32</v>
      </c>
      <c r="B54" s="379" t="s">
        <v>280</v>
      </c>
      <c r="C54" s="387">
        <f>C45-C53</f>
        <v>-1917240.7599999986</v>
      </c>
      <c r="D54" s="387">
        <f>D45-D53</f>
        <v>0</v>
      </c>
      <c r="E54" s="363">
        <f t="shared" si="6"/>
        <v>-1917240.7599999986</v>
      </c>
      <c r="F54" s="387">
        <f>F45-F53</f>
        <v>-2154759.1100000003</v>
      </c>
      <c r="G54" s="387">
        <f>G45-G53</f>
        <v>0</v>
      </c>
      <c r="H54" s="365">
        <f t="shared" si="7"/>
        <v>-2154759.1100000003</v>
      </c>
    </row>
    <row r="55" spans="1:8">
      <c r="A55" s="35"/>
      <c r="B55" s="380"/>
      <c r="C55" s="389"/>
      <c r="D55" s="389"/>
      <c r="E55" s="389"/>
      <c r="F55" s="389"/>
      <c r="G55" s="389"/>
      <c r="H55" s="400"/>
    </row>
    <row r="56" spans="1:8">
      <c r="A56" s="35">
        <v>33</v>
      </c>
      <c r="B56" s="379" t="s">
        <v>154</v>
      </c>
      <c r="C56" s="387">
        <f>C31+C54</f>
        <v>5435722.681351563</v>
      </c>
      <c r="D56" s="387">
        <f>D31+D54</f>
        <v>-733550.41117036249</v>
      </c>
      <c r="E56" s="363">
        <f>C56+D56</f>
        <v>4702172.2701812005</v>
      </c>
      <c r="F56" s="387">
        <f>F31+F54</f>
        <v>4294823.234793351</v>
      </c>
      <c r="G56" s="387">
        <f>G31+G54</f>
        <v>-905462.77830037684</v>
      </c>
      <c r="H56" s="365">
        <f>F56+G56</f>
        <v>3389360.4564929744</v>
      </c>
    </row>
    <row r="57" spans="1:8">
      <c r="A57" s="35"/>
      <c r="B57" s="380"/>
      <c r="C57" s="389"/>
      <c r="D57" s="389"/>
      <c r="E57" s="389"/>
      <c r="F57" s="389"/>
      <c r="G57" s="389"/>
      <c r="H57" s="400"/>
    </row>
    <row r="58" spans="1:8">
      <c r="A58" s="35">
        <v>34</v>
      </c>
      <c r="B58" s="376" t="s">
        <v>153</v>
      </c>
      <c r="C58" s="388">
        <v>5572291.9985290188</v>
      </c>
      <c r="D58" s="388"/>
      <c r="E58" s="363">
        <f>C58+D58</f>
        <v>5572291.9985290188</v>
      </c>
      <c r="F58" s="388">
        <v>-17340.737964374945</v>
      </c>
      <c r="G58" s="388"/>
      <c r="H58" s="365">
        <f>F58+G58</f>
        <v>-17340.737964374945</v>
      </c>
    </row>
    <row r="59" spans="1:8" s="196" customFormat="1">
      <c r="A59" s="35">
        <v>35</v>
      </c>
      <c r="B59" s="376" t="s">
        <v>152</v>
      </c>
      <c r="C59" s="388">
        <v>-46819.30154161682</v>
      </c>
      <c r="D59" s="388"/>
      <c r="E59" s="393">
        <f>C59+D59</f>
        <v>-46819.30154161682</v>
      </c>
      <c r="F59" s="395">
        <v>193.14136336799129</v>
      </c>
      <c r="G59" s="395"/>
      <c r="H59" s="402">
        <f>F59+G59</f>
        <v>193.14136336799129</v>
      </c>
    </row>
    <row r="60" spans="1:8">
      <c r="A60" s="35">
        <v>36</v>
      </c>
      <c r="B60" s="376" t="s">
        <v>151</v>
      </c>
      <c r="C60" s="388">
        <v>895590.45919867116</v>
      </c>
      <c r="D60" s="388"/>
      <c r="E60" s="363">
        <f>C60+D60</f>
        <v>895590.45919867116</v>
      </c>
      <c r="F60" s="388">
        <v>-114762.32593209998</v>
      </c>
      <c r="G60" s="388"/>
      <c r="H60" s="365">
        <f>F60+G60</f>
        <v>-114762.32593209998</v>
      </c>
    </row>
    <row r="61" spans="1:8">
      <c r="A61" s="35">
        <v>37</v>
      </c>
      <c r="B61" s="379" t="s">
        <v>150</v>
      </c>
      <c r="C61" s="387">
        <f>C58+C59+C60</f>
        <v>6421063.1561860731</v>
      </c>
      <c r="D61" s="387">
        <f>D58+D59+D60</f>
        <v>0</v>
      </c>
      <c r="E61" s="363">
        <f>C61+D61</f>
        <v>6421063.1561860731</v>
      </c>
      <c r="F61" s="387">
        <f>F58+F59+F60</f>
        <v>-131909.92253310693</v>
      </c>
      <c r="G61" s="387">
        <f>G58+G59+G60</f>
        <v>0</v>
      </c>
      <c r="H61" s="365">
        <f>F61+G61</f>
        <v>-131909.92253310693</v>
      </c>
    </row>
    <row r="62" spans="1:8">
      <c r="A62" s="35"/>
      <c r="B62" s="382"/>
      <c r="C62" s="388"/>
      <c r="D62" s="388"/>
      <c r="E62" s="388"/>
      <c r="F62" s="388"/>
      <c r="G62" s="388"/>
      <c r="H62" s="401"/>
    </row>
    <row r="63" spans="1:8">
      <c r="A63" s="35">
        <v>38</v>
      </c>
      <c r="B63" s="383" t="s">
        <v>149</v>
      </c>
      <c r="C63" s="387">
        <f>C56-C61</f>
        <v>-985340.47483451013</v>
      </c>
      <c r="D63" s="387">
        <f>D56-D61</f>
        <v>-733550.41117036249</v>
      </c>
      <c r="E63" s="363">
        <f>C63+D63</f>
        <v>-1718890.8860048726</v>
      </c>
      <c r="F63" s="387">
        <f>F56-F61</f>
        <v>4426733.157326458</v>
      </c>
      <c r="G63" s="387">
        <f>G56-G61</f>
        <v>-905462.77830037684</v>
      </c>
      <c r="H63" s="365">
        <f>F63+G63</f>
        <v>3521270.3790260814</v>
      </c>
    </row>
    <row r="64" spans="1:8">
      <c r="A64" s="34">
        <v>39</v>
      </c>
      <c r="B64" s="376" t="s">
        <v>148</v>
      </c>
      <c r="C64" s="391">
        <v>0</v>
      </c>
      <c r="D64" s="391"/>
      <c r="E64" s="363">
        <f>C64+D64</f>
        <v>0</v>
      </c>
      <c r="F64" s="391">
        <v>0</v>
      </c>
      <c r="G64" s="391"/>
      <c r="H64" s="365">
        <f>F64+G64</f>
        <v>0</v>
      </c>
    </row>
    <row r="65" spans="1:8">
      <c r="A65" s="35">
        <v>40</v>
      </c>
      <c r="B65" s="379" t="s">
        <v>147</v>
      </c>
      <c r="C65" s="387">
        <f>C63-C64</f>
        <v>-985340.47483451013</v>
      </c>
      <c r="D65" s="387">
        <f>D63-D64</f>
        <v>-733550.41117036249</v>
      </c>
      <c r="E65" s="363">
        <f>C65+D65</f>
        <v>-1718890.8860048726</v>
      </c>
      <c r="F65" s="387">
        <f>F63-F64</f>
        <v>4426733.157326458</v>
      </c>
      <c r="G65" s="387">
        <f>G63-G64</f>
        <v>-905462.77830037684</v>
      </c>
      <c r="H65" s="365">
        <f>F65+G65</f>
        <v>3521270.3790260814</v>
      </c>
    </row>
    <row r="66" spans="1:8">
      <c r="A66" s="34">
        <v>41</v>
      </c>
      <c r="B66" s="376" t="s">
        <v>146</v>
      </c>
      <c r="C66" s="391"/>
      <c r="D66" s="391"/>
      <c r="E66" s="363">
        <f>C66+D66</f>
        <v>0</v>
      </c>
      <c r="F66" s="391"/>
      <c r="G66" s="391"/>
      <c r="H66" s="365">
        <f>F66+G66</f>
        <v>0</v>
      </c>
    </row>
    <row r="67" spans="1:8" ht="13.5" thickBot="1">
      <c r="A67" s="36">
        <v>42</v>
      </c>
      <c r="B67" s="37" t="s">
        <v>145</v>
      </c>
      <c r="C67" s="392">
        <f>C65+C66</f>
        <v>-985340.47483451013</v>
      </c>
      <c r="D67" s="392">
        <f>D65+D66</f>
        <v>-733550.41117036249</v>
      </c>
      <c r="E67" s="394">
        <f>C67+D67</f>
        <v>-1718890.8860048726</v>
      </c>
      <c r="F67" s="392">
        <f>F65+F66</f>
        <v>4426733.157326458</v>
      </c>
      <c r="G67" s="392">
        <f>G65+G66</f>
        <v>-905462.77830037684</v>
      </c>
      <c r="H67" s="403">
        <f>F67+G67</f>
        <v>3521270.3790260814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>
      <selection activeCell="B5" sqref="B5:B6"/>
    </sheetView>
  </sheetViews>
  <sheetFormatPr defaultColWidth="9.140625" defaultRowHeight="14.25"/>
  <cols>
    <col min="1" max="1" width="9.5703125" style="5" bestFit="1" customWidth="1"/>
    <col min="2" max="2" width="72.28515625" style="5" customWidth="1"/>
    <col min="3" max="8" width="12.7109375" style="5" customWidth="1"/>
    <col min="9" max="16384" width="9.14062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44012</v>
      </c>
    </row>
    <row r="3" spans="1:8">
      <c r="A3" s="4"/>
    </row>
    <row r="4" spans="1:8" ht="15" thickBot="1">
      <c r="A4" s="4" t="s">
        <v>74</v>
      </c>
      <c r="B4" s="4"/>
      <c r="C4" s="404"/>
      <c r="D4" s="404"/>
      <c r="E4" s="404"/>
      <c r="F4" s="404"/>
      <c r="G4" s="405"/>
      <c r="H4" s="406" t="s">
        <v>73</v>
      </c>
    </row>
    <row r="5" spans="1:8">
      <c r="A5" s="543" t="s">
        <v>6</v>
      </c>
      <c r="B5" s="545" t="s">
        <v>345</v>
      </c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544"/>
      <c r="B6" s="546"/>
      <c r="C6" s="354" t="s">
        <v>292</v>
      </c>
      <c r="D6" s="354" t="s">
        <v>122</v>
      </c>
      <c r="E6" s="354" t="s">
        <v>109</v>
      </c>
      <c r="F6" s="354" t="s">
        <v>292</v>
      </c>
      <c r="G6" s="354" t="s">
        <v>122</v>
      </c>
      <c r="H6" s="355" t="s">
        <v>109</v>
      </c>
    </row>
    <row r="7" spans="1:8" s="17" customFormat="1">
      <c r="A7" s="180">
        <v>1</v>
      </c>
      <c r="B7" s="407" t="s">
        <v>379</v>
      </c>
      <c r="C7" s="390">
        <f>SUM(C8:C11)</f>
        <v>29967221.759999998</v>
      </c>
      <c r="D7" s="390">
        <f>SUM(D8:D11)</f>
        <v>42305417.890000001</v>
      </c>
      <c r="E7" s="390">
        <f>C7+D7</f>
        <v>72272639.650000006</v>
      </c>
      <c r="F7" s="390">
        <f>SUM(F8:F11)</f>
        <v>27978194.139999997</v>
      </c>
      <c r="G7" s="390">
        <f>SUM(G8:G11)</f>
        <v>19108971.490000002</v>
      </c>
      <c r="H7" s="365">
        <f t="shared" ref="H7:H53" si="0">F7+G7</f>
        <v>47087165.629999995</v>
      </c>
    </row>
    <row r="8" spans="1:8" s="17" customFormat="1">
      <c r="A8" s="180">
        <v>1.1000000000000001</v>
      </c>
      <c r="B8" s="408" t="s">
        <v>310</v>
      </c>
      <c r="C8" s="409">
        <v>29898564.509999998</v>
      </c>
      <c r="D8" s="409">
        <v>42290141.890000001</v>
      </c>
      <c r="E8" s="390">
        <f t="shared" ref="E8:E53" si="1">C8+D8</f>
        <v>72188706.400000006</v>
      </c>
      <c r="F8" s="409">
        <v>27906168.649999999</v>
      </c>
      <c r="G8" s="409">
        <v>19094627.990000002</v>
      </c>
      <c r="H8" s="365">
        <f t="shared" si="0"/>
        <v>47000796.640000001</v>
      </c>
    </row>
    <row r="9" spans="1:8" s="17" customFormat="1">
      <c r="A9" s="180">
        <v>1.2</v>
      </c>
      <c r="B9" s="408" t="s">
        <v>311</v>
      </c>
      <c r="C9" s="409"/>
      <c r="D9" s="409"/>
      <c r="E9" s="390">
        <f t="shared" si="1"/>
        <v>0</v>
      </c>
      <c r="F9" s="409"/>
      <c r="G9" s="409"/>
      <c r="H9" s="365">
        <f t="shared" si="0"/>
        <v>0</v>
      </c>
    </row>
    <row r="10" spans="1:8" s="17" customFormat="1">
      <c r="A10" s="180">
        <v>1.3</v>
      </c>
      <c r="B10" s="408" t="s">
        <v>312</v>
      </c>
      <c r="C10" s="409">
        <v>68657.25</v>
      </c>
      <c r="D10" s="409">
        <v>15276</v>
      </c>
      <c r="E10" s="390">
        <f t="shared" si="1"/>
        <v>83933.25</v>
      </c>
      <c r="F10" s="409">
        <v>72025.490000000049</v>
      </c>
      <c r="G10" s="409">
        <v>14343.5</v>
      </c>
      <c r="H10" s="365">
        <f t="shared" si="0"/>
        <v>86368.990000000049</v>
      </c>
    </row>
    <row r="11" spans="1:8" s="17" customFormat="1">
      <c r="A11" s="180">
        <v>1.4</v>
      </c>
      <c r="B11" s="408" t="s">
        <v>293</v>
      </c>
      <c r="C11" s="409"/>
      <c r="D11" s="409"/>
      <c r="E11" s="390">
        <f t="shared" si="1"/>
        <v>0</v>
      </c>
      <c r="F11" s="409"/>
      <c r="G11" s="409"/>
      <c r="H11" s="365">
        <f t="shared" si="0"/>
        <v>0</v>
      </c>
    </row>
    <row r="12" spans="1:8" s="17" customFormat="1" ht="29.25" customHeight="1">
      <c r="A12" s="180">
        <v>2</v>
      </c>
      <c r="B12" s="182" t="s">
        <v>314</v>
      </c>
      <c r="C12" s="390"/>
      <c r="D12" s="390"/>
      <c r="E12" s="390">
        <f t="shared" si="1"/>
        <v>0</v>
      </c>
      <c r="F12" s="390"/>
      <c r="G12" s="390"/>
      <c r="H12" s="365">
        <f t="shared" si="0"/>
        <v>0</v>
      </c>
    </row>
    <row r="13" spans="1:8" s="17" customFormat="1" ht="19.899999999999999" customHeight="1">
      <c r="A13" s="180">
        <v>3</v>
      </c>
      <c r="B13" s="182" t="s">
        <v>313</v>
      </c>
      <c r="C13" s="390">
        <f>C14+C15</f>
        <v>0</v>
      </c>
      <c r="D13" s="390">
        <f>D14+D15</f>
        <v>0</v>
      </c>
      <c r="E13" s="390">
        <f t="shared" si="1"/>
        <v>0</v>
      </c>
      <c r="F13" s="390">
        <f>F14+F15</f>
        <v>0</v>
      </c>
      <c r="G13" s="390">
        <f>G14+G15</f>
        <v>0</v>
      </c>
      <c r="H13" s="365">
        <f t="shared" si="0"/>
        <v>0</v>
      </c>
    </row>
    <row r="14" spans="1:8" s="17" customFormat="1">
      <c r="A14" s="180">
        <v>3.1</v>
      </c>
      <c r="B14" s="228" t="s">
        <v>294</v>
      </c>
      <c r="C14" s="409"/>
      <c r="D14" s="409"/>
      <c r="E14" s="390">
        <f t="shared" si="1"/>
        <v>0</v>
      </c>
      <c r="F14" s="409"/>
      <c r="G14" s="409"/>
      <c r="H14" s="365">
        <f t="shared" si="0"/>
        <v>0</v>
      </c>
    </row>
    <row r="15" spans="1:8" s="17" customFormat="1">
      <c r="A15" s="180">
        <v>3.2</v>
      </c>
      <c r="B15" s="228" t="s">
        <v>295</v>
      </c>
      <c r="C15" s="409"/>
      <c r="D15" s="409"/>
      <c r="E15" s="390">
        <f t="shared" si="1"/>
        <v>0</v>
      </c>
      <c r="F15" s="409"/>
      <c r="G15" s="409"/>
      <c r="H15" s="365">
        <f t="shared" si="0"/>
        <v>0</v>
      </c>
    </row>
    <row r="16" spans="1:8" s="17" customFormat="1">
      <c r="A16" s="180">
        <v>4</v>
      </c>
      <c r="B16" s="230" t="s">
        <v>324</v>
      </c>
      <c r="C16" s="390">
        <f>C17+C18</f>
        <v>49602962.779999986</v>
      </c>
      <c r="D16" s="390">
        <f>D17+D18</f>
        <v>79116471.82828401</v>
      </c>
      <c r="E16" s="390">
        <f t="shared" si="1"/>
        <v>128719434.608284</v>
      </c>
      <c r="F16" s="390">
        <f>F17+F18</f>
        <v>22872162</v>
      </c>
      <c r="G16" s="390">
        <f>G17+G18</f>
        <v>97184691.315226495</v>
      </c>
      <c r="H16" s="365">
        <f t="shared" si="0"/>
        <v>120056853.3152265</v>
      </c>
    </row>
    <row r="17" spans="1:8" s="17" customFormat="1">
      <c r="A17" s="180">
        <v>4.0999999999999996</v>
      </c>
      <c r="B17" s="228" t="s">
        <v>315</v>
      </c>
      <c r="C17" s="409">
        <v>26639537.219999991</v>
      </c>
      <c r="D17" s="409">
        <v>54355890.700000003</v>
      </c>
      <c r="E17" s="390">
        <f t="shared" si="1"/>
        <v>80995427.919999987</v>
      </c>
      <c r="F17" s="409"/>
      <c r="G17" s="409">
        <v>92265381.315226495</v>
      </c>
      <c r="H17" s="365">
        <f t="shared" si="0"/>
        <v>92265381.315226495</v>
      </c>
    </row>
    <row r="18" spans="1:8" s="17" customFormat="1">
      <c r="A18" s="180">
        <v>4.2</v>
      </c>
      <c r="B18" s="228" t="s">
        <v>309</v>
      </c>
      <c r="C18" s="409">
        <v>22963425.559999999</v>
      </c>
      <c r="D18" s="409">
        <v>24760581.128284004</v>
      </c>
      <c r="E18" s="390">
        <f t="shared" si="1"/>
        <v>47724006.688284002</v>
      </c>
      <c r="F18" s="409">
        <v>22872162</v>
      </c>
      <c r="G18" s="409">
        <v>4919310</v>
      </c>
      <c r="H18" s="365">
        <f t="shared" si="0"/>
        <v>27791472</v>
      </c>
    </row>
    <row r="19" spans="1:8" s="17" customFormat="1">
      <c r="A19" s="180">
        <v>5</v>
      </c>
      <c r="B19" s="182" t="s">
        <v>323</v>
      </c>
      <c r="C19" s="390">
        <f>C20+C21+C22+SUM(C28:C31)</f>
        <v>24800</v>
      </c>
      <c r="D19" s="390">
        <f>D20+D21+D22+SUM(D28:D31)</f>
        <v>284017224.39588577</v>
      </c>
      <c r="E19" s="390">
        <f t="shared" si="1"/>
        <v>284042024.39588577</v>
      </c>
      <c r="F19" s="390">
        <f>F20+F21+F22+SUM(F28:F31)</f>
        <v>3173743.65</v>
      </c>
      <c r="G19" s="390">
        <f>G20+G21+G22+SUM(G28:G31)</f>
        <v>474428040.7954843</v>
      </c>
      <c r="H19" s="365">
        <f t="shared" si="0"/>
        <v>477601784.44548428</v>
      </c>
    </row>
    <row r="20" spans="1:8" s="17" customFormat="1">
      <c r="A20" s="180">
        <v>5.0999999999999996</v>
      </c>
      <c r="B20" s="410" t="s">
        <v>298</v>
      </c>
      <c r="C20" s="409">
        <v>24800</v>
      </c>
      <c r="D20" s="409">
        <v>831349.15826399997</v>
      </c>
      <c r="E20" s="390">
        <f t="shared" si="1"/>
        <v>856149.15826399997</v>
      </c>
      <c r="F20" s="409">
        <v>3173743.65</v>
      </c>
      <c r="G20" s="409">
        <v>2356705.0891509997</v>
      </c>
      <c r="H20" s="365">
        <f t="shared" si="0"/>
        <v>5530448.7391509991</v>
      </c>
    </row>
    <row r="21" spans="1:8" s="17" customFormat="1">
      <c r="A21" s="180">
        <v>5.2</v>
      </c>
      <c r="B21" s="410" t="s">
        <v>297</v>
      </c>
      <c r="C21" s="409"/>
      <c r="D21" s="409"/>
      <c r="E21" s="390">
        <f t="shared" si="1"/>
        <v>0</v>
      </c>
      <c r="F21" s="409"/>
      <c r="G21" s="409"/>
      <c r="H21" s="365">
        <f t="shared" si="0"/>
        <v>0</v>
      </c>
    </row>
    <row r="22" spans="1:8" s="17" customFormat="1">
      <c r="A22" s="180">
        <v>5.3</v>
      </c>
      <c r="B22" s="410" t="s">
        <v>296</v>
      </c>
      <c r="C22" s="411">
        <f>SUM(C23:C27)</f>
        <v>0</v>
      </c>
      <c r="D22" s="411">
        <f>SUM(D23:D27)</f>
        <v>229623354.29742706</v>
      </c>
      <c r="E22" s="390">
        <f t="shared" si="1"/>
        <v>229623354.29742706</v>
      </c>
      <c r="F22" s="411">
        <f>SUM(F23:F27)</f>
        <v>0</v>
      </c>
      <c r="G22" s="411">
        <f>SUM(G23:G27)</f>
        <v>304409750.08082271</v>
      </c>
      <c r="H22" s="365">
        <f t="shared" si="0"/>
        <v>304409750.08082271</v>
      </c>
    </row>
    <row r="23" spans="1:8" s="17" customFormat="1">
      <c r="A23" s="180" t="s">
        <v>15</v>
      </c>
      <c r="B23" s="412" t="s">
        <v>75</v>
      </c>
      <c r="C23" s="409"/>
      <c r="D23" s="409">
        <v>33515716.846909802</v>
      </c>
      <c r="E23" s="390">
        <f t="shared" si="1"/>
        <v>33515716.846909802</v>
      </c>
      <c r="F23" s="409"/>
      <c r="G23" s="409">
        <v>24364926.836179476</v>
      </c>
      <c r="H23" s="365">
        <f t="shared" si="0"/>
        <v>24364926.836179476</v>
      </c>
    </row>
    <row r="24" spans="1:8" s="17" customFormat="1">
      <c r="A24" s="180" t="s">
        <v>16</v>
      </c>
      <c r="B24" s="412" t="s">
        <v>76</v>
      </c>
      <c r="C24" s="409"/>
      <c r="D24" s="409">
        <v>165715402.19187051</v>
      </c>
      <c r="E24" s="390">
        <f t="shared" si="1"/>
        <v>165715402.19187051</v>
      </c>
      <c r="F24" s="409"/>
      <c r="G24" s="409">
        <v>241883454.92331636</v>
      </c>
      <c r="H24" s="365">
        <f t="shared" si="0"/>
        <v>241883454.92331636</v>
      </c>
    </row>
    <row r="25" spans="1:8" s="17" customFormat="1">
      <c r="A25" s="180" t="s">
        <v>17</v>
      </c>
      <c r="B25" s="412" t="s">
        <v>77</v>
      </c>
      <c r="C25" s="409"/>
      <c r="D25" s="409">
        <v>165389.50420823164</v>
      </c>
      <c r="E25" s="390">
        <f t="shared" si="1"/>
        <v>165389.50420823164</v>
      </c>
      <c r="F25" s="409"/>
      <c r="G25" s="409">
        <v>1989385.7674771792</v>
      </c>
      <c r="H25" s="365">
        <f t="shared" si="0"/>
        <v>1989385.7674771792</v>
      </c>
    </row>
    <row r="26" spans="1:8" s="17" customFormat="1">
      <c r="A26" s="180" t="s">
        <v>18</v>
      </c>
      <c r="B26" s="412" t="s">
        <v>78</v>
      </c>
      <c r="C26" s="409"/>
      <c r="D26" s="409">
        <v>30226845.754438505</v>
      </c>
      <c r="E26" s="390">
        <f t="shared" si="1"/>
        <v>30226845.754438505</v>
      </c>
      <c r="F26" s="409"/>
      <c r="G26" s="409">
        <v>36024338.404045068</v>
      </c>
      <c r="H26" s="365">
        <f t="shared" si="0"/>
        <v>36024338.404045068</v>
      </c>
    </row>
    <row r="27" spans="1:8" s="17" customFormat="1">
      <c r="A27" s="180" t="s">
        <v>19</v>
      </c>
      <c r="B27" s="412" t="s">
        <v>79</v>
      </c>
      <c r="C27" s="409"/>
      <c r="D27" s="409">
        <v>0</v>
      </c>
      <c r="E27" s="390">
        <f t="shared" si="1"/>
        <v>0</v>
      </c>
      <c r="F27" s="409"/>
      <c r="G27" s="409">
        <v>147644.14980462345</v>
      </c>
      <c r="H27" s="365">
        <f t="shared" si="0"/>
        <v>147644.14980462345</v>
      </c>
    </row>
    <row r="28" spans="1:8" s="17" customFormat="1">
      <c r="A28" s="180">
        <v>5.4</v>
      </c>
      <c r="B28" s="410" t="s">
        <v>299</v>
      </c>
      <c r="C28" s="409"/>
      <c r="D28" s="409">
        <v>6376493.2122657057</v>
      </c>
      <c r="E28" s="390">
        <f t="shared" si="1"/>
        <v>6376493.2122657057</v>
      </c>
      <c r="F28" s="409"/>
      <c r="G28" s="409">
        <v>4638018.2746641133</v>
      </c>
      <c r="H28" s="365">
        <f t="shared" si="0"/>
        <v>4638018.2746641133</v>
      </c>
    </row>
    <row r="29" spans="1:8" s="17" customFormat="1">
      <c r="A29" s="180">
        <v>5.5</v>
      </c>
      <c r="B29" s="410" t="s">
        <v>300</v>
      </c>
      <c r="C29" s="409"/>
      <c r="D29" s="409">
        <v>0</v>
      </c>
      <c r="E29" s="390">
        <f t="shared" si="1"/>
        <v>0</v>
      </c>
      <c r="F29" s="409"/>
      <c r="G29" s="409">
        <v>10498979.350846443</v>
      </c>
      <c r="H29" s="365">
        <f t="shared" si="0"/>
        <v>10498979.350846443</v>
      </c>
    </row>
    <row r="30" spans="1:8" s="17" customFormat="1">
      <c r="A30" s="180">
        <v>5.6</v>
      </c>
      <c r="B30" s="410" t="s">
        <v>301</v>
      </c>
      <c r="C30" s="409"/>
      <c r="D30" s="409">
        <v>0</v>
      </c>
      <c r="E30" s="390">
        <f t="shared" si="1"/>
        <v>0</v>
      </c>
      <c r="F30" s="409"/>
      <c r="G30" s="409">
        <v>0</v>
      </c>
      <c r="H30" s="365">
        <f t="shared" si="0"/>
        <v>0</v>
      </c>
    </row>
    <row r="31" spans="1:8" s="17" customFormat="1">
      <c r="A31" s="180">
        <v>5.7</v>
      </c>
      <c r="B31" s="410" t="s">
        <v>79</v>
      </c>
      <c r="C31" s="409"/>
      <c r="D31" s="409">
        <v>47186027.727928996</v>
      </c>
      <c r="E31" s="390">
        <f t="shared" si="1"/>
        <v>47186027.727928996</v>
      </c>
      <c r="F31" s="409"/>
      <c r="G31" s="409">
        <v>152524588</v>
      </c>
      <c r="H31" s="365">
        <f t="shared" si="0"/>
        <v>152524588</v>
      </c>
    </row>
    <row r="32" spans="1:8" s="17" customFormat="1">
      <c r="A32" s="180">
        <v>6</v>
      </c>
      <c r="B32" s="182" t="s">
        <v>329</v>
      </c>
      <c r="C32" s="390">
        <f>SUM(C33:C39)</f>
        <v>0</v>
      </c>
      <c r="D32" s="390">
        <f>SUM(D33:D39)</f>
        <v>0</v>
      </c>
      <c r="E32" s="390">
        <f t="shared" si="1"/>
        <v>0</v>
      </c>
      <c r="F32" s="390">
        <f>SUM(F33:F39)</f>
        <v>0</v>
      </c>
      <c r="G32" s="390">
        <f>SUM(G33:G39)</f>
        <v>0</v>
      </c>
      <c r="H32" s="365">
        <f t="shared" si="0"/>
        <v>0</v>
      </c>
    </row>
    <row r="33" spans="1:8" s="17" customFormat="1">
      <c r="A33" s="180">
        <v>6.1</v>
      </c>
      <c r="B33" s="229" t="s">
        <v>319</v>
      </c>
      <c r="C33" s="409"/>
      <c r="D33" s="409"/>
      <c r="E33" s="390">
        <f t="shared" si="1"/>
        <v>0</v>
      </c>
      <c r="F33" s="409"/>
      <c r="G33" s="409"/>
      <c r="H33" s="365">
        <f t="shared" si="0"/>
        <v>0</v>
      </c>
    </row>
    <row r="34" spans="1:8" s="17" customFormat="1">
      <c r="A34" s="180">
        <v>6.2</v>
      </c>
      <c r="B34" s="229" t="s">
        <v>320</v>
      </c>
      <c r="C34" s="409"/>
      <c r="D34" s="409">
        <v>0</v>
      </c>
      <c r="E34" s="390">
        <f t="shared" si="1"/>
        <v>0</v>
      </c>
      <c r="F34" s="409"/>
      <c r="G34" s="409"/>
      <c r="H34" s="365">
        <f t="shared" si="0"/>
        <v>0</v>
      </c>
    </row>
    <row r="35" spans="1:8" s="17" customFormat="1">
      <c r="A35" s="180">
        <v>6.3</v>
      </c>
      <c r="B35" s="229" t="s">
        <v>316</v>
      </c>
      <c r="C35" s="409"/>
      <c r="D35" s="409"/>
      <c r="E35" s="390">
        <f t="shared" si="1"/>
        <v>0</v>
      </c>
      <c r="F35" s="409"/>
      <c r="G35" s="409"/>
      <c r="H35" s="365">
        <f t="shared" si="0"/>
        <v>0</v>
      </c>
    </row>
    <row r="36" spans="1:8" s="17" customFormat="1">
      <c r="A36" s="180">
        <v>6.4</v>
      </c>
      <c r="B36" s="229" t="s">
        <v>317</v>
      </c>
      <c r="C36" s="409"/>
      <c r="D36" s="409"/>
      <c r="E36" s="390">
        <f t="shared" si="1"/>
        <v>0</v>
      </c>
      <c r="F36" s="409"/>
      <c r="G36" s="409"/>
      <c r="H36" s="365">
        <f t="shared" si="0"/>
        <v>0</v>
      </c>
    </row>
    <row r="37" spans="1:8" s="17" customFormat="1">
      <c r="A37" s="180">
        <v>6.5</v>
      </c>
      <c r="B37" s="229" t="s">
        <v>318</v>
      </c>
      <c r="C37" s="409"/>
      <c r="D37" s="409"/>
      <c r="E37" s="390">
        <f t="shared" si="1"/>
        <v>0</v>
      </c>
      <c r="F37" s="409"/>
      <c r="G37" s="409"/>
      <c r="H37" s="365">
        <f t="shared" si="0"/>
        <v>0</v>
      </c>
    </row>
    <row r="38" spans="1:8" s="17" customFormat="1">
      <c r="A38" s="180">
        <v>6.6</v>
      </c>
      <c r="B38" s="229" t="s">
        <v>321</v>
      </c>
      <c r="C38" s="409"/>
      <c r="D38" s="409"/>
      <c r="E38" s="390">
        <f t="shared" si="1"/>
        <v>0</v>
      </c>
      <c r="F38" s="409"/>
      <c r="G38" s="409"/>
      <c r="H38" s="365">
        <f t="shared" si="0"/>
        <v>0</v>
      </c>
    </row>
    <row r="39" spans="1:8" s="17" customFormat="1">
      <c r="A39" s="180">
        <v>6.7</v>
      </c>
      <c r="B39" s="229" t="s">
        <v>322</v>
      </c>
      <c r="C39" s="409"/>
      <c r="D39" s="409"/>
      <c r="E39" s="390">
        <f t="shared" si="1"/>
        <v>0</v>
      </c>
      <c r="F39" s="409"/>
      <c r="G39" s="409"/>
      <c r="H39" s="365">
        <f t="shared" si="0"/>
        <v>0</v>
      </c>
    </row>
    <row r="40" spans="1:8" s="17" customFormat="1">
      <c r="A40" s="180">
        <v>7</v>
      </c>
      <c r="B40" s="182" t="s">
        <v>325</v>
      </c>
      <c r="C40" s="390">
        <f>SUM(C41:C44)</f>
        <v>148239.27999999991</v>
      </c>
      <c r="D40" s="390">
        <f>SUM(D41:D44)</f>
        <v>55383.400000000009</v>
      </c>
      <c r="E40" s="390">
        <f t="shared" si="1"/>
        <v>203622.67999999993</v>
      </c>
      <c r="F40" s="390">
        <f>SUM(F41:F44)</f>
        <v>115680.41999999998</v>
      </c>
      <c r="G40" s="390">
        <f>SUM(G41:G44)</f>
        <v>26629.06</v>
      </c>
      <c r="H40" s="365">
        <f t="shared" si="0"/>
        <v>142309.47999999998</v>
      </c>
    </row>
    <row r="41" spans="1:8" s="17" customFormat="1">
      <c r="A41" s="180">
        <v>7.1</v>
      </c>
      <c r="B41" s="181" t="s">
        <v>326</v>
      </c>
      <c r="C41" s="409"/>
      <c r="D41" s="409"/>
      <c r="E41" s="390">
        <f t="shared" si="1"/>
        <v>0</v>
      </c>
      <c r="F41" s="409"/>
      <c r="G41" s="409"/>
      <c r="H41" s="365">
        <f t="shared" si="0"/>
        <v>0</v>
      </c>
    </row>
    <row r="42" spans="1:8" s="17" customFormat="1" ht="25.5">
      <c r="A42" s="180">
        <v>7.2</v>
      </c>
      <c r="B42" s="181" t="s">
        <v>327</v>
      </c>
      <c r="C42" s="409"/>
      <c r="D42" s="409"/>
      <c r="E42" s="390">
        <f t="shared" si="1"/>
        <v>0</v>
      </c>
      <c r="F42" s="409"/>
      <c r="G42" s="409"/>
      <c r="H42" s="365">
        <f t="shared" si="0"/>
        <v>0</v>
      </c>
    </row>
    <row r="43" spans="1:8" s="17" customFormat="1" ht="25.5">
      <c r="A43" s="180">
        <v>7.3</v>
      </c>
      <c r="B43" s="181" t="s">
        <v>330</v>
      </c>
      <c r="C43" s="409"/>
      <c r="D43" s="409"/>
      <c r="E43" s="390">
        <f t="shared" si="1"/>
        <v>0</v>
      </c>
      <c r="F43" s="409"/>
      <c r="G43" s="409"/>
      <c r="H43" s="365">
        <f t="shared" si="0"/>
        <v>0</v>
      </c>
    </row>
    <row r="44" spans="1:8" s="17" customFormat="1" ht="25.5">
      <c r="A44" s="180">
        <v>7.4</v>
      </c>
      <c r="B44" s="181" t="s">
        <v>331</v>
      </c>
      <c r="C44" s="409">
        <v>148239.27999999991</v>
      </c>
      <c r="D44" s="409">
        <v>55383.400000000009</v>
      </c>
      <c r="E44" s="390">
        <f t="shared" si="1"/>
        <v>203622.67999999993</v>
      </c>
      <c r="F44" s="409">
        <v>115680.41999999998</v>
      </c>
      <c r="G44" s="409">
        <v>26629.06</v>
      </c>
      <c r="H44" s="365">
        <f t="shared" si="0"/>
        <v>142309.47999999998</v>
      </c>
    </row>
    <row r="45" spans="1:8" s="17" customFormat="1">
      <c r="A45" s="180">
        <v>8</v>
      </c>
      <c r="B45" s="182" t="s">
        <v>308</v>
      </c>
      <c r="C45" s="390">
        <f>SUM(C46:C52)</f>
        <v>1183498.8</v>
      </c>
      <c r="D45" s="390">
        <f>SUM(D46:D52)</f>
        <v>429373.68000000005</v>
      </c>
      <c r="E45" s="390">
        <f t="shared" si="1"/>
        <v>1612872.48</v>
      </c>
      <c r="F45" s="390">
        <f>SUM(F46:F52)</f>
        <v>1979898</v>
      </c>
      <c r="G45" s="390">
        <f>SUM(G46:G52)</f>
        <v>574287.12</v>
      </c>
      <c r="H45" s="365">
        <f t="shared" si="0"/>
        <v>2554185.12</v>
      </c>
    </row>
    <row r="46" spans="1:8" s="17" customFormat="1">
      <c r="A46" s="180">
        <v>8.1</v>
      </c>
      <c r="B46" s="228" t="s">
        <v>332</v>
      </c>
      <c r="C46" s="409"/>
      <c r="D46" s="409"/>
      <c r="E46" s="390">
        <f t="shared" si="1"/>
        <v>0</v>
      </c>
      <c r="F46" s="409"/>
      <c r="G46" s="409"/>
      <c r="H46" s="365">
        <f t="shared" si="0"/>
        <v>0</v>
      </c>
    </row>
    <row r="47" spans="1:8" s="17" customFormat="1">
      <c r="A47" s="180">
        <v>8.1999999999999993</v>
      </c>
      <c r="B47" s="228" t="s">
        <v>333</v>
      </c>
      <c r="C47" s="409">
        <v>790849.20000000007</v>
      </c>
      <c r="D47" s="409">
        <v>214686.84000000003</v>
      </c>
      <c r="E47" s="390">
        <f t="shared" si="1"/>
        <v>1005536.04</v>
      </c>
      <c r="F47" s="409">
        <v>600674.4</v>
      </c>
      <c r="G47" s="409">
        <v>191429.04</v>
      </c>
      <c r="H47" s="365">
        <f t="shared" si="0"/>
        <v>792103.44000000006</v>
      </c>
    </row>
    <row r="48" spans="1:8" s="17" customFormat="1">
      <c r="A48" s="180">
        <v>8.3000000000000007</v>
      </c>
      <c r="B48" s="228" t="s">
        <v>334</v>
      </c>
      <c r="C48" s="409">
        <v>392649.6</v>
      </c>
      <c r="D48" s="409">
        <v>214686.84000000003</v>
      </c>
      <c r="E48" s="390">
        <f t="shared" si="1"/>
        <v>607336.43999999994</v>
      </c>
      <c r="F48" s="409">
        <v>791449.20000000007</v>
      </c>
      <c r="G48" s="409">
        <v>191429.04</v>
      </c>
      <c r="H48" s="365">
        <f t="shared" si="0"/>
        <v>982878.24000000011</v>
      </c>
    </row>
    <row r="49" spans="1:8" s="17" customFormat="1">
      <c r="A49" s="180">
        <v>8.4</v>
      </c>
      <c r="B49" s="228" t="s">
        <v>335</v>
      </c>
      <c r="C49" s="409">
        <v>0</v>
      </c>
      <c r="D49" s="409">
        <v>0</v>
      </c>
      <c r="E49" s="390">
        <f t="shared" si="1"/>
        <v>0</v>
      </c>
      <c r="F49" s="409">
        <v>587774.4</v>
      </c>
      <c r="G49" s="409">
        <v>191429.04</v>
      </c>
      <c r="H49" s="365">
        <f t="shared" si="0"/>
        <v>779203.44000000006</v>
      </c>
    </row>
    <row r="50" spans="1:8" s="17" customFormat="1">
      <c r="A50" s="180">
        <v>8.5</v>
      </c>
      <c r="B50" s="228" t="s">
        <v>336</v>
      </c>
      <c r="C50" s="409"/>
      <c r="D50" s="409"/>
      <c r="E50" s="390">
        <f t="shared" si="1"/>
        <v>0</v>
      </c>
      <c r="F50" s="409">
        <v>0</v>
      </c>
      <c r="G50" s="409">
        <v>0</v>
      </c>
      <c r="H50" s="365">
        <f t="shared" si="0"/>
        <v>0</v>
      </c>
    </row>
    <row r="51" spans="1:8" s="17" customFormat="1">
      <c r="A51" s="180">
        <v>8.6</v>
      </c>
      <c r="B51" s="228" t="s">
        <v>337</v>
      </c>
      <c r="C51" s="409"/>
      <c r="D51" s="409"/>
      <c r="E51" s="390">
        <f t="shared" si="1"/>
        <v>0</v>
      </c>
      <c r="F51" s="409"/>
      <c r="G51" s="409">
        <v>0</v>
      </c>
      <c r="H51" s="365">
        <f t="shared" si="0"/>
        <v>0</v>
      </c>
    </row>
    <row r="52" spans="1:8" s="17" customFormat="1">
      <c r="A52" s="180">
        <v>8.6999999999999993</v>
      </c>
      <c r="B52" s="228" t="s">
        <v>338</v>
      </c>
      <c r="C52" s="409"/>
      <c r="D52" s="409"/>
      <c r="E52" s="390">
        <f t="shared" si="1"/>
        <v>0</v>
      </c>
      <c r="F52" s="409"/>
      <c r="G52" s="409"/>
      <c r="H52" s="365">
        <f t="shared" si="0"/>
        <v>0</v>
      </c>
    </row>
    <row r="53" spans="1:8" s="17" customFormat="1" ht="15" thickBot="1">
      <c r="A53" s="183">
        <v>9</v>
      </c>
      <c r="B53" s="184" t="s">
        <v>328</v>
      </c>
      <c r="C53" s="413"/>
      <c r="D53" s="413"/>
      <c r="E53" s="413">
        <f t="shared" si="1"/>
        <v>0</v>
      </c>
      <c r="F53" s="413"/>
      <c r="G53" s="413"/>
      <c r="H53" s="403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40625" defaultRowHeight="12.75"/>
  <cols>
    <col min="1" max="1" width="9.5703125" style="4" bestFit="1" customWidth="1"/>
    <col min="2" max="2" width="93.5703125" style="4" customWidth="1"/>
    <col min="3" max="4" width="12.7109375" style="4" customWidth="1"/>
    <col min="5" max="11" width="9.7109375" style="29" customWidth="1"/>
    <col min="12" max="16384" width="9.140625" style="29"/>
  </cols>
  <sheetData>
    <row r="1" spans="1:8">
      <c r="A1" s="337" t="s">
        <v>30</v>
      </c>
      <c r="B1" s="338" t="s">
        <v>439</v>
      </c>
      <c r="C1" s="3"/>
    </row>
    <row r="2" spans="1:8">
      <c r="A2" s="337" t="s">
        <v>31</v>
      </c>
      <c r="B2" s="339">
        <f>'1. key ratios '!B2</f>
        <v>44012</v>
      </c>
      <c r="C2" s="6"/>
      <c r="D2" s="7"/>
      <c r="E2" s="38"/>
      <c r="F2" s="38"/>
      <c r="G2" s="38"/>
      <c r="H2" s="38"/>
    </row>
    <row r="3" spans="1:8">
      <c r="A3" s="2"/>
      <c r="B3" s="3"/>
      <c r="C3" s="6"/>
      <c r="D3" s="7"/>
      <c r="E3" s="38"/>
      <c r="F3" s="38"/>
      <c r="G3" s="38"/>
      <c r="H3" s="38"/>
    </row>
    <row r="4" spans="1:8" ht="15" customHeight="1" thickBot="1">
      <c r="A4" s="7" t="s">
        <v>202</v>
      </c>
      <c r="B4" s="130" t="s">
        <v>302</v>
      </c>
      <c r="D4" s="414" t="s">
        <v>73</v>
      </c>
    </row>
    <row r="5" spans="1:8" ht="15" customHeight="1">
      <c r="A5" s="214" t="s">
        <v>6</v>
      </c>
      <c r="B5" s="215"/>
      <c r="C5" s="415" t="str">
        <f>'1. key ratios '!C5</f>
        <v xml:space="preserve"> 2Q 2020</v>
      </c>
      <c r="D5" s="416" t="str">
        <f>'1. key ratios '!D5</f>
        <v xml:space="preserve"> 1Q 2020</v>
      </c>
    </row>
    <row r="6" spans="1:8" ht="15" customHeight="1">
      <c r="A6" s="39">
        <v>1</v>
      </c>
      <c r="B6" s="321" t="s">
        <v>306</v>
      </c>
      <c r="C6" s="417">
        <f>C7+C9+C10</f>
        <v>309318758.44030887</v>
      </c>
      <c r="D6" s="418">
        <f>D7+D9+D10</f>
        <v>322629826.37095749</v>
      </c>
    </row>
    <row r="7" spans="1:8" ht="15" customHeight="1">
      <c r="A7" s="39">
        <v>1.1000000000000001</v>
      </c>
      <c r="B7" s="321" t="s">
        <v>509</v>
      </c>
      <c r="C7" s="419">
        <v>266347115.07530886</v>
      </c>
      <c r="D7" s="420">
        <v>276115990.82595748</v>
      </c>
    </row>
    <row r="8" spans="1:8">
      <c r="A8" s="39" t="s">
        <v>14</v>
      </c>
      <c r="B8" s="321" t="s">
        <v>201</v>
      </c>
      <c r="C8" s="419"/>
      <c r="D8" s="420"/>
    </row>
    <row r="9" spans="1:8" ht="15" customHeight="1">
      <c r="A9" s="39">
        <v>1.2</v>
      </c>
      <c r="B9" s="322" t="s">
        <v>200</v>
      </c>
      <c r="C9" s="419">
        <v>42971643.36500001</v>
      </c>
      <c r="D9" s="420">
        <v>46441576.545000002</v>
      </c>
    </row>
    <row r="10" spans="1:8" ht="15" customHeight="1">
      <c r="A10" s="39">
        <v>1.3</v>
      </c>
      <c r="B10" s="421" t="s">
        <v>28</v>
      </c>
      <c r="C10" s="419">
        <v>0</v>
      </c>
      <c r="D10" s="420">
        <v>72259</v>
      </c>
    </row>
    <row r="11" spans="1:8" ht="15" customHeight="1">
      <c r="A11" s="39">
        <v>2</v>
      </c>
      <c r="B11" s="321" t="s">
        <v>303</v>
      </c>
      <c r="C11" s="422">
        <v>2405024.7169642635</v>
      </c>
      <c r="D11" s="420">
        <v>54948.835542868728</v>
      </c>
    </row>
    <row r="12" spans="1:8" ht="15" customHeight="1">
      <c r="A12" s="39">
        <v>3</v>
      </c>
      <c r="B12" s="321" t="s">
        <v>304</v>
      </c>
      <c r="C12" s="419">
        <v>22160683.935528707</v>
      </c>
      <c r="D12" s="420">
        <v>22160683.935528707</v>
      </c>
    </row>
    <row r="13" spans="1:8" ht="15" customHeight="1" thickBot="1">
      <c r="A13" s="41">
        <v>4</v>
      </c>
      <c r="B13" s="42" t="s">
        <v>305</v>
      </c>
      <c r="C13" s="423">
        <f>C6+C11+C12</f>
        <v>333884467.09280181</v>
      </c>
      <c r="D13" s="424">
        <f>D6+D11+D12</f>
        <v>344845459.14202905</v>
      </c>
    </row>
    <row r="14" spans="1:8">
      <c r="A14" s="425"/>
      <c r="B14" s="426"/>
      <c r="C14" s="426"/>
      <c r="D14" s="426"/>
    </row>
    <row r="15" spans="1:8" ht="25.5">
      <c r="B15" s="46" t="s">
        <v>508</v>
      </c>
    </row>
    <row r="16" spans="1:8">
      <c r="B16" s="46"/>
    </row>
    <row r="17" spans="1:4" ht="11.25">
      <c r="A17" s="29"/>
      <c r="B17" s="29"/>
      <c r="C17" s="29"/>
      <c r="D17" s="29"/>
    </row>
    <row r="18" spans="1:4" ht="11.25">
      <c r="A18" s="29"/>
      <c r="B18" s="29"/>
      <c r="C18" s="29"/>
      <c r="D18" s="29"/>
    </row>
    <row r="19" spans="1:4" ht="11.25">
      <c r="A19" s="29"/>
      <c r="B19" s="29"/>
      <c r="C19" s="29"/>
      <c r="D19" s="29"/>
    </row>
    <row r="20" spans="1:4" ht="11.25">
      <c r="A20" s="29"/>
      <c r="B20" s="29"/>
      <c r="C20" s="29"/>
      <c r="D20" s="29"/>
    </row>
    <row r="21" spans="1:4" ht="11.25">
      <c r="A21" s="29"/>
      <c r="B21" s="29"/>
      <c r="C21" s="29"/>
      <c r="D21" s="29"/>
    </row>
    <row r="22" spans="1:4" ht="11.25">
      <c r="A22" s="29"/>
      <c r="B22" s="29"/>
      <c r="C22" s="29"/>
      <c r="D22" s="29"/>
    </row>
    <row r="23" spans="1:4" ht="11.25">
      <c r="A23" s="29"/>
      <c r="B23" s="29"/>
      <c r="C23" s="29"/>
      <c r="D23" s="29"/>
    </row>
    <row r="24" spans="1:4" ht="11.25">
      <c r="A24" s="29"/>
      <c r="B24" s="29"/>
      <c r="C24" s="29"/>
      <c r="D24" s="29"/>
    </row>
    <row r="25" spans="1:4" ht="11.25">
      <c r="A25" s="29"/>
      <c r="B25" s="29"/>
      <c r="C25" s="29"/>
      <c r="D25" s="29"/>
    </row>
    <row r="26" spans="1:4" ht="11.25">
      <c r="A26" s="29"/>
      <c r="B26" s="29"/>
      <c r="C26" s="29"/>
      <c r="D26" s="29"/>
    </row>
    <row r="27" spans="1:4" ht="11.25">
      <c r="A27" s="29"/>
      <c r="B27" s="29"/>
      <c r="C27" s="29"/>
      <c r="D27" s="29"/>
    </row>
    <row r="28" spans="1:4" ht="11.25">
      <c r="A28" s="29"/>
      <c r="B28" s="29"/>
      <c r="C28" s="29"/>
      <c r="D28" s="29"/>
    </row>
    <row r="29" spans="1:4" ht="11.25">
      <c r="A29" s="29"/>
      <c r="B29" s="29"/>
      <c r="C29" s="29"/>
      <c r="D29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4.25"/>
  <cols>
    <col min="1" max="1" width="9.5703125" style="4" bestFit="1" customWidth="1"/>
    <col min="2" max="2" width="90.42578125" style="4" bestFit="1" customWidth="1"/>
    <col min="3" max="3" width="9.140625" style="4"/>
    <col min="4" max="16384" width="9.14062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44012</v>
      </c>
    </row>
    <row r="4" spans="1:8" ht="16.5" customHeight="1" thickBot="1">
      <c r="A4" s="47" t="s">
        <v>80</v>
      </c>
      <c r="B4" s="48" t="s">
        <v>272</v>
      </c>
      <c r="C4" s="49"/>
    </row>
    <row r="5" spans="1:8">
      <c r="A5" s="50"/>
      <c r="B5" s="547" t="s">
        <v>81</v>
      </c>
      <c r="C5" s="548"/>
    </row>
    <row r="6" spans="1:8">
      <c r="A6" s="51">
        <v>1</v>
      </c>
      <c r="B6" s="427" t="s">
        <v>443</v>
      </c>
      <c r="C6" s="53"/>
    </row>
    <row r="7" spans="1:8">
      <c r="A7" s="51">
        <v>2</v>
      </c>
      <c r="B7" s="427" t="s">
        <v>454</v>
      </c>
      <c r="C7" s="53"/>
    </row>
    <row r="8" spans="1:8">
      <c r="A8" s="51">
        <v>3</v>
      </c>
      <c r="B8" s="427" t="s">
        <v>451</v>
      </c>
      <c r="C8" s="53"/>
    </row>
    <row r="9" spans="1:8">
      <c r="A9" s="51">
        <v>4</v>
      </c>
      <c r="B9" s="427" t="s">
        <v>452</v>
      </c>
      <c r="C9" s="53"/>
    </row>
    <row r="10" spans="1:8">
      <c r="A10" s="51">
        <v>5</v>
      </c>
      <c r="B10" s="427" t="s">
        <v>455</v>
      </c>
      <c r="C10" s="53"/>
    </row>
    <row r="11" spans="1:8">
      <c r="A11" s="51">
        <v>6</v>
      </c>
      <c r="B11" s="427" t="s">
        <v>444</v>
      </c>
      <c r="C11" s="53"/>
    </row>
    <row r="12" spans="1:8">
      <c r="A12" s="51">
        <v>7</v>
      </c>
      <c r="B12" s="52" t="s">
        <v>503</v>
      </c>
      <c r="C12" s="53"/>
      <c r="H12" s="54"/>
    </row>
    <row r="13" spans="1:8">
      <c r="A13" s="51">
        <v>8</v>
      </c>
      <c r="B13" s="52"/>
      <c r="C13" s="53"/>
    </row>
    <row r="14" spans="1:8">
      <c r="A14" s="51">
        <v>9</v>
      </c>
      <c r="B14" s="52"/>
      <c r="C14" s="53"/>
    </row>
    <row r="15" spans="1:8">
      <c r="A15" s="51">
        <v>10</v>
      </c>
      <c r="B15" s="52"/>
      <c r="C15" s="53"/>
    </row>
    <row r="16" spans="1:8">
      <c r="A16" s="51"/>
      <c r="B16" s="549"/>
      <c r="C16" s="550"/>
    </row>
    <row r="17" spans="1:3">
      <c r="A17" s="51"/>
      <c r="B17" s="551" t="s">
        <v>82</v>
      </c>
      <c r="C17" s="552"/>
    </row>
    <row r="18" spans="1:3">
      <c r="A18" s="51">
        <v>1</v>
      </c>
      <c r="B18" s="427" t="s">
        <v>441</v>
      </c>
      <c r="C18" s="55"/>
    </row>
    <row r="19" spans="1:3">
      <c r="A19" s="51">
        <v>2</v>
      </c>
      <c r="B19" s="427" t="s">
        <v>504</v>
      </c>
      <c r="C19" s="55"/>
    </row>
    <row r="20" spans="1:3">
      <c r="A20" s="51">
        <v>3</v>
      </c>
      <c r="B20" s="427" t="s">
        <v>453</v>
      </c>
      <c r="C20" s="55"/>
    </row>
    <row r="21" spans="1:3">
      <c r="A21" s="51">
        <v>4</v>
      </c>
      <c r="B21" s="52"/>
      <c r="C21" s="55"/>
    </row>
    <row r="22" spans="1:3">
      <c r="A22" s="51">
        <v>5</v>
      </c>
      <c r="B22" s="52"/>
      <c r="C22" s="55"/>
    </row>
    <row r="23" spans="1:3">
      <c r="A23" s="51">
        <v>6</v>
      </c>
      <c r="B23" s="52"/>
      <c r="C23" s="55"/>
    </row>
    <row r="24" spans="1:3">
      <c r="A24" s="51">
        <v>7</v>
      </c>
      <c r="B24" s="52"/>
      <c r="C24" s="55"/>
    </row>
    <row r="25" spans="1:3">
      <c r="A25" s="51">
        <v>8</v>
      </c>
      <c r="B25" s="52"/>
      <c r="C25" s="55"/>
    </row>
    <row r="26" spans="1:3">
      <c r="A26" s="51">
        <v>9</v>
      </c>
      <c r="B26" s="52"/>
      <c r="C26" s="55"/>
    </row>
    <row r="27" spans="1:3" ht="15.75" customHeight="1">
      <c r="A27" s="51">
        <v>10</v>
      </c>
      <c r="B27" s="52"/>
      <c r="C27" s="56"/>
    </row>
    <row r="28" spans="1:3" ht="15.75" customHeight="1">
      <c r="A28" s="51"/>
      <c r="B28" s="52"/>
      <c r="C28" s="56"/>
    </row>
    <row r="29" spans="1:3" ht="30" customHeight="1">
      <c r="A29" s="51"/>
      <c r="B29" s="551" t="s">
        <v>83</v>
      </c>
      <c r="C29" s="552"/>
    </row>
    <row r="30" spans="1:3">
      <c r="A30" s="51">
        <v>1</v>
      </c>
      <c r="B30" s="427" t="s">
        <v>445</v>
      </c>
      <c r="C30" s="428">
        <v>1</v>
      </c>
    </row>
    <row r="31" spans="1:3" ht="15.75" customHeight="1">
      <c r="A31" s="51"/>
      <c r="B31" s="52"/>
      <c r="C31" s="53"/>
    </row>
    <row r="32" spans="1:3" ht="29.25" customHeight="1">
      <c r="A32" s="51"/>
      <c r="B32" s="551" t="s">
        <v>84</v>
      </c>
      <c r="C32" s="552"/>
    </row>
    <row r="33" spans="1:3">
      <c r="A33" s="51">
        <v>1</v>
      </c>
      <c r="B33" s="52" t="s">
        <v>446</v>
      </c>
      <c r="C33" s="535">
        <v>0.37519999999999998</v>
      </c>
    </row>
    <row r="34" spans="1:3" ht="15" thickBot="1">
      <c r="A34" s="57">
        <v>2</v>
      </c>
      <c r="B34" s="58" t="s">
        <v>447</v>
      </c>
      <c r="C34" s="536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:E4"/>
    </sheetView>
  </sheetViews>
  <sheetFormatPr defaultColWidth="9.140625" defaultRowHeight="14.25"/>
  <cols>
    <col min="1" max="1" width="9.5703125" style="4" bestFit="1" customWidth="1"/>
    <col min="2" max="2" width="47.5703125" style="4" customWidth="1"/>
    <col min="3" max="3" width="28" style="4" customWidth="1"/>
    <col min="4" max="4" width="22.42578125" style="4" customWidth="1"/>
    <col min="5" max="5" width="22.28515625" style="4" customWidth="1"/>
    <col min="6" max="6" width="12" style="5" bestFit="1" customWidth="1"/>
    <col min="7" max="7" width="12.5703125" style="5" bestFit="1" customWidth="1"/>
    <col min="8" max="16384" width="9.140625" style="5"/>
  </cols>
  <sheetData>
    <row r="1" spans="1:7">
      <c r="A1" s="337" t="s">
        <v>30</v>
      </c>
      <c r="B1" s="338" t="s">
        <v>439</v>
      </c>
      <c r="C1" s="71"/>
      <c r="D1" s="71"/>
      <c r="E1" s="71"/>
      <c r="F1" s="17"/>
    </row>
    <row r="2" spans="1:7" s="59" customFormat="1" ht="15.75" customHeight="1">
      <c r="A2" s="337" t="s">
        <v>31</v>
      </c>
      <c r="B2" s="339">
        <f>'1. key ratios '!B2</f>
        <v>44012</v>
      </c>
    </row>
    <row r="3" spans="1:7" s="59" customFormat="1" ht="15.75" customHeight="1">
      <c r="A3" s="255"/>
    </row>
    <row r="4" spans="1:7" s="59" customFormat="1" ht="15.75" customHeight="1" thickBot="1">
      <c r="A4" s="256" t="s">
        <v>206</v>
      </c>
      <c r="B4" s="557" t="s">
        <v>352</v>
      </c>
      <c r="C4" s="558"/>
      <c r="D4" s="558"/>
      <c r="E4" s="558"/>
    </row>
    <row r="5" spans="1:7" s="63" customFormat="1" ht="17.45" customHeight="1">
      <c r="A5" s="197"/>
      <c r="B5" s="198"/>
      <c r="C5" s="61" t="s">
        <v>0</v>
      </c>
      <c r="D5" s="61" t="s">
        <v>1</v>
      </c>
      <c r="E5" s="62" t="s">
        <v>2</v>
      </c>
    </row>
    <row r="6" spans="1:7" s="17" customFormat="1" ht="14.45" customHeight="1">
      <c r="A6" s="257"/>
      <c r="B6" s="553" t="s">
        <v>359</v>
      </c>
      <c r="C6" s="553" t="s">
        <v>93</v>
      </c>
      <c r="D6" s="555" t="s">
        <v>205</v>
      </c>
      <c r="E6" s="556"/>
      <c r="G6" s="5"/>
    </row>
    <row r="7" spans="1:7" s="17" customFormat="1" ht="99.6" customHeight="1">
      <c r="A7" s="257"/>
      <c r="B7" s="554"/>
      <c r="C7" s="553"/>
      <c r="D7" s="294" t="s">
        <v>204</v>
      </c>
      <c r="E7" s="295" t="s">
        <v>360</v>
      </c>
      <c r="G7" s="5"/>
    </row>
    <row r="8" spans="1:7">
      <c r="A8" s="258">
        <v>1</v>
      </c>
      <c r="B8" s="296" t="s">
        <v>35</v>
      </c>
      <c r="C8" s="297">
        <f>'2.RC'!E7</f>
        <v>3697326.0700000003</v>
      </c>
      <c r="D8" s="297"/>
      <c r="E8" s="298">
        <f>C8-D8</f>
        <v>3697326.0700000003</v>
      </c>
      <c r="F8" s="17"/>
    </row>
    <row r="9" spans="1:7">
      <c r="A9" s="258">
        <v>2</v>
      </c>
      <c r="B9" s="296" t="s">
        <v>36</v>
      </c>
      <c r="C9" s="297">
        <f>'2.RC'!E8</f>
        <v>38873293.149999999</v>
      </c>
      <c r="D9" s="297"/>
      <c r="E9" s="298">
        <f t="shared" ref="E9:E20" si="0">C9-D9</f>
        <v>38873293.149999999</v>
      </c>
      <c r="F9" s="17"/>
    </row>
    <row r="10" spans="1:7">
      <c r="A10" s="258">
        <v>3</v>
      </c>
      <c r="B10" s="296" t="s">
        <v>37</v>
      </c>
      <c r="C10" s="297">
        <f>'2.RC'!E9</f>
        <v>30538875.820402998</v>
      </c>
      <c r="D10" s="297"/>
      <c r="E10" s="298">
        <f t="shared" si="0"/>
        <v>30538875.820402998</v>
      </c>
      <c r="F10" s="17"/>
    </row>
    <row r="11" spans="1:7">
      <c r="A11" s="258">
        <v>4</v>
      </c>
      <c r="B11" s="296" t="s">
        <v>38</v>
      </c>
      <c r="C11" s="297">
        <f>'2.RC'!E10</f>
        <v>0</v>
      </c>
      <c r="D11" s="297"/>
      <c r="E11" s="298">
        <f t="shared" si="0"/>
        <v>0</v>
      </c>
      <c r="F11" s="17"/>
    </row>
    <row r="12" spans="1:7">
      <c r="A12" s="258">
        <v>5</v>
      </c>
      <c r="B12" s="296" t="s">
        <v>39</v>
      </c>
      <c r="C12" s="297">
        <f>'2.RC'!E11</f>
        <v>32938026.490551375</v>
      </c>
      <c r="D12" s="297"/>
      <c r="E12" s="298">
        <f t="shared" si="0"/>
        <v>32938026.490551375</v>
      </c>
      <c r="F12" s="17"/>
    </row>
    <row r="13" spans="1:7">
      <c r="A13" s="258">
        <v>6.1</v>
      </c>
      <c r="B13" s="299" t="s">
        <v>40</v>
      </c>
      <c r="C13" s="300">
        <f>'2.RC'!E12</f>
        <v>197978079.76000002</v>
      </c>
      <c r="D13" s="297"/>
      <c r="E13" s="298">
        <f t="shared" si="0"/>
        <v>197978079.76000002</v>
      </c>
      <c r="F13" s="17"/>
    </row>
    <row r="14" spans="1:7">
      <c r="A14" s="258">
        <v>6.2</v>
      </c>
      <c r="B14" s="301" t="s">
        <v>41</v>
      </c>
      <c r="C14" s="300">
        <f>'2.RC'!E13</f>
        <v>-11366583.9038</v>
      </c>
      <c r="D14" s="297"/>
      <c r="E14" s="298">
        <f t="shared" si="0"/>
        <v>-11366583.9038</v>
      </c>
      <c r="F14" s="17"/>
    </row>
    <row r="15" spans="1:7">
      <c r="A15" s="258">
        <v>6</v>
      </c>
      <c r="B15" s="296" t="s">
        <v>42</v>
      </c>
      <c r="C15" s="297">
        <f>'2.RC'!E14</f>
        <v>186611495.85620004</v>
      </c>
      <c r="D15" s="297"/>
      <c r="E15" s="298">
        <f t="shared" si="0"/>
        <v>186611495.85620004</v>
      </c>
      <c r="F15" s="17"/>
    </row>
    <row r="16" spans="1:7">
      <c r="A16" s="258">
        <v>7</v>
      </c>
      <c r="B16" s="296" t="s">
        <v>43</v>
      </c>
      <c r="C16" s="297">
        <f>'2.RC'!E15</f>
        <v>2509237.3904879983</v>
      </c>
      <c r="D16" s="297"/>
      <c r="E16" s="298">
        <f t="shared" si="0"/>
        <v>2509237.3904879983</v>
      </c>
      <c r="F16" s="17"/>
    </row>
    <row r="17" spans="1:7">
      <c r="A17" s="258">
        <v>8</v>
      </c>
      <c r="B17" s="296" t="s">
        <v>203</v>
      </c>
      <c r="C17" s="297">
        <f>'2.RC'!E16</f>
        <v>1046317.8400000001</v>
      </c>
      <c r="D17" s="297"/>
      <c r="E17" s="298">
        <f t="shared" si="0"/>
        <v>1046317.8400000001</v>
      </c>
      <c r="F17" s="259"/>
      <c r="G17" s="65"/>
    </row>
    <row r="18" spans="1:7">
      <c r="A18" s="258">
        <v>9</v>
      </c>
      <c r="B18" s="296" t="s">
        <v>44</v>
      </c>
      <c r="C18" s="297">
        <f>'2.RC'!E17</f>
        <v>0</v>
      </c>
      <c r="D18" s="297"/>
      <c r="E18" s="298">
        <f t="shared" si="0"/>
        <v>0</v>
      </c>
      <c r="F18" s="17"/>
      <c r="G18" s="65"/>
    </row>
    <row r="19" spans="1:7">
      <c r="A19" s="258">
        <v>10</v>
      </c>
      <c r="B19" s="296" t="s">
        <v>45</v>
      </c>
      <c r="C19" s="297">
        <f>'2.RC'!E18</f>
        <v>688956.61000000034</v>
      </c>
      <c r="D19" s="297">
        <v>57590.84999999986</v>
      </c>
      <c r="E19" s="298">
        <f t="shared" si="0"/>
        <v>631365.76000000047</v>
      </c>
      <c r="F19" s="17"/>
      <c r="G19" s="65"/>
    </row>
    <row r="20" spans="1:7">
      <c r="A20" s="258">
        <v>11</v>
      </c>
      <c r="B20" s="296" t="s">
        <v>46</v>
      </c>
      <c r="C20" s="297">
        <f>'2.RC'!E19</f>
        <v>3337977.4047466409</v>
      </c>
      <c r="D20" s="297"/>
      <c r="E20" s="298">
        <f t="shared" si="0"/>
        <v>3337977.4047466409</v>
      </c>
      <c r="F20" s="17"/>
    </row>
    <row r="21" spans="1:7" ht="26.25" thickBot="1">
      <c r="A21" s="147"/>
      <c r="B21" s="260" t="s">
        <v>362</v>
      </c>
      <c r="C21" s="199">
        <f>SUM(C8:C12, C15:C20)</f>
        <v>300241506.63238901</v>
      </c>
      <c r="D21" s="199">
        <f>SUM(D8:D12, D15:D20)</f>
        <v>57590.84999999986</v>
      </c>
      <c r="E21" s="302">
        <f>SUM(E8:E12, E15:E20)</f>
        <v>300183915.78238899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6"/>
      <c r="F25" s="5"/>
      <c r="G25" s="5"/>
    </row>
    <row r="26" spans="1:7" s="4" customFormat="1">
      <c r="B26" s="66"/>
      <c r="F26" s="5"/>
      <c r="G26" s="5"/>
    </row>
    <row r="27" spans="1:7" s="4" customFormat="1">
      <c r="B27" s="66"/>
      <c r="F27" s="5"/>
      <c r="G27" s="5"/>
    </row>
    <row r="28" spans="1:7" s="4" customFormat="1">
      <c r="B28" s="66"/>
      <c r="F28" s="5"/>
      <c r="G28" s="5"/>
    </row>
    <row r="29" spans="1:7" s="4" customFormat="1">
      <c r="B29" s="66"/>
      <c r="F29" s="5"/>
      <c r="G29" s="5"/>
    </row>
    <row r="30" spans="1:7" s="4" customFormat="1">
      <c r="B30" s="66"/>
      <c r="F30" s="5"/>
      <c r="G30" s="5"/>
    </row>
    <row r="31" spans="1:7" s="4" customFormat="1">
      <c r="B31" s="66"/>
      <c r="F31" s="5"/>
      <c r="G31" s="5"/>
    </row>
    <row r="32" spans="1:7" s="4" customFormat="1">
      <c r="B32" s="66"/>
      <c r="F32" s="5"/>
      <c r="G32" s="5"/>
    </row>
    <row r="33" spans="2:7" s="4" customFormat="1">
      <c r="B33" s="66"/>
      <c r="F33" s="5"/>
      <c r="G33" s="5"/>
    </row>
    <row r="34" spans="2:7" s="4" customFormat="1">
      <c r="B34" s="66"/>
      <c r="F34" s="5"/>
      <c r="G34" s="5"/>
    </row>
    <row r="35" spans="2:7" s="4" customFormat="1">
      <c r="B35" s="66"/>
      <c r="F35" s="5"/>
      <c r="G35" s="5"/>
    </row>
    <row r="36" spans="2:7" s="4" customFormat="1">
      <c r="B36" s="66"/>
      <c r="F36" s="5"/>
      <c r="G36" s="5"/>
    </row>
    <row r="37" spans="2:7" s="4" customFormat="1">
      <c r="B37" s="66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B4" sqref="B4"/>
    </sheetView>
  </sheetViews>
  <sheetFormatPr defaultColWidth="9.140625" defaultRowHeight="12.75" outlineLevelRow="1"/>
  <cols>
    <col min="1" max="1" width="9.5703125" style="4" bestFit="1" customWidth="1"/>
    <col min="2" max="2" width="114.28515625" style="4" customWidth="1"/>
    <col min="3" max="3" width="18.85546875" style="4" customWidth="1"/>
    <col min="4" max="4" width="25.42578125" style="4" customWidth="1"/>
    <col min="5" max="5" width="24.285156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703125" style="4" bestFit="1" customWidth="1"/>
    <col min="10" max="16384" width="9.140625" style="4"/>
  </cols>
  <sheetData>
    <row r="1" spans="1:6">
      <c r="A1" s="337" t="s">
        <v>30</v>
      </c>
      <c r="B1" s="338" t="s">
        <v>439</v>
      </c>
    </row>
    <row r="2" spans="1:6" s="59" customFormat="1" ht="15.75" customHeight="1">
      <c r="A2" s="337" t="s">
        <v>31</v>
      </c>
      <c r="B2" s="339">
        <f>'1. key ratios '!B2</f>
        <v>44012</v>
      </c>
      <c r="C2" s="4"/>
      <c r="D2" s="4"/>
      <c r="E2" s="4"/>
      <c r="F2" s="4"/>
    </row>
    <row r="3" spans="1:6" s="59" customFormat="1" ht="15.75" customHeight="1">
      <c r="C3" s="4"/>
      <c r="D3" s="4"/>
      <c r="E3" s="4"/>
      <c r="F3" s="4"/>
    </row>
    <row r="4" spans="1:6" s="59" customFormat="1" ht="13.5" thickBot="1">
      <c r="A4" s="59" t="s">
        <v>85</v>
      </c>
      <c r="B4" s="261" t="s">
        <v>339</v>
      </c>
      <c r="C4" s="60" t="s">
        <v>73</v>
      </c>
      <c r="D4" s="4"/>
      <c r="E4" s="4"/>
      <c r="F4" s="4"/>
    </row>
    <row r="5" spans="1:6">
      <c r="A5" s="204">
        <v>1</v>
      </c>
      <c r="B5" s="262" t="s">
        <v>361</v>
      </c>
      <c r="C5" s="429">
        <f>'7. LI1 '!E21</f>
        <v>300183915.78238899</v>
      </c>
    </row>
    <row r="6" spans="1:6" s="205" customFormat="1">
      <c r="A6" s="67">
        <v>2.1</v>
      </c>
      <c r="B6" s="201" t="s">
        <v>340</v>
      </c>
      <c r="C6" s="139">
        <f>'4. Off-Balance'!E8+'4. Off-Balance'!E10</f>
        <v>72272639.650000006</v>
      </c>
    </row>
    <row r="7" spans="1:6" s="45" customFormat="1" outlineLevel="1">
      <c r="A7" s="39">
        <v>2.2000000000000002</v>
      </c>
      <c r="B7" s="40" t="s">
        <v>341</v>
      </c>
      <c r="C7" s="206"/>
    </row>
    <row r="8" spans="1:6" s="45" customFormat="1" ht="25.5">
      <c r="A8" s="39">
        <v>3</v>
      </c>
      <c r="B8" s="202" t="s">
        <v>342</v>
      </c>
      <c r="C8" s="430">
        <f>SUM(C5:C7)</f>
        <v>372456555.43238902</v>
      </c>
    </row>
    <row r="9" spans="1:6" s="205" customFormat="1">
      <c r="A9" s="67">
        <v>4</v>
      </c>
      <c r="B9" s="69" t="s">
        <v>87</v>
      </c>
      <c r="C9" s="139">
        <v>3866484.4805038609</v>
      </c>
    </row>
    <row r="10" spans="1:6" s="45" customFormat="1" outlineLevel="1">
      <c r="A10" s="39">
        <v>5.0999999999999996</v>
      </c>
      <c r="B10" s="40" t="s">
        <v>343</v>
      </c>
      <c r="C10" s="432">
        <v>-28238039.324999996</v>
      </c>
    </row>
    <row r="11" spans="1:6" s="45" customFormat="1" outlineLevel="1">
      <c r="A11" s="39">
        <v>5.2</v>
      </c>
      <c r="B11" s="40" t="s">
        <v>344</v>
      </c>
      <c r="C11" s="206"/>
    </row>
    <row r="12" spans="1:6" s="45" customFormat="1">
      <c r="A12" s="39">
        <v>6</v>
      </c>
      <c r="B12" s="200" t="s">
        <v>511</v>
      </c>
      <c r="C12" s="206">
        <v>4554784</v>
      </c>
    </row>
    <row r="13" spans="1:6" s="45" customFormat="1" ht="13.5" thickBot="1">
      <c r="A13" s="41">
        <v>7</v>
      </c>
      <c r="B13" s="203" t="s">
        <v>290</v>
      </c>
      <c r="C13" s="431">
        <f>SUM(C8:C12)</f>
        <v>352639784.58789289</v>
      </c>
    </row>
    <row r="15" spans="1:6" ht="25.5">
      <c r="A15" s="221"/>
      <c r="B15" s="46" t="s">
        <v>510</v>
      </c>
    </row>
    <row r="16" spans="1:6">
      <c r="A16" s="221"/>
      <c r="B16" s="221"/>
    </row>
    <row r="17" spans="1:5" ht="15">
      <c r="A17" s="216"/>
      <c r="B17" s="217"/>
      <c r="C17" s="221"/>
      <c r="D17" s="221"/>
      <c r="E17" s="221"/>
    </row>
    <row r="18" spans="1:5" ht="15">
      <c r="A18" s="222"/>
      <c r="B18" s="223"/>
      <c r="C18" s="221"/>
      <c r="D18" s="221"/>
      <c r="E18" s="221"/>
    </row>
    <row r="19" spans="1:5">
      <c r="A19" s="224"/>
      <c r="B19" s="218"/>
      <c r="C19" s="221"/>
      <c r="D19" s="221"/>
      <c r="E19" s="221"/>
    </row>
    <row r="20" spans="1:5">
      <c r="A20" s="225"/>
      <c r="B20" s="219"/>
      <c r="C20" s="221"/>
      <c r="D20" s="221"/>
      <c r="E20" s="221"/>
    </row>
    <row r="21" spans="1:5">
      <c r="A21" s="225"/>
      <c r="B21" s="223"/>
      <c r="C21" s="221"/>
      <c r="D21" s="221"/>
      <c r="E21" s="221"/>
    </row>
    <row r="22" spans="1:5">
      <c r="A22" s="224"/>
      <c r="B22" s="220"/>
      <c r="C22" s="221"/>
      <c r="D22" s="221"/>
      <c r="E22" s="221"/>
    </row>
    <row r="23" spans="1:5">
      <c r="A23" s="225"/>
      <c r="B23" s="219"/>
      <c r="C23" s="221"/>
      <c r="D23" s="221"/>
      <c r="E23" s="221"/>
    </row>
    <row r="24" spans="1:5">
      <c r="A24" s="225"/>
      <c r="B24" s="219"/>
      <c r="C24" s="221"/>
      <c r="D24" s="221"/>
      <c r="E24" s="221"/>
    </row>
    <row r="25" spans="1:5">
      <c r="A25" s="225"/>
      <c r="B25" s="226"/>
      <c r="C25" s="221"/>
      <c r="D25" s="221"/>
      <c r="E25" s="221"/>
    </row>
    <row r="26" spans="1:5">
      <c r="A26" s="225"/>
      <c r="B26" s="223"/>
      <c r="C26" s="221"/>
      <c r="D26" s="221"/>
      <c r="E26" s="221"/>
    </row>
    <row r="27" spans="1:5">
      <c r="A27" s="221"/>
      <c r="B27" s="227"/>
      <c r="C27" s="221"/>
      <c r="D27" s="221"/>
      <c r="E27" s="221"/>
    </row>
    <row r="28" spans="1:5">
      <c r="A28" s="221"/>
      <c r="B28" s="227"/>
      <c r="C28" s="221"/>
      <c r="D28" s="221"/>
      <c r="E28" s="221"/>
    </row>
    <row r="29" spans="1:5">
      <c r="A29" s="221"/>
      <c r="B29" s="227"/>
      <c r="C29" s="221"/>
      <c r="D29" s="221"/>
      <c r="E29" s="221"/>
    </row>
    <row r="30" spans="1:5">
      <c r="A30" s="221"/>
      <c r="B30" s="227"/>
      <c r="C30" s="221"/>
      <c r="D30" s="221"/>
      <c r="E30" s="221"/>
    </row>
    <row r="31" spans="1:5">
      <c r="A31" s="221"/>
      <c r="B31" s="227"/>
      <c r="C31" s="221"/>
      <c r="D31" s="221"/>
      <c r="E31" s="221"/>
    </row>
    <row r="32" spans="1:5">
      <c r="A32" s="221"/>
      <c r="B32" s="227"/>
      <c r="C32" s="221"/>
      <c r="D32" s="221"/>
      <c r="E32" s="221"/>
    </row>
    <row r="33" spans="1:5">
      <c r="A33" s="221"/>
      <c r="B33" s="227"/>
      <c r="C33" s="221"/>
      <c r="D33" s="221"/>
      <c r="E33" s="221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Z6mXL0p2LWF5xBBLp4nOrmEKK4E76muFUrPmaU6uuAA=</DigestValue>
    </Reference>
    <Reference Type="http://www.w3.org/2000/09/xmldsig#Object" URI="#idOfficeObject">
      <DigestMethod Algorithm="http://www.w3.org/2001/04/xmlenc#sha256"/>
      <DigestValue>uA9tDED2FCzy/4318sp/gpE/g3uyJsWM+WN4jcaP1YQ=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XRa8WATD44xzx7t7oWSlnVbvu3N7wCdOGS5vjABfa8g=</DigestValue>
    </Reference>
  </SignedInfo>
  <SignatureValue>db9b/HwmQr+2kAazmpKcsyCmG8ZUB564/NCpDc5GvJvuQQDbahwI6+jgNkoxIeb3/663sO/8ROog
y7ualIH7027u95BFI6lV62FllCmhEnjmFqkUafI2TMFmcbHNvxbBKwzxtNO5MGcAcCyn/Hi8PIGO
1hSwSRpcpAgd5e12x7wKuy+vuMHvP6sVikQ2ZWBbcstiEm5cXoHupvHKAhC0WtG31QmZih5l8XuM
o2DNimIB8kkdwyPMoZzLDiKkOfOa66ATTs5H2T/4BfqIbvq9x6TE29mlRBqebLfUJCLLUcjxrrH1
GJz48w5lkMcunLpzswVo9yIqbXgvAKuLIhPKLw==</SignatureValue>
  <KeyInfo>
    <X509Data>
      <X509Certificate>MIIGODCCBSCgAwIBAgIKOCPUKwACAAFq+zANBgkqhkiG9w0BAQsFADBKMRIwEAYKCZImiZPyLGQBGRYCZ2UxEzARBgoJkiaJk/IsZAEZFgNuYmcxHzAdBgNVBAMTFk5CRyBDbGFzcyAyIElOVCBTdWIgQ0EwHhcNMjAwMjE0MTAzNDE1WhcNMjExMjIyMDk0NjU2WjA2MRswGQYDVQQKExJKU0MgSXNiYW5rIEdlb3JnaWExFzAVBgNVBAMTDkJJUyAtIE96YW4gR3VyMIIBIjANBgkqhkiG9w0BAQEFAAOCAQ8AMIIBCgKCAQEA5AaKV/Q4021K/K7TS/Rxv91ukAAKvgKT9KBzgfRok5LbPbM/oa5Kgk7bnpCCByJ3EmT8YSHQoCs4A9+iHfxywV7+kuyL5DPmPMH7u1hNZRuSq8YUPHytgdotqgvxVeTmvlaZkU7grvb4e5ezbWwQj9T9dxVjqphFtAx0y5ipQsBTBbnUYLN6cTBZWOEhO6uZCOy8a7q7Q/XWVho4e3MbORqLDWyZU9Mw04ha+015krYzNo3QU0RD9u2DVHQQdc6yhjS0N+ln5RQTSCnnOiuQNrsN0Ww15TNsstQmROmknAcVXJTUIY52QyuWtTzmmaBfE2spuAdSeA1KjmzTVQivMwIDAQABo4IDMjCCAy4wPAYJKwYBBAGCNxUHBC8wLQYlKwYBBAGCNxUI5rJgg431RIaBmQmDuKFKg76EcQSDxJEzhIOIXQIBZAIBIzAdBgNVHSUEFjAUBggrBgEFBQcDAgYIKwYBBQUHAwQwCwYDVR0PBAQDAgeAMCcGCSsGAQQBgjcVCgQaMBgwCgYIKwYBBQUHAwIwCgYIKwYBBQUHAwQwHQYDVR0OBBYEFAAhotqKxsfCcotgI5UDu2FDuGFB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ikuY3J0MA0GCSqGSIb3DQEBCwUAA4IBAQAv0gxZI1NAfSOrNjeffn9Xk2dvV07qVJ79j6sHOw/5qO0asgLt1ArVjKHqSrYLXnU9G09WjXIY6FWltb0uh0VzQN/qJGsDTMsIGYowaVCz5C+cIRPFTyat2/P7OrBzvQOrpYOCXdoq4j2EN9zzoAZ29ZI4P1JUP/KokkFFxNeHFJcCN838s4SbsDL3fzvWdD6kDgEJVnxkTs/kfSmGvPahXzlQqt/cYDAS48dV44sqruABqeS+9xpcbCk0JbRWSpoaeNcD+tnyZVAoRKbCBJ2oWnvfi/nR42f7tCLMqy2hS1DpLt4/0sJGer3Q+fRc5o2Oym/rKKiTfzWk4XXMGlN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675qxKD1a87GfzjVx8tuTdCVD1T7a1FzAaZmYJ4Pyos=</DigestValue>
      </Reference>
      <Reference URI="/xl/calcChain.xml?ContentType=application/vnd.openxmlformats-officedocument.spreadsheetml.calcChain+xml">
        <DigestMethod Algorithm="http://www.w3.org/2001/04/xmlenc#sha256"/>
        <DigestValue>F0/hOEvgbyQc4kwGAKWeBm4+p6y1l8BWf84WBiJ0Xfo=</DigestValue>
      </Reference>
      <Reference URI="/xl/drawings/drawing1.xml?ContentType=application/vnd.openxmlformats-officedocument.drawing+xml">
        <DigestMethod Algorithm="http://www.w3.org/2001/04/xmlenc#sha256"/>
        <DigestValue>LqGMDknbqiebd6VtOnExSqdTsBjBc7V0fhqFjWNF8Hc=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0tQspILqB8qfvnb6WjpbM1qcDvqm9kas/bzqYR574gY=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sharedStrings.xml?ContentType=application/vnd.openxmlformats-officedocument.spreadsheetml.sharedStrings+xml">
        <DigestMethod Algorithm="http://www.w3.org/2001/04/xmlenc#sha256"/>
        <DigestValue>IvcpKdvUYzzmuE0P7J8A8h/kvqoydEzaLHakNDw39II=</DigestValue>
      </Reference>
      <Reference URI="/xl/styles.xml?ContentType=application/vnd.openxmlformats-officedocument.spreadsheetml.styles+xml">
        <DigestMethod Algorithm="http://www.w3.org/2001/04/xmlenc#sha256"/>
        <DigestValue>QiZgIBWcZlI9dIDnJEpItNe2gQDFA2tWhT6T5j/6iRw=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Kj+G9G1WbASYhNHghCf9HF7OMOblxgpVfkzttUiD4i0=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6wjT5EaVK5onESuy5rSpu9FVkDWubEybsZ8c3CVsk3Y=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ooZtpEuYduQwM88C3OEoMu7yV+i6l1ITgdU2GqmcHyc=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OzQPibb8JR4hYe8cA0SZLC1XGvAWYu5HKo8nDho1TVE=</DigestValue>
      </Reference>
      <Reference URI="/xl/worksheets/sheet10.xml?ContentType=application/vnd.openxmlformats-officedocument.spreadsheetml.worksheet+xml">
        <DigestMethod Algorithm="http://www.w3.org/2001/04/xmlenc#sha256"/>
        <DigestValue>E4EkZSQ/prqnkKP/UfTXAYEGXrlXpltrI2V//tejxGA=</DigestValue>
      </Reference>
      <Reference URI="/xl/worksheets/sheet11.xml?ContentType=application/vnd.openxmlformats-officedocument.spreadsheetml.worksheet+xml">
        <DigestMethod Algorithm="http://www.w3.org/2001/04/xmlenc#sha256"/>
        <DigestValue>3fe2gmULxB/qfluNHcOVlyq7TYt1ha/ndwutvl7wdfc=</DigestValue>
      </Reference>
      <Reference URI="/xl/worksheets/sheet12.xml?ContentType=application/vnd.openxmlformats-officedocument.spreadsheetml.worksheet+xml">
        <DigestMethod Algorithm="http://www.w3.org/2001/04/xmlenc#sha256"/>
        <DigestValue>lEpekuW3UV5de8PCjW+2vHocD6Ox3QvR+yM2t1d9DFo=</DigestValue>
      </Reference>
      <Reference URI="/xl/worksheets/sheet13.xml?ContentType=application/vnd.openxmlformats-officedocument.spreadsheetml.worksheet+xml">
        <DigestMethod Algorithm="http://www.w3.org/2001/04/xmlenc#sha256"/>
        <DigestValue>zkcuuIJFB/0VY7uHVMAnYt1/wckYFztTaf8Sw+XnGpM=</DigestValue>
      </Reference>
      <Reference URI="/xl/worksheets/sheet14.xml?ContentType=application/vnd.openxmlformats-officedocument.spreadsheetml.worksheet+xml">
        <DigestMethod Algorithm="http://www.w3.org/2001/04/xmlenc#sha256"/>
        <DigestValue>WeW6lgNp2vYooUJjBNvALD2ZbVfkHUKbo0SD3px02Pc=</DigestValue>
      </Reference>
      <Reference URI="/xl/worksheets/sheet15.xml?ContentType=application/vnd.openxmlformats-officedocument.spreadsheetml.worksheet+xml">
        <DigestMethod Algorithm="http://www.w3.org/2001/04/xmlenc#sha256"/>
        <DigestValue>e1UWewNCDokV12rcxcKbQw12CNqabAzcQ32pWNOTKt4=</DigestValue>
      </Reference>
      <Reference URI="/xl/worksheets/sheet16.xml?ContentType=application/vnd.openxmlformats-officedocument.spreadsheetml.worksheet+xml">
        <DigestMethod Algorithm="http://www.w3.org/2001/04/xmlenc#sha256"/>
        <DigestValue>3r6t8qULQx2X7wzW/uuCZb7f5DTg2Iomp7rtyYohf2k=</DigestValue>
      </Reference>
      <Reference URI="/xl/worksheets/sheet17.xml?ContentType=application/vnd.openxmlformats-officedocument.spreadsheetml.worksheet+xml">
        <DigestMethod Algorithm="http://www.w3.org/2001/04/xmlenc#sha256"/>
        <DigestValue>7A3DksfdBA7hTJJc90cmYqqod+7m+n5iauygjASB/Ig=</DigestValue>
      </Reference>
      <Reference URI="/xl/worksheets/sheet18.xml?ContentType=application/vnd.openxmlformats-officedocument.spreadsheetml.worksheet+xml">
        <DigestMethod Algorithm="http://www.w3.org/2001/04/xmlenc#sha256"/>
        <DigestValue>mcW6+iJAQUOTow6BsWQSk2YuzFVikcasXxJQnQrYeSI=</DigestValue>
      </Reference>
      <Reference URI="/xl/worksheets/sheet2.xml?ContentType=application/vnd.openxmlformats-officedocument.spreadsheetml.worksheet+xml">
        <DigestMethod Algorithm="http://www.w3.org/2001/04/xmlenc#sha256"/>
        <DigestValue>m4iJ2PymF3wqXt/KoiwwxnIkRMxnGZi79lexO1WyFIA=</DigestValue>
      </Reference>
      <Reference URI="/xl/worksheets/sheet3.xml?ContentType=application/vnd.openxmlformats-officedocument.spreadsheetml.worksheet+xml">
        <DigestMethod Algorithm="http://www.w3.org/2001/04/xmlenc#sha256"/>
        <DigestValue>7Sa52t7RBzhyteSYVhrdgdLWcsKSkotGvaEvrva165A=</DigestValue>
      </Reference>
      <Reference URI="/xl/worksheets/sheet4.xml?ContentType=application/vnd.openxmlformats-officedocument.spreadsheetml.worksheet+xml">
        <DigestMethod Algorithm="http://www.w3.org/2001/04/xmlenc#sha256"/>
        <DigestValue>+p97YsqYbXFbkO7IMdtKpd/OKZlkFamOp4yvLR09naE=</DigestValue>
      </Reference>
      <Reference URI="/xl/worksheets/sheet5.xml?ContentType=application/vnd.openxmlformats-officedocument.spreadsheetml.worksheet+xml">
        <DigestMethod Algorithm="http://www.w3.org/2001/04/xmlenc#sha256"/>
        <DigestValue>BTbRxdSzg5Grv61NIGbOnomfShYngapY5IMcxtRvjGw=</DigestValue>
      </Reference>
      <Reference URI="/xl/worksheets/sheet6.xml?ContentType=application/vnd.openxmlformats-officedocument.spreadsheetml.worksheet+xml">
        <DigestMethod Algorithm="http://www.w3.org/2001/04/xmlenc#sha256"/>
        <DigestValue>eWafvXrRViRfRPW4f1+q74uoKAPCAH3EgqiN0og/7nw=</DigestValue>
      </Reference>
      <Reference URI="/xl/worksheets/sheet7.xml?ContentType=application/vnd.openxmlformats-officedocument.spreadsheetml.worksheet+xml">
        <DigestMethod Algorithm="http://www.w3.org/2001/04/xmlenc#sha256"/>
        <DigestValue>gLn0bThZZFc1jJlWr5ZjmgoFAVLdH83ow4GwGs5wFDM=</DigestValue>
      </Reference>
      <Reference URI="/xl/worksheets/sheet8.xml?ContentType=application/vnd.openxmlformats-officedocument.spreadsheetml.worksheet+xml">
        <DigestMethod Algorithm="http://www.w3.org/2001/04/xmlenc#sha256"/>
        <DigestValue>33HqTKlRAo/5YE1PaJyHAUmkDJOnmM2972Qt4KBkOEA=</DigestValue>
      </Reference>
      <Reference URI="/xl/worksheets/sheet9.xml?ContentType=application/vnd.openxmlformats-officedocument.spreadsheetml.worksheet+xml">
        <DigestMethod Algorithm="http://www.w3.org/2001/04/xmlenc#sha256"/>
        <DigestValue>Dsv1bj8ykKle6blCPIXXxnpRWX9PgIvXtGFyFTG7P1Y=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2020-07-24T07:59:59Z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2020-07-24T07:59:59Z</xd:SigningTime>
          <xd:SigningCertificate>
            <xd:Cert>
              <xd:CertDigest>
                <DigestMethod Algorithm="http://www.w3.org/2001/04/xmlenc#sha256"/>
                <DigestValue>siOL6Vfls/yhyQKp7XPvybUcaMULq6zrSELPm5cUglk=</DigestValue>
              </xd:CertDigest>
              <xd:IssuerSerial>
                <X509IssuerName>CN=NBG Class 2 INT Sub CA, DC=nbg, DC=ge</X509IssuerName>
                <X509SerialNumber>265113447396648595581691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/>
            <xd:StateOrProvince/>
            <xd:PostalCode/>
            <xd:CountryName/>
          </xd:SignatureProductionPlace>
          <xd:SignerRole>
            <xd:ClaimedRoles>
              <xd:ClaimedRole>CEO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IAf+VsmmtZ3lmo0Kvtgcg/IBrOZe05X9laBrxxp7cnU=</DigestValue>
    </Reference>
    <Reference Type="http://www.w3.org/2000/09/xmldsig#Object" URI="#idOfficeObject">
      <DigestMethod Algorithm="http://www.w3.org/2001/04/xmlenc#sha256"/>
      <DigestValue>uA9tDED2FCzy/4318sp/gpE/g3uyJsWM+WN4jcaP1YQ=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hRw/Lm1ck7UlFYWvI/SuwzQL+QV8EhKZLMcU6liuidg=</DigestValue>
    </Reference>
  </SignedInfo>
  <SignatureValue>S1kdxM/9/Ym3SQd1D6P26vrqlhIItoPoyqb39hd4y1ttFDLPu8ikMlvRc9KWZNw1eP2Ox10GJ6xw
LaakYl/z+RRwAa/WVipc6MNjG3yr3LAJTd+aJgI67/OMIzfbDbkw4Gd55yxk0UmpFii92QJ2Bps/
J65ZZruiC/IUR0P3OpAluW5HPDssjDXJZ3tfzgYJorNAliM8HJ3RkWiSCKZFCNNJ/w1K/RPYB3ZJ
LL2mk5R3bKwI3VmhkmZC6twiSGJbzMAYAZiKKoVhhPu2KcKTHca9QXu4Z6f9fvPZYYf9fcis09nj
wzsYDACmO881ZG9VoCYcSwJE5BFpWMWs1JJVPQ==</SignatureValue>
  <KeyInfo>
    <X509Data>
      <X509Certificate>MIIGPjCCBSagAwIBAgIKN+cNcgACAAFq9jANBgkqhkiG9w0BAQsFADBKMRIwEAYKCZImiZPyLGQBGRYCZ2UxEzARBgoJkiaJk/IsZAEZFgNuYmcxHzAdBgNVBAMTFk5CRyBDbGFzcyAyIElOVCBTdWIgQ0EwHhcNMjAwMjE0MDkyNzUyWhcNMjExMjIyMDk0NjU2WjA8MRswGQYDVQQKExJKU0MgSXNiYW5rIEdlb3JnaWExHTAbBgNVBAMTFEJJUyAtIFVjaGEgU2FyYWxpZHplMIIBIjANBgkqhkiG9w0BAQEFAAOCAQ8AMIIBCgKCAQEA0D4bqdqp/9ipmgmoZKySYvP1OzaVfG2jMLfjnryApDA0+E4gZV5v8sr4u4hthhIghbW0pqyHfI3MUJuzLTIAD1I9rrf5EQ196OfiQJ/WODkcx3kPQu1RIIyo35etA436eayL1XZu8wa2BV9yVrXmUqS94s1L4ahl5RxiXjGGAl2iUrL6d15Q46+2tCgAk/X4mJtGQfU9V8k/t/jJKdoLGLVZrE6awz55dKTkhl4cb7VLByPcccT3eIPDLzbtL/TrLIs7L9hnHn4phQaqZElFU4vyCfFNr/w/2IQ1PSI7i5tKnFCJrk85X08TQRbaVoYDIW0SXPRVgOuGvcoFxHx3OQIDAQABo4IDMjCCAy4wPAYJKwYBBAGCNxUHBC8wLQYlKwYBBAGCNxUI5rJgg431RIaBmQmDuKFKg76EcQSDxJEzhIOIXQIBZAIBIzAdBgNVHSUEFjAUBggrBgEFBQcDAgYIKwYBBQUHAwQwCwYDVR0PBAQDAgeAMCcGCSsGAQQBgjcVCgQaMBgwCgYIKwYBBQUHAwIwCgYIKwYBBQUHAwQwHQYDVR0OBBYEFNyLub/t3TZbR0K2Y1XZbyM0oR26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ikuY3J0MA0GCSqGSIb3DQEBCwUAA4IBAQBzJkDHFPFcCz1veNJp0X5jjGf3KPGpEIwlmWjH6OidxOLKl9SlLHzlKGNkc/FgrNaPQedQjwlG2r8ACQFp6VsEKyagRnu5achg7OJk8CTTWYTbW4yfQxFCE7cXMlrhs0KnE8EMi8f3mnDRzzqv33d+aBT+HZTkr7H58FBWih9q3qgIHT1EpikWSeGuPd9/Fi7c2aofrydiwe3+uRqrchrUPvrH5t5/jwaKqz0DuMJ6h8aLZhRyLlJHyjUbLpEEoiruSqxW70YM9+wDWUmf909JrvVbAAJQqDrJFLyn/aD0RVRhOjecNWjSptTzBw+OiSq35E+dA2trghaE8ZkyOtTC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675qxKD1a87GfzjVx8tuTdCVD1T7a1FzAaZmYJ4Pyos=</DigestValue>
      </Reference>
      <Reference URI="/xl/calcChain.xml?ContentType=application/vnd.openxmlformats-officedocument.spreadsheetml.calcChain+xml">
        <DigestMethod Algorithm="http://www.w3.org/2001/04/xmlenc#sha256"/>
        <DigestValue>F0/hOEvgbyQc4kwGAKWeBm4+p6y1l8BWf84WBiJ0Xfo=</DigestValue>
      </Reference>
      <Reference URI="/xl/drawings/drawing1.xml?ContentType=application/vnd.openxmlformats-officedocument.drawing+xml">
        <DigestMethod Algorithm="http://www.w3.org/2001/04/xmlenc#sha256"/>
        <DigestValue>LqGMDknbqiebd6VtOnExSqdTsBjBc7V0fhqFjWNF8Hc=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0tQspILqB8qfvnb6WjpbM1qcDvqm9kas/bzqYR574gY=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sharedStrings.xml?ContentType=application/vnd.openxmlformats-officedocument.spreadsheetml.sharedStrings+xml">
        <DigestMethod Algorithm="http://www.w3.org/2001/04/xmlenc#sha256"/>
        <DigestValue>IvcpKdvUYzzmuE0P7J8A8h/kvqoydEzaLHakNDw39II=</DigestValue>
      </Reference>
      <Reference URI="/xl/styles.xml?ContentType=application/vnd.openxmlformats-officedocument.spreadsheetml.styles+xml">
        <DigestMethod Algorithm="http://www.w3.org/2001/04/xmlenc#sha256"/>
        <DigestValue>QiZgIBWcZlI9dIDnJEpItNe2gQDFA2tWhT6T5j/6iRw=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Kj+G9G1WbASYhNHghCf9HF7OMOblxgpVfkzttUiD4i0=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6wjT5EaVK5onESuy5rSpu9FVkDWubEybsZ8c3CVsk3Y=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ooZtpEuYduQwM88C3OEoMu7yV+i6l1ITgdU2GqmcHyc=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OzQPibb8JR4hYe8cA0SZLC1XGvAWYu5HKo8nDho1TVE=</DigestValue>
      </Reference>
      <Reference URI="/xl/worksheets/sheet10.xml?ContentType=application/vnd.openxmlformats-officedocument.spreadsheetml.worksheet+xml">
        <DigestMethod Algorithm="http://www.w3.org/2001/04/xmlenc#sha256"/>
        <DigestValue>E4EkZSQ/prqnkKP/UfTXAYEGXrlXpltrI2V//tejxGA=</DigestValue>
      </Reference>
      <Reference URI="/xl/worksheets/sheet11.xml?ContentType=application/vnd.openxmlformats-officedocument.spreadsheetml.worksheet+xml">
        <DigestMethod Algorithm="http://www.w3.org/2001/04/xmlenc#sha256"/>
        <DigestValue>3fe2gmULxB/qfluNHcOVlyq7TYt1ha/ndwutvl7wdfc=</DigestValue>
      </Reference>
      <Reference URI="/xl/worksheets/sheet12.xml?ContentType=application/vnd.openxmlformats-officedocument.spreadsheetml.worksheet+xml">
        <DigestMethod Algorithm="http://www.w3.org/2001/04/xmlenc#sha256"/>
        <DigestValue>lEpekuW3UV5de8PCjW+2vHocD6Ox3QvR+yM2t1d9DFo=</DigestValue>
      </Reference>
      <Reference URI="/xl/worksheets/sheet13.xml?ContentType=application/vnd.openxmlformats-officedocument.spreadsheetml.worksheet+xml">
        <DigestMethod Algorithm="http://www.w3.org/2001/04/xmlenc#sha256"/>
        <DigestValue>zkcuuIJFB/0VY7uHVMAnYt1/wckYFztTaf8Sw+XnGpM=</DigestValue>
      </Reference>
      <Reference URI="/xl/worksheets/sheet14.xml?ContentType=application/vnd.openxmlformats-officedocument.spreadsheetml.worksheet+xml">
        <DigestMethod Algorithm="http://www.w3.org/2001/04/xmlenc#sha256"/>
        <DigestValue>WeW6lgNp2vYooUJjBNvALD2ZbVfkHUKbo0SD3px02Pc=</DigestValue>
      </Reference>
      <Reference URI="/xl/worksheets/sheet15.xml?ContentType=application/vnd.openxmlformats-officedocument.spreadsheetml.worksheet+xml">
        <DigestMethod Algorithm="http://www.w3.org/2001/04/xmlenc#sha256"/>
        <DigestValue>e1UWewNCDokV12rcxcKbQw12CNqabAzcQ32pWNOTKt4=</DigestValue>
      </Reference>
      <Reference URI="/xl/worksheets/sheet16.xml?ContentType=application/vnd.openxmlformats-officedocument.spreadsheetml.worksheet+xml">
        <DigestMethod Algorithm="http://www.w3.org/2001/04/xmlenc#sha256"/>
        <DigestValue>3r6t8qULQx2X7wzW/uuCZb7f5DTg2Iomp7rtyYohf2k=</DigestValue>
      </Reference>
      <Reference URI="/xl/worksheets/sheet17.xml?ContentType=application/vnd.openxmlformats-officedocument.spreadsheetml.worksheet+xml">
        <DigestMethod Algorithm="http://www.w3.org/2001/04/xmlenc#sha256"/>
        <DigestValue>7A3DksfdBA7hTJJc90cmYqqod+7m+n5iauygjASB/Ig=</DigestValue>
      </Reference>
      <Reference URI="/xl/worksheets/sheet18.xml?ContentType=application/vnd.openxmlformats-officedocument.spreadsheetml.worksheet+xml">
        <DigestMethod Algorithm="http://www.w3.org/2001/04/xmlenc#sha256"/>
        <DigestValue>mcW6+iJAQUOTow6BsWQSk2YuzFVikcasXxJQnQrYeSI=</DigestValue>
      </Reference>
      <Reference URI="/xl/worksheets/sheet2.xml?ContentType=application/vnd.openxmlformats-officedocument.spreadsheetml.worksheet+xml">
        <DigestMethod Algorithm="http://www.w3.org/2001/04/xmlenc#sha256"/>
        <DigestValue>m4iJ2PymF3wqXt/KoiwwxnIkRMxnGZi79lexO1WyFIA=</DigestValue>
      </Reference>
      <Reference URI="/xl/worksheets/sheet3.xml?ContentType=application/vnd.openxmlformats-officedocument.spreadsheetml.worksheet+xml">
        <DigestMethod Algorithm="http://www.w3.org/2001/04/xmlenc#sha256"/>
        <DigestValue>7Sa52t7RBzhyteSYVhrdgdLWcsKSkotGvaEvrva165A=</DigestValue>
      </Reference>
      <Reference URI="/xl/worksheets/sheet4.xml?ContentType=application/vnd.openxmlformats-officedocument.spreadsheetml.worksheet+xml">
        <DigestMethod Algorithm="http://www.w3.org/2001/04/xmlenc#sha256"/>
        <DigestValue>+p97YsqYbXFbkO7IMdtKpd/OKZlkFamOp4yvLR09naE=</DigestValue>
      </Reference>
      <Reference URI="/xl/worksheets/sheet5.xml?ContentType=application/vnd.openxmlformats-officedocument.spreadsheetml.worksheet+xml">
        <DigestMethod Algorithm="http://www.w3.org/2001/04/xmlenc#sha256"/>
        <DigestValue>BTbRxdSzg5Grv61NIGbOnomfShYngapY5IMcxtRvjGw=</DigestValue>
      </Reference>
      <Reference URI="/xl/worksheets/sheet6.xml?ContentType=application/vnd.openxmlformats-officedocument.spreadsheetml.worksheet+xml">
        <DigestMethod Algorithm="http://www.w3.org/2001/04/xmlenc#sha256"/>
        <DigestValue>eWafvXrRViRfRPW4f1+q74uoKAPCAH3EgqiN0og/7nw=</DigestValue>
      </Reference>
      <Reference URI="/xl/worksheets/sheet7.xml?ContentType=application/vnd.openxmlformats-officedocument.spreadsheetml.worksheet+xml">
        <DigestMethod Algorithm="http://www.w3.org/2001/04/xmlenc#sha256"/>
        <DigestValue>gLn0bThZZFc1jJlWr5ZjmgoFAVLdH83ow4GwGs5wFDM=</DigestValue>
      </Reference>
      <Reference URI="/xl/worksheets/sheet8.xml?ContentType=application/vnd.openxmlformats-officedocument.spreadsheetml.worksheet+xml">
        <DigestMethod Algorithm="http://www.w3.org/2001/04/xmlenc#sha256"/>
        <DigestValue>33HqTKlRAo/5YE1PaJyHAUmkDJOnmM2972Qt4KBkOEA=</DigestValue>
      </Reference>
      <Reference URI="/xl/worksheets/sheet9.xml?ContentType=application/vnd.openxmlformats-officedocument.spreadsheetml.worksheet+xml">
        <DigestMethod Algorithm="http://www.w3.org/2001/04/xmlenc#sha256"/>
        <DigestValue>Dsv1bj8ykKle6blCPIXXxnpRWX9PgIvXtGFyFTG7P1Y=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2020-07-24T08:00:47Z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2020-07-24T08:00:47Z</xd:SigningTime>
          <xd:SigningCertificate>
            <xd:Cert>
              <xd:CertDigest>
                <DigestMethod Algorithm="http://www.w3.org/2001/04/xmlenc#sha256"/>
                <DigestValue>A7e5m2h1KbNiZGOGwzomIFCkYqfEghvfmU1iqaQ7Lw8=</DigestValue>
              </xd:CertDigest>
              <xd:IssuerSerial>
                <X509IssuerName>CN=NBG Class 2 INT Sub CA, DC=nbg, DC=ge</X509IssuerName>
                <X509SerialNumber>263992323275735821282038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/>
            <xd:StateOrProvince/>
            <xd:PostalCode/>
            <xd:CountryName/>
          </xd:SignatureProductionPlace>
          <xd:SignerRole>
            <xd:ClaimedRoles>
              <xd:ClaimedRole>CFO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2020-07-24T07:55:54Z</dcterms:modified>
</cp:coreProperties>
</file>