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77" activeTab="1"/>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107" l="1"/>
  <c r="E13" i="107"/>
  <c r="F13" i="107"/>
  <c r="G13" i="107"/>
  <c r="G19" i="107" s="1"/>
  <c r="H13" i="107"/>
  <c r="I13" i="107"/>
  <c r="J13" i="107"/>
  <c r="K13" i="107"/>
  <c r="K19" i="107" s="1"/>
  <c r="L13" i="107"/>
  <c r="M13" i="107"/>
  <c r="N13" i="107"/>
  <c r="O13" i="107"/>
  <c r="O19" i="107" s="1"/>
  <c r="C13" i="107"/>
  <c r="D19" i="107"/>
  <c r="E19" i="107"/>
  <c r="F19" i="107"/>
  <c r="H19" i="107"/>
  <c r="I19" i="107"/>
  <c r="J19" i="107"/>
  <c r="L19" i="107"/>
  <c r="M19" i="107"/>
  <c r="N19" i="107"/>
  <c r="C19" i="107"/>
  <c r="I18" i="107"/>
  <c r="I17" i="107"/>
  <c r="I16" i="107"/>
  <c r="I15" i="107"/>
  <c r="I14" i="107"/>
  <c r="I12" i="107"/>
  <c r="I11" i="107"/>
  <c r="I10" i="107"/>
  <c r="I9" i="107"/>
  <c r="I8" i="107"/>
  <c r="I7" i="107"/>
  <c r="C8" i="107"/>
  <c r="C9" i="107"/>
  <c r="C10" i="107"/>
  <c r="C11" i="107"/>
  <c r="C12" i="107"/>
  <c r="C14" i="107"/>
  <c r="C15" i="107"/>
  <c r="C16" i="107"/>
  <c r="C17" i="107"/>
  <c r="C18" i="107"/>
  <c r="C7" i="107"/>
  <c r="B2" i="107" l="1"/>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E16" i="93" s="1"/>
  <c r="C16" i="93"/>
  <c r="E11" i="93"/>
  <c r="E12" i="93"/>
  <c r="E13" i="93"/>
  <c r="E14" i="93"/>
  <c r="E15" i="93"/>
  <c r="E10" i="93"/>
  <c r="B2" i="93"/>
  <c r="B1" i="93"/>
  <c r="H16" i="91"/>
  <c r="H9" i="91"/>
  <c r="F16" i="91"/>
  <c r="G16" i="91" s="1"/>
  <c r="F12" i="91"/>
  <c r="G12" i="91" s="1"/>
  <c r="H12" i="91" s="1"/>
  <c r="F9" i="91"/>
  <c r="G9" i="91" s="1"/>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S10" i="90"/>
  <c r="F10" i="91" s="1"/>
  <c r="G10" i="91" s="1"/>
  <c r="H10" i="91" s="1"/>
  <c r="S11" i="90"/>
  <c r="F11" i="91" s="1"/>
  <c r="G11" i="91" s="1"/>
  <c r="H11" i="91" s="1"/>
  <c r="S12" i="90"/>
  <c r="S13" i="90"/>
  <c r="F13" i="91" s="1"/>
  <c r="G13" i="91" s="1"/>
  <c r="S14" i="90"/>
  <c r="F14" i="91" s="1"/>
  <c r="S15" i="90"/>
  <c r="F15" i="91" s="1"/>
  <c r="G15" i="91" s="1"/>
  <c r="H15" i="91" s="1"/>
  <c r="S16" i="90"/>
  <c r="S17" i="90"/>
  <c r="F17" i="91" s="1"/>
  <c r="G17" i="91" s="1"/>
  <c r="H17" i="91" s="1"/>
  <c r="S18" i="90"/>
  <c r="F18" i="91" s="1"/>
  <c r="G18" i="91" s="1"/>
  <c r="S19" i="90"/>
  <c r="F19" i="91" s="1"/>
  <c r="G19" i="91" s="1"/>
  <c r="H19" i="91" s="1"/>
  <c r="S20" i="90"/>
  <c r="F20" i="91" s="1"/>
  <c r="G20" i="91" s="1"/>
  <c r="H20" i="91" s="1"/>
  <c r="S21" i="90"/>
  <c r="F21" i="91" s="1"/>
  <c r="H23" i="93" l="1"/>
  <c r="H18" i="91"/>
  <c r="H13" i="91"/>
  <c r="H8" i="91"/>
  <c r="H16" i="93"/>
  <c r="F25" i="93"/>
  <c r="G24" i="93"/>
  <c r="H24" i="93" s="1"/>
  <c r="H25" i="93" s="1"/>
  <c r="K23" i="93"/>
  <c r="K21" i="93"/>
  <c r="H21" i="93"/>
  <c r="S22" i="90"/>
  <c r="G25" i="93" l="1"/>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C48" i="84" l="1"/>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B1" i="75"/>
  <c r="B2" i="83"/>
  <c r="G5" i="86"/>
  <c r="F5" i="86"/>
  <c r="E5" i="86"/>
  <c r="D5" i="86"/>
  <c r="C5" i="86"/>
  <c r="G5" i="84"/>
  <c r="F5" i="84"/>
  <c r="E5" i="84"/>
  <c r="D5" i="84"/>
  <c r="C5" i="84"/>
  <c r="E6" i="86" l="1"/>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22" i="90" l="1"/>
  <c r="C12" i="89"/>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H56" i="85" s="1"/>
  <c r="E31" i="85"/>
  <c r="E41" i="83"/>
  <c r="E31" i="83"/>
  <c r="E8" i="88" l="1"/>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C6" i="73" s="1"/>
  <c r="H7" i="75"/>
  <c r="E7" i="75"/>
  <c r="D14" i="91" s="1"/>
  <c r="D22" i="91" s="1"/>
  <c r="C28" i="95" l="1"/>
  <c r="C30" i="95" s="1"/>
  <c r="C36" i="95" s="1"/>
  <c r="C38" i="95" s="1"/>
  <c r="C8" i="73"/>
  <c r="C13" i="73" s="1"/>
  <c r="D21" i="64"/>
  <c r="E21" i="64"/>
  <c r="F21" i="64"/>
  <c r="G21" i="64"/>
  <c r="H21" i="64"/>
  <c r="I21" i="64"/>
  <c r="J21" i="64"/>
  <c r="K21" i="64"/>
  <c r="L21" i="64"/>
  <c r="M21" i="64"/>
  <c r="N21" i="64"/>
  <c r="O21" i="64"/>
  <c r="P21" i="64"/>
  <c r="Q21" i="64"/>
  <c r="R21" i="64"/>
  <c r="V8" i="64" l="1"/>
  <c r="V9" i="64"/>
  <c r="V10" i="64"/>
  <c r="V11" i="64"/>
  <c r="V12" i="64"/>
  <c r="V13" i="64"/>
  <c r="G14" i="91" s="1"/>
  <c r="V14" i="64"/>
  <c r="V15" i="64"/>
  <c r="V16" i="64"/>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<sst xmlns="http://schemas.openxmlformats.org/spreadsheetml/2006/main" count="1148" uniqueCount="758">
  <si>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</si>
  <si>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</si>
  <si>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</si>
  <si>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</si>
  <si>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</si>
  <si>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</si>
  <si>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</si>
  <si>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</si>
  <si>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</si>
  <si>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</si>
  <si>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</si>
  <si>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</si>
  <si>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</si>
  <si>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</si>
  <si>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</si>
  <si>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</si>
  <si>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</si>
  <si>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</si>
  <si>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</si>
  <si>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</si>
  <si>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</si>
  <si>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</si>
  <si>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</si>
  <si>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</si>
  <si>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</si>
  <si>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</si>
  <si>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</si>
  <si>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</si>
  <si>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</si>
  <si>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</si>
  <si>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</si>
  <si>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</si>
  <si>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</si>
  <si>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</si>
  <si>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</si>
  <si>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</si>
  <si>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</si>
  <si>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</si>
  <si>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</si>
  <si>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</si>
  <si>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</si>
  <si>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</si>
  <si>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</si>
  <si>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</si>
  <si>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</si>
  <si>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</si>
  <si>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</si>
  <si>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</si>
  <si>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</si>
  <si>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</si>
  <si>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</si>
  <si>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</si>
  <si>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</si>
  <si>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</si>
  <si>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</si>
  <si>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</si>
  <si>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</si>
  <si>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</si>
  <si>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</si>
  <si>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</si>
  <si>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</si>
  <si>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</si>
  <si>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</si>
  <si>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</si>
  <si>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</si>
  <si>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</si>
  <si>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</si>
  <si>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</si>
  <si>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</si>
  <si>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</si>
  <si>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</si>
  <si>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</si>
  <si>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</si>
  <si>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</si>
  <si>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</si>
  <si>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</si>
  <si>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</si>
  <si>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</si>
  <si>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</si>
  <si>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</si>
  <si>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</si>
  <si>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</si>
  <si>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</si>
  <si>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</si>
  <si>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</si>
  <si>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</si>
  <si>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</si>
  <si>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</si>
  <si>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</si>
  <si>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</si>
  <si>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</si>
  <si>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</si>
  <si>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</si>
  <si>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</si>
  <si>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</si>
  <si>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</si>
  <si>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</si>
  <si>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</si>
  <si>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</si>
  <si>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</si>
  <si>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</si>
  <si>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</si>
  <si>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</si>
  <si>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</si>
  <si>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</si>
  <si>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</si>
  <si>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</si>
  <si>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</si>
  <si>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</si>
  <si>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</si>
  <si>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</si>
  <si>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</si>
  <si>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</si>
  <si>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</si>
  <si>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</si>
  <si>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</si>
  <si>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</si>
  <si>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</si>
  <si>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</si>
  <si>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</si>
  <si>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</si>
  <si>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</si>
  <si>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</si>
  <si>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</si>
  <si>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</si>
  <si>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</si>
  <si>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</si>
  <si>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</si>
  <si>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</si>
  <si>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</si>
  <si>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</si>
  <si>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</si>
  <si>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</si>
  <si>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</si>
  <si>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</si>
  <si>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</si>
  <si>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</si>
  <si>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</si>
  <si>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</si>
  <si>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</si>
  <si>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</si>
  <si>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</si>
  <si>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</si>
  <si>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</si>
  <si>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</si>
  <si>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</si>
  <si>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</si>
  <si>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</si>
  <si>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</si>
  <si>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</si>
  <si>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</si>
  <si>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</si>
  <si>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</si>
  <si>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</si>
  <si>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</si>
  <si>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</si>
  <si>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</si>
  <si>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</si>
  <si>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</si>
  <si>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</si>
  <si>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</si>
  <si>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</si>
  <si>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</si>
  <si>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</si>
  <si>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</si>
  <si>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</si>
  <si>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</si>
  <si>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</si>
  <si>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</si>
  <si>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</si>
  <si>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</si>
  <si>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</si>
  <si>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</si>
  <si>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</si>
  <si>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</si>
  <si>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</si>
  <si>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</si>
  <si>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</si>
  <si>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</si>
  <si>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</si>
  <si>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</si>
  <si>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</si>
  <si>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</si>
  <si>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</si>
  <si>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</si>
  <si>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</si>
  <si>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</si>
  <si>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</si>
  <si>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</si>
  <si>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</si>
  <si>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</si>
  <si>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</si>
  <si>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</si>
  <si>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</si>
  <si>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</si>
  <si>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</si>
  <si>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</si>
  <si>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</si>
  <si>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</si>
  <si>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</si>
  <si>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</si>
  <si>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</si>
  <si>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</si>
  <si>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</si>
  <si>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</si>
  <si>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</si>
  <si>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</si>
  <si>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</si>
  <si>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</si>
  <si>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</si>
  <si>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</si>
  <si>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</si>
  <si>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</si>
  <si>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</si>
  <si>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</si>
  <si>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</si>
  <si>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</si>
  <si>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</si>
  <si>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</si>
  <si>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</si>
  <si>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</si>
  <si>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</si>
  <si>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</si>
  <si>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</si>
  <si>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</si>
  <si>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</si>
  <si>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</si>
  <si>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</si>
  <si>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</si>
  <si>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</si>
  <si>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</si>
  <si>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</si>
  <si>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</si>
  <si>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</si>
  <si>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</si>
  <si>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</si>
  <si>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</si>
  <si>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</si>
  <si>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</si>
  <si>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</si>
  <si>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</si>
  <si>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</si>
  <si>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</si>
  <si>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</si>
  <si>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</si>
  <si>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</si>
  <si>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</si>
  <si>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</si>
  <si>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</si>
  <si>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</si>
  <si>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</si>
  <si>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</si>
  <si>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</si>
  <si>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</si>
  <si>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</si>
  <si>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</si>
  <si>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</si>
  <si>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</si>
  <si>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</si>
  <si>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</si>
  <si>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</si>
  <si>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</si>
  <si>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</si>
  <si>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</si>
  <si>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</si>
  <si>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</si>
  <si>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</si>
  <si>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</si>
  <si>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</si>
  <si>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</si>
  <si>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</si>
  <si>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</si>
  <si>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</si>
  <si>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</si>
  <si>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</si>
  <si>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</si>
  <si>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</si>
  <si>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</si>
  <si>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</si>
  <si>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</si>
  <si>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</si>
  <si>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</si>
  <si>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</si>
  <si>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</si>
  <si>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</si>
  <si>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</si>
  <si>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</si>
  <si>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</si>
  <si>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</si>
  <si>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</si>
  <si>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</si>
  <si>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</si>
  <si>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</si>
  <si>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</si>
  <si>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</si>
  <si>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</si>
  <si>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</si>
  <si>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</si>
  <si>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</si>
  <si>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</si>
  <si>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</si>
  <si>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</si>
  <si>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</si>
  <si>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</si>
  <si>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</si>
  <si>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</si>
  <si>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</si>
  <si>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</si>
  <si>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</si>
  <si>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</si>
  <si>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</si>
  <si>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</si>
  <si>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</si>
  <si>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</si>
  <si>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</si>
  <si>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</si>
  <si>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</si>
  <si>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</si>
  <si>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</si>
  <si>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</si>
  <si>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</si>
  <si>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</si>
  <si>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</si>
  <si>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</si>
  <si>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</si>
  <si>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</si>
  <si>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</si>
  <si>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</si>
  <si>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</si>
  <si>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</si>
  <si>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</si>
  <si>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</si>
  <si>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</si>
  <si>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</si>
  <si>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</si>
  <si>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</si>
  <si>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</si>
  <si>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</si>
  <si>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</si>
  <si>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</si>
  <si>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</si>
  <si>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</si>
  <si>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</si>
  <si>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</si>
  <si>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</si>
  <si>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</si>
  <si>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</si>
  <si>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</si>
  <si>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</si>
  <si>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</si>
  <si>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</si>
  <si>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</si>
  <si>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</si>
  <si>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</si>
  <si>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</si>
  <si>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</si>
  <si>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</si>
  <si>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</si>
  <si>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</si>
  <si>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</si>
  <si>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</si>
  <si>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</si>
  <si>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</si>
  <si>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</si>
  <si>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</si>
  <si>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</si>
  <si>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</si>
  <si>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</si>
  <si>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</si>
  <si>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</si>
  <si>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</si>
  <si>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</si>
  <si>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</si>
  <si>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</si>
  <si>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</si>
  <si>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</si>
  <si>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</si>
  <si>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</si>
  <si>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</si>
  <si>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</si>
  <si>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</si>
  <si>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</si>
  <si>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</si>
  <si>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</si>
  <si>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</si>
  <si>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</si>
  <si>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</si>
  <si>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</si>
  <si>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</si>
  <si>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</si>
  <si>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</si>
  <si>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</si>
  <si>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</si>
  <si>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</si>
  <si>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</si>
  <si>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</si>
  <si>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</si>
  <si>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</si>
  <si>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</si>
  <si>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</si>
  <si>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</si>
  <si>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</si>
  <si>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</si>
  <si>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</si>
  <si>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</si>
  <si>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</si>
  <si>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</si>
  <si>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</si>
  <si>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</si>
  <si>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</si>
  <si>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</si>
  <si>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</si>
  <si>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</si>
  <si>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</si>
  <si>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</si>
  <si>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</si>
  <si>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</si>
  <si>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</si>
  <si>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</si>
  <si>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</si>
  <si>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</si>
  <si>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</si>
  <si>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</si>
  <si>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</si>
  <si>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</si>
  <si>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</si>
  <si>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</si>
  <si>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</si>
  <si>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</si>
  <si>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</si>
  <si>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</si>
  <si>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</si>
  <si>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</si>
  <si>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</si>
  <si>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</si>
  <si>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</si>
  <si>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</si>
  <si>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</si>
  <si>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</si>
  <si>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</si>
  <si>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</si>
  <si>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</si>
  <si>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</si>
  <si>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</si>
  <si>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</si>
  <si>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</si>
  <si>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</si>
  <si>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</si>
  <si>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</si>
  <si>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</si>
  <si>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</si>
  <si>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</si>
  <si>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</si>
  <si>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</si>
  <si>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</si>
  <si>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</si>
  <si>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</si>
  <si>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</si>
  <si>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</si>
  <si>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</si>
  <si>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</si>
  <si>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</si>
  <si>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</si>
  <si>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</si>
  <si>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</si>
  <si>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</si>
  <si>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</si>
  <si>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</si>
  <si>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</si>
  <si>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</si>
  <si>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</si>
  <si>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</si>
  <si>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</si>
  <si>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</si>
  <si>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</si>
  <si>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</si>
  <si>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</si>
  <si>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</si>
  <si>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</si>
  <si>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</si>
  <si>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</si>
  <si>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</si>
  <si>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</si>
  <si>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</si>
  <si>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</si>
  <si>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</si>
  <si>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</si>
  <si>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</si>
  <si>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</si>
  <si>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</si>
  <si>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</si>
  <si>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</si>
  <si>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</si>
  <si>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</si>
  <si>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</si>
  <si>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</si>
  <si>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</si>
  <si>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</si>
  <si>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</si>
  <si>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</si>
  <si>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</si>
  <si>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</si>
  <si>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</si>
  <si>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</si>
  <si>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</si>
  <si>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</si>
  <si>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</si>
  <si>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</si>
  <si>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</si>
  <si>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</si>
  <si>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</si>
  <si>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</si>
  <si>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</si>
  <si>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</si>
  <si>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</si>
  <si>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</si>
  <si>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</si>
  <si>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</si>
  <si>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</si>
  <si>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</si>
  <si>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</si>
  <si>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</si>
  <si>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</si>
  <si>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</si>
  <si>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</si>
  <si>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</si>
  <si>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</si>
  <si>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</si>
  <si>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</si>
  <si>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</si>
  <si>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</si>
  <si>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</si>
  <si>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</si>
  <si>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</si>
  <si>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</si>
  <si>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</si>
  <si>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</si>
  <si>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</si>
  <si>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</si>
  <si>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</si>
  <si>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</si>
  <si>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</si>
  <si>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</si>
  <si>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</si>
  <si>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</si>
  <si>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</si>
  <si>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</si>
  <si>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</si>
  <si>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</si>
  <si>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</si>
  <si>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</si>
  <si>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</si>
  <si>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</si>
  <si>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</si>
  <si>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</si>
  <si>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</si>
  <si>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</si>
  <si>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</si>
  <si>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</si>
  <si>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</si>
  <si>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</si>
  <si>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</si>
  <si>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</si>
  <si>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</si>
  <si>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</si>
  <si>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</si>
  <si>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</si>
  <si>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</si>
  <si>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</si>
  <si>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</si>
  <si>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</si>
  <si>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</si>
  <si>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</si>
  <si>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</si>
  <si>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</si>
  <si>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</si>
  <si>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</si>
  <si>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</si>
  <si>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</si>
  <si>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</si>
  <si>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</si>
  <si>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</si>
  <si>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</si>
  <si>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</si>
  <si>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</si>
  <si>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</si>
  <si>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</si>
  <si>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</si>
  <si>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</si>
  <si>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</si>
  <si>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</si>
  <si>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</si>
  <si>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</si>
  <si>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</si>
  <si>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</si>
  <si>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</si>
  <si>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</si>
  <si>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</si>
  <si>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</si>
  <si>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</si>
  <si>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</si>
  <si>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</si>
  <si>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</si>
  <si>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</si>
  <si>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</si>
  <si>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</si>
  <si>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</si>
  <si>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</si>
  <si>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</si>
  <si>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</si>
  <si>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</si>
  <si>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</si>
  <si>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</si>
  <si>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</si>
  <si>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</si>
  <si>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</si>
  <si>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</si>
  <si>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</si>
  <si>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</si>
  <si>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</si>
  <si>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</si>
  <si>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</si>
  <si>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</si>
  <si>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</si>
  <si>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</si>
  <si>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</si>
  <si>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</si>
  <si>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</si>
  <si>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</si>
  <si>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</si>
  <si>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</si>
  <si>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</si>
  <si>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</si>
  <si>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</si>
  <si>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</si>
  <si>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</si>
  <si>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</si>
  <si>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</si>
  <si>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</si>
  <si>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</si>
  <si>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</si>
  <si>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</si>
  <si>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</si>
  <si>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</si>
  <si>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</si>
  <si>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</si>
  <si>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</si>
  <si>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</si>
  <si>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</si>
  <si>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</si>
  <si>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</si>
  <si>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</si>
  <si>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</si>
  <si>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</si>
  <si>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</si>
  <si>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</si>
  <si>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</si>
  <si>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</si>
  <si>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</si>
  <si>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</si>
  <si>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</si>
  <si>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</si>
  <si>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</si>
  <si>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</si>
  <si>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</si>
  <si>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</si>
  <si>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</si>
  <si>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</si>
  <si>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</si>
  <si>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</si>
  <si>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</si>
  <si>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</si>
  <si>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</si>
  <si>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</si>
  <si>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</si>
  <si>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</si>
  <si>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</si>
  <si>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</si>
  <si>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</si>
  <si>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</si>
  <si>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</si>
  <si>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</si>
  <si>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</si>
  <si>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</si>
  <si>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</si>
  <si>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</si>
  <si>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</si>
  <si>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</si>
  <si>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</si>
  <si>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</si>
  <si>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</si>
  <si>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</si>
  <si>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</si>
  <si>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</si>
  <si>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</si>
  <si>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</si>
  <si>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</si>
  <si>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</si>
  <si>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</si>
  <si>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</si>
  <si>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</si>
  <si>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</si>
  <si>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</si>
  <si>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</si>
  <si>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</si>
  <si>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</si>
  <si>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</si>
  <si>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</si>
  <si>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</si>
  <si>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</si>
  <si>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</si>
  <si>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Gürsoy</t>
  </si>
  <si>
    <t>Ozan Gür</t>
  </si>
  <si>
    <t>www.isbank.ge</t>
  </si>
  <si>
    <t>Sezgin Lüle</t>
  </si>
  <si>
    <t>Yavuz Ergın</t>
  </si>
  <si>
    <t>Natia Janelidze</t>
  </si>
  <si>
    <t>Huseyn Serdar Yücel</t>
  </si>
  <si>
    <t>Banu Altun</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</si>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</sst>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textRotation="90"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zoomScaleNormal="100" workbookViewId="0">
      <selection activeCell="B1" sqref="B1"/>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710</v>
      </c>
    </row>
    <row r="3" spans="1:3">
      <c r="A3" s="175">
        <v>2</v>
      </c>
      <c r="B3" s="290" t="s">
        <v>341</v>
      </c>
      <c r="C3" s="448" t="s">
        <v>711</v>
      </c>
    </row>
    <row r="4" spans="1:3">
      <c r="A4" s="175">
        <v>3</v>
      </c>
      <c r="B4" s="291" t="s">
        <v>346</v>
      </c>
      <c r="C4" s="448" t="s">
        <v>712</v>
      </c>
    </row>
    <row r="5" spans="1:3">
      <c r="A5" s="176">
        <v>4</v>
      </c>
      <c r="B5" s="292" t="s">
        <v>342</v>
      </c>
      <c r="C5" s="419" t="s">
        <v>713</v>
      </c>
    </row>
    <row r="6" spans="1:3" s="177" customFormat="1" ht="45.75" customHeight="1">
      <c r="A6" s="703" t="s">
        <v>420</v>
      </c>
      <c r="B6" s="704"/>
      <c r="C6" s="704"/>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497</v>
      </c>
    </row>
    <row r="26" spans="1:2">
      <c r="A26" s="330">
        <v>17</v>
      </c>
      <c r="B26" s="332" t="s">
        <v>538</v>
      </c>
    </row>
    <row r="27" spans="1:2">
      <c r="A27" s="330">
        <v>18</v>
      </c>
      <c r="B27" s="332" t="s">
        <v>539</v>
      </c>
    </row>
    <row r="28" spans="1:2">
      <c r="A28" s="330">
        <v>19</v>
      </c>
      <c r="B28" s="332" t="s">
        <v>540</v>
      </c>
    </row>
    <row r="29" spans="1:2">
      <c r="A29" s="330">
        <v>20</v>
      </c>
      <c r="B29" s="419" t="s">
        <v>541</v>
      </c>
    </row>
    <row r="30" spans="1:2">
      <c r="A30" s="330">
        <v>21</v>
      </c>
      <c r="B30" s="332" t="s">
        <v>707</v>
      </c>
    </row>
    <row r="31" spans="1:2">
      <c r="A31" s="330">
        <v>22</v>
      </c>
      <c r="B31" s="332" t="s">
        <v>542</v>
      </c>
    </row>
    <row r="32" spans="1:2">
      <c r="A32" s="330">
        <v>23</v>
      </c>
      <c r="B32" s="332" t="s">
        <v>543</v>
      </c>
    </row>
    <row r="33" spans="1:2">
      <c r="A33" s="330">
        <v>24</v>
      </c>
      <c r="B33" s="332" t="s">
        <v>544</v>
      </c>
    </row>
    <row r="34" spans="1:2">
      <c r="A34" s="330">
        <v>25</v>
      </c>
      <c r="B34" s="332" t="s">
        <v>545</v>
      </c>
    </row>
    <row r="35" spans="1:2">
      <c r="A35" s="701">
        <v>26</v>
      </c>
      <c r="B35" s="702" t="s">
        <v>757</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44469</v>
      </c>
    </row>
    <row r="3" spans="1:5" s="62" customFormat="1" ht="15.75" customHeight="1"/>
    <row r="4" spans="1:5" ht="13.5" thickBot="1">
      <c r="A4" s="74" t="s">
        <v>246</v>
      </c>
      <c r="B4" s="122" t="s">
        <v>245</v>
      </c>
    </row>
    <row r="5" spans="1:5">
      <c r="A5" s="75" t="s">
        <v>6</v>
      </c>
      <c r="B5" s="76"/>
      <c r="C5" s="77" t="s">
        <v>73</v>
      </c>
    </row>
    <row r="6" spans="1:5">
      <c r="A6" s="78">
        <v>1</v>
      </c>
      <c r="B6" s="562" t="s">
        <v>244</v>
      </c>
      <c r="C6" s="563">
        <f>SUM(C7:C11)</f>
        <v>91932987.950918108</v>
      </c>
    </row>
    <row r="7" spans="1:5">
      <c r="A7" s="78">
        <v>2</v>
      </c>
      <c r="B7" s="79" t="s">
        <v>243</v>
      </c>
      <c r="C7" s="564">
        <f>'2.RC'!E33</f>
        <v>69161600</v>
      </c>
    </row>
    <row r="8" spans="1:5">
      <c r="A8" s="78">
        <v>3</v>
      </c>
      <c r="B8" s="565" t="s">
        <v>242</v>
      </c>
      <c r="C8" s="564"/>
    </row>
    <row r="9" spans="1:5">
      <c r="A9" s="78">
        <v>4</v>
      </c>
      <c r="B9" s="565" t="s">
        <v>241</v>
      </c>
      <c r="C9" s="564"/>
    </row>
    <row r="10" spans="1:5">
      <c r="A10" s="78">
        <v>5</v>
      </c>
      <c r="B10" s="565" t="s">
        <v>240</v>
      </c>
      <c r="C10" s="564"/>
    </row>
    <row r="11" spans="1:5">
      <c r="A11" s="78">
        <v>6</v>
      </c>
      <c r="B11" s="566" t="s">
        <v>239</v>
      </c>
      <c r="C11" s="564">
        <f>'2.RC'!E38</f>
        <v>22771387.950918108</v>
      </c>
    </row>
    <row r="12" spans="1:5" s="48" customFormat="1">
      <c r="A12" s="78">
        <v>7</v>
      </c>
      <c r="B12" s="562" t="s">
        <v>238</v>
      </c>
      <c r="C12" s="567">
        <f>SUM(C13:C27)</f>
        <v>238014.31999999995</v>
      </c>
      <c r="E12" s="579"/>
    </row>
    <row r="13" spans="1:5" s="48" customFormat="1">
      <c r="A13" s="78">
        <v>8</v>
      </c>
      <c r="B13" s="80" t="s">
        <v>237</v>
      </c>
      <c r="C13" s="568"/>
    </row>
    <row r="14" spans="1:5" s="48" customFormat="1" ht="25.5">
      <c r="A14" s="78">
        <v>9</v>
      </c>
      <c r="B14" s="569" t="s">
        <v>236</v>
      </c>
      <c r="C14" s="568"/>
    </row>
    <row r="15" spans="1:5" s="48" customFormat="1">
      <c r="A15" s="78">
        <v>10</v>
      </c>
      <c r="B15" s="570" t="s">
        <v>235</v>
      </c>
      <c r="C15" s="568">
        <f>'7. LI1 '!D19</f>
        <v>238014.31999999995</v>
      </c>
    </row>
    <row r="16" spans="1:5" s="48" customFormat="1">
      <c r="A16" s="78">
        <v>11</v>
      </c>
      <c r="B16" s="571" t="s">
        <v>234</v>
      </c>
      <c r="C16" s="568"/>
    </row>
    <row r="17" spans="1:3" s="48" customFormat="1">
      <c r="A17" s="78">
        <v>12</v>
      </c>
      <c r="B17" s="570" t="s">
        <v>233</v>
      </c>
      <c r="C17" s="568"/>
    </row>
    <row r="18" spans="1:3" s="48" customFormat="1">
      <c r="A18" s="78">
        <v>13</v>
      </c>
      <c r="B18" s="570" t="s">
        <v>232</v>
      </c>
      <c r="C18" s="568"/>
    </row>
    <row r="19" spans="1:3" s="48" customFormat="1">
      <c r="A19" s="78">
        <v>14</v>
      </c>
      <c r="B19" s="570" t="s">
        <v>231</v>
      </c>
      <c r="C19" s="568"/>
    </row>
    <row r="20" spans="1:3" s="48" customFormat="1">
      <c r="A20" s="78">
        <v>15</v>
      </c>
      <c r="B20" s="570" t="s">
        <v>230</v>
      </c>
      <c r="C20" s="568"/>
    </row>
    <row r="21" spans="1:3" s="48" customFormat="1" ht="25.5">
      <c r="A21" s="78">
        <v>16</v>
      </c>
      <c r="B21" s="569" t="s">
        <v>229</v>
      </c>
      <c r="C21" s="568"/>
    </row>
    <row r="22" spans="1:3" s="48" customFormat="1">
      <c r="A22" s="78">
        <v>17</v>
      </c>
      <c r="B22" s="81" t="s">
        <v>228</v>
      </c>
      <c r="C22" s="568"/>
    </row>
    <row r="23" spans="1:3" s="48" customFormat="1">
      <c r="A23" s="78">
        <v>18</v>
      </c>
      <c r="B23" s="569" t="s">
        <v>227</v>
      </c>
      <c r="C23" s="568"/>
    </row>
    <row r="24" spans="1:3" s="48" customFormat="1" ht="25.5">
      <c r="A24" s="78">
        <v>19</v>
      </c>
      <c r="B24" s="569" t="s">
        <v>204</v>
      </c>
      <c r="C24" s="568"/>
    </row>
    <row r="25" spans="1:3" s="48" customFormat="1">
      <c r="A25" s="78">
        <v>20</v>
      </c>
      <c r="B25" s="572" t="s">
        <v>226</v>
      </c>
      <c r="C25" s="568"/>
    </row>
    <row r="26" spans="1:3" s="48" customFormat="1">
      <c r="A26" s="78">
        <v>21</v>
      </c>
      <c r="B26" s="572" t="s">
        <v>225</v>
      </c>
      <c r="C26" s="568"/>
    </row>
    <row r="27" spans="1:3" s="48" customFormat="1">
      <c r="A27" s="78">
        <v>22</v>
      </c>
      <c r="B27" s="572" t="s">
        <v>224</v>
      </c>
      <c r="C27" s="568"/>
    </row>
    <row r="28" spans="1:3" s="48" customFormat="1">
      <c r="A28" s="78">
        <v>23</v>
      </c>
      <c r="B28" s="573" t="s">
        <v>223</v>
      </c>
      <c r="C28" s="567">
        <f>C6-C12</f>
        <v>91694973.630918115</v>
      </c>
    </row>
    <row r="29" spans="1:3" s="48" customFormat="1">
      <c r="A29" s="82"/>
      <c r="B29" s="574"/>
      <c r="C29" s="568"/>
    </row>
    <row r="30" spans="1:3" s="48" customFormat="1">
      <c r="A30" s="82">
        <v>24</v>
      </c>
      <c r="B30" s="573" t="s">
        <v>222</v>
      </c>
      <c r="C30" s="567">
        <f>C31+C34</f>
        <v>0</v>
      </c>
    </row>
    <row r="31" spans="1:3" s="48" customFormat="1">
      <c r="A31" s="82">
        <v>25</v>
      </c>
      <c r="B31" s="565" t="s">
        <v>221</v>
      </c>
      <c r="C31" s="575">
        <f>C32+C33</f>
        <v>0</v>
      </c>
    </row>
    <row r="32" spans="1:3" s="48" customFormat="1">
      <c r="A32" s="82">
        <v>26</v>
      </c>
      <c r="B32" s="576" t="s">
        <v>302</v>
      </c>
      <c r="C32" s="568"/>
    </row>
    <row r="33" spans="1:3" s="48" customFormat="1">
      <c r="A33" s="82">
        <v>27</v>
      </c>
      <c r="B33" s="576" t="s">
        <v>220</v>
      </c>
      <c r="C33" s="568"/>
    </row>
    <row r="34" spans="1:3" s="48" customFormat="1">
      <c r="A34" s="82">
        <v>28</v>
      </c>
      <c r="B34" s="565" t="s">
        <v>219</v>
      </c>
      <c r="C34" s="568"/>
    </row>
    <row r="35" spans="1:3" s="48" customFormat="1">
      <c r="A35" s="82">
        <v>29</v>
      </c>
      <c r="B35" s="573" t="s">
        <v>218</v>
      </c>
      <c r="C35" s="567">
        <f>SUM(C36:C40)</f>
        <v>0</v>
      </c>
    </row>
    <row r="36" spans="1:3" s="48" customFormat="1">
      <c r="A36" s="82">
        <v>30</v>
      </c>
      <c r="B36" s="569" t="s">
        <v>217</v>
      </c>
      <c r="C36" s="568"/>
    </row>
    <row r="37" spans="1:3" s="48" customFormat="1">
      <c r="A37" s="82">
        <v>31</v>
      </c>
      <c r="B37" s="570" t="s">
        <v>216</v>
      </c>
      <c r="C37" s="568"/>
    </row>
    <row r="38" spans="1:3" s="48" customFormat="1" ht="25.5">
      <c r="A38" s="82">
        <v>32</v>
      </c>
      <c r="B38" s="569" t="s">
        <v>215</v>
      </c>
      <c r="C38" s="568"/>
    </row>
    <row r="39" spans="1:3" s="48" customFormat="1" ht="25.5">
      <c r="A39" s="82">
        <v>33</v>
      </c>
      <c r="B39" s="569" t="s">
        <v>204</v>
      </c>
      <c r="C39" s="568"/>
    </row>
    <row r="40" spans="1:3" s="48" customFormat="1">
      <c r="A40" s="82">
        <v>34</v>
      </c>
      <c r="B40" s="572" t="s">
        <v>214</v>
      </c>
      <c r="C40" s="568"/>
    </row>
    <row r="41" spans="1:3" s="48" customFormat="1">
      <c r="A41" s="82">
        <v>35</v>
      </c>
      <c r="B41" s="573" t="s">
        <v>213</v>
      </c>
      <c r="C41" s="567">
        <f>C30-C35</f>
        <v>0</v>
      </c>
    </row>
    <row r="42" spans="1:3" s="48" customFormat="1">
      <c r="A42" s="82"/>
      <c r="B42" s="574"/>
      <c r="C42" s="568"/>
    </row>
    <row r="43" spans="1:3" s="48" customFormat="1">
      <c r="A43" s="82">
        <v>36</v>
      </c>
      <c r="B43" s="577" t="s">
        <v>212</v>
      </c>
      <c r="C43" s="567">
        <f>SUM(C44:C46)</f>
        <v>4973999.7925486928</v>
      </c>
    </row>
    <row r="44" spans="1:3" s="48" customFormat="1">
      <c r="A44" s="82">
        <v>37</v>
      </c>
      <c r="B44" s="565" t="s">
        <v>211</v>
      </c>
      <c r="C44" s="568"/>
    </row>
    <row r="45" spans="1:3" s="48" customFormat="1">
      <c r="A45" s="82">
        <v>38</v>
      </c>
      <c r="B45" s="565" t="s">
        <v>210</v>
      </c>
      <c r="C45" s="568"/>
    </row>
    <row r="46" spans="1:3" s="48" customFormat="1">
      <c r="A46" s="82">
        <v>39</v>
      </c>
      <c r="B46" s="565" t="s">
        <v>209</v>
      </c>
      <c r="C46" s="568">
        <f>'8. LI2'!C9</f>
        <v>4973999.7925486928</v>
      </c>
    </row>
    <row r="47" spans="1:3" s="48" customFormat="1">
      <c r="A47" s="82">
        <v>40</v>
      </c>
      <c r="B47" s="577" t="s">
        <v>208</v>
      </c>
      <c r="C47" s="567">
        <f>SUM(C48:C51)</f>
        <v>0</v>
      </c>
    </row>
    <row r="48" spans="1:3" s="48" customFormat="1">
      <c r="A48" s="82">
        <v>41</v>
      </c>
      <c r="B48" s="569" t="s">
        <v>207</v>
      </c>
      <c r="C48" s="568"/>
    </row>
    <row r="49" spans="1:3" s="48" customFormat="1">
      <c r="A49" s="82">
        <v>42</v>
      </c>
      <c r="B49" s="570" t="s">
        <v>206</v>
      </c>
      <c r="C49" s="568"/>
    </row>
    <row r="50" spans="1:3" s="48" customFormat="1">
      <c r="A50" s="82">
        <v>43</v>
      </c>
      <c r="B50" s="569" t="s">
        <v>205</v>
      </c>
      <c r="C50" s="568"/>
    </row>
    <row r="51" spans="1:3" s="48" customFormat="1" ht="25.5">
      <c r="A51" s="82">
        <v>44</v>
      </c>
      <c r="B51" s="569" t="s">
        <v>204</v>
      </c>
      <c r="C51" s="568"/>
    </row>
    <row r="52" spans="1:3" s="48" customFormat="1" ht="13.5" thickBot="1">
      <c r="A52" s="83">
        <v>45</v>
      </c>
      <c r="B52" s="84" t="s">
        <v>203</v>
      </c>
      <c r="C52" s="578">
        <f>C43-C47</f>
        <v>4973999.7925486928</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44469</v>
      </c>
    </row>
    <row r="3" spans="1:4" s="199" customFormat="1" ht="15.75" customHeight="1"/>
    <row r="4" spans="1:4" ht="13.5" thickBot="1">
      <c r="A4" s="580" t="s">
        <v>405</v>
      </c>
      <c r="B4" s="281" t="s">
        <v>406</v>
      </c>
    </row>
    <row r="5" spans="1:4" s="282" customFormat="1" ht="12.75" customHeight="1">
      <c r="A5" s="721"/>
      <c r="B5" s="722"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19268052.019221418</v>
      </c>
    </row>
    <row r="8" spans="1:4" s="283" customFormat="1">
      <c r="A8" s="278" t="s">
        <v>397</v>
      </c>
      <c r="B8" s="582" t="s">
        <v>412</v>
      </c>
      <c r="C8" s="585">
        <v>0.06</v>
      </c>
      <c r="D8" s="584">
        <f>C8*'5. RWA '!$C$13</f>
        <v>25690736.025628556</v>
      </c>
    </row>
    <row r="9" spans="1:4" s="283" customFormat="1">
      <c r="A9" s="278" t="s">
        <v>398</v>
      </c>
      <c r="B9" s="582" t="s">
        <v>413</v>
      </c>
      <c r="C9" s="585">
        <v>0.08</v>
      </c>
      <c r="D9" s="584">
        <f>C9*'5. RWA '!$C$13</f>
        <v>34254314.700838074</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2.5641278368205546E-2</v>
      </c>
      <c r="D15" s="588">
        <f>C15*'5. RWA '!$C$13</f>
        <v>10979055.231953807</v>
      </c>
    </row>
    <row r="16" spans="1:4" s="284" customFormat="1">
      <c r="A16" s="279">
        <v>3.2</v>
      </c>
      <c r="B16" s="586" t="s">
        <v>422</v>
      </c>
      <c r="C16" s="587">
        <v>3.4211072646674744E-2</v>
      </c>
      <c r="D16" s="588">
        <f>C16*'5. RWA '!$C$13</f>
        <v>14648460.608655374</v>
      </c>
    </row>
    <row r="17" spans="1:6" s="283" customFormat="1">
      <c r="A17" s="279">
        <v>3.3</v>
      </c>
      <c r="B17" s="586" t="s">
        <v>423</v>
      </c>
      <c r="C17" s="591">
        <v>7.9568540736506793E-2</v>
      </c>
      <c r="D17" s="592">
        <f>C17*'5. RWA '!$C$13</f>
        <v>34069572.933434471</v>
      </c>
    </row>
    <row r="18" spans="1:6" s="282" customFormat="1" ht="12.75" customHeight="1">
      <c r="A18" s="723"/>
      <c r="B18" s="724" t="s">
        <v>476</v>
      </c>
      <c r="C18" s="593" t="s">
        <v>407</v>
      </c>
      <c r="D18" s="326" t="s">
        <v>408</v>
      </c>
    </row>
    <row r="19" spans="1:6" s="283" customFormat="1">
      <c r="A19" s="280">
        <v>4</v>
      </c>
      <c r="B19" s="586" t="s">
        <v>417</v>
      </c>
      <c r="C19" s="587">
        <f>C7+C11+C12+C13+C15</f>
        <v>7.0641278368205551E-2</v>
      </c>
      <c r="D19" s="594">
        <f>C19*'5. RWA '!$C$13</f>
        <v>30247107.251175225</v>
      </c>
    </row>
    <row r="20" spans="1:6" s="283" customFormat="1">
      <c r="A20" s="280">
        <v>5</v>
      </c>
      <c r="B20" s="586" t="s">
        <v>137</v>
      </c>
      <c r="C20" s="587">
        <f>C8+C11+C12+C13+C16</f>
        <v>9.4211072646674748E-2</v>
      </c>
      <c r="D20" s="594">
        <f>C20*'5. RWA '!$C$13</f>
        <v>40339196.63428393</v>
      </c>
    </row>
    <row r="21" spans="1:6" s="283" customFormat="1" ht="13.5" thickBot="1">
      <c r="A21" s="285" t="s">
        <v>404</v>
      </c>
      <c r="B21" s="286" t="s">
        <v>418</v>
      </c>
      <c r="C21" s="325">
        <f>C9+C11+C12+C13+C17</f>
        <v>0.15956854073650678</v>
      </c>
      <c r="D21" s="595">
        <f>C21*'5. RWA '!$C$13</f>
        <v>68323887.634272546</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44469</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4252790.2300000004</v>
      </c>
      <c r="D6" s="91"/>
      <c r="E6" s="92"/>
    </row>
    <row r="7" spans="1:6">
      <c r="A7" s="67">
        <v>2</v>
      </c>
      <c r="B7" s="93" t="s">
        <v>36</v>
      </c>
      <c r="C7" s="90">
        <f>'2.RC'!E8</f>
        <v>47490025.629999995</v>
      </c>
      <c r="D7" s="95"/>
      <c r="E7" s="92"/>
    </row>
    <row r="8" spans="1:6">
      <c r="A8" s="67">
        <v>3</v>
      </c>
      <c r="B8" s="93" t="s">
        <v>37</v>
      </c>
      <c r="C8" s="90">
        <f>'2.RC'!E9</f>
        <v>68402210.208904997</v>
      </c>
      <c r="D8" s="95"/>
      <c r="E8" s="92"/>
    </row>
    <row r="9" spans="1:6">
      <c r="A9" s="67">
        <v>4</v>
      </c>
      <c r="B9" s="93" t="s">
        <v>38</v>
      </c>
      <c r="C9" s="90">
        <f>'2.RC'!E10</f>
        <v>0</v>
      </c>
      <c r="D9" s="95"/>
      <c r="E9" s="92"/>
    </row>
    <row r="10" spans="1:6">
      <c r="A10" s="67">
        <v>5</v>
      </c>
      <c r="B10" s="93" t="s">
        <v>39</v>
      </c>
      <c r="C10" s="90">
        <f>'2.RC'!E11</f>
        <v>33733716.899589635</v>
      </c>
      <c r="D10" s="95"/>
      <c r="E10" s="92"/>
    </row>
    <row r="11" spans="1:6">
      <c r="A11" s="67">
        <v>6.1</v>
      </c>
      <c r="B11" s="191" t="s">
        <v>40</v>
      </c>
      <c r="C11" s="90">
        <f>'2.RC'!E12</f>
        <v>236479090.84</v>
      </c>
      <c r="D11" s="97"/>
      <c r="E11" s="98"/>
    </row>
    <row r="12" spans="1:6">
      <c r="A12" s="67">
        <v>6.2</v>
      </c>
      <c r="B12" s="192" t="s">
        <v>41</v>
      </c>
      <c r="C12" s="90">
        <f>'2.RC'!E13</f>
        <v>-11197353.219999999</v>
      </c>
      <c r="D12" s="97"/>
      <c r="E12" s="98"/>
    </row>
    <row r="13" spans="1:6">
      <c r="A13" s="67">
        <v>6</v>
      </c>
      <c r="B13" s="93" t="s">
        <v>42</v>
      </c>
      <c r="C13" s="99">
        <f>C11+C12</f>
        <v>225281737.62</v>
      </c>
      <c r="D13" s="97"/>
      <c r="E13" s="92"/>
    </row>
    <row r="14" spans="1:6">
      <c r="A14" s="67">
        <v>7</v>
      </c>
      <c r="B14" s="93" t="s">
        <v>43</v>
      </c>
      <c r="C14" s="90">
        <f>'2.RC'!E15</f>
        <v>1858833.0486039999</v>
      </c>
      <c r="D14" s="95"/>
      <c r="E14" s="92"/>
    </row>
    <row r="15" spans="1:6">
      <c r="A15" s="67">
        <v>8</v>
      </c>
      <c r="B15" s="214" t="s">
        <v>199</v>
      </c>
      <c r="C15" s="90">
        <f>'2.RC'!E16</f>
        <v>735525.39</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7866511.1100000003</v>
      </c>
      <c r="D20" s="95"/>
      <c r="E20" s="92"/>
    </row>
    <row r="21" spans="1:5">
      <c r="A21" s="67">
        <v>10.1</v>
      </c>
      <c r="B21" s="100" t="s">
        <v>90</v>
      </c>
      <c r="C21" s="94">
        <f>'9.Capital'!C15</f>
        <v>238014.31999999995</v>
      </c>
      <c r="D21" s="101" t="s">
        <v>92</v>
      </c>
      <c r="E21" s="92"/>
    </row>
    <row r="22" spans="1:5">
      <c r="A22" s="67">
        <v>11</v>
      </c>
      <c r="B22" s="102" t="s">
        <v>46</v>
      </c>
      <c r="C22" s="103">
        <f>'2.RC'!E19</f>
        <v>3756773.1642466071</v>
      </c>
      <c r="D22" s="104"/>
      <c r="E22" s="92"/>
    </row>
    <row r="23" spans="1:5" ht="15">
      <c r="A23" s="67">
        <v>12</v>
      </c>
      <c r="B23" s="105" t="s">
        <v>47</v>
      </c>
      <c r="C23" s="106">
        <f>SUM(C6:C10,C13:C16,C20,C22)</f>
        <v>393378123.30134529</v>
      </c>
      <c r="D23" s="107"/>
      <c r="E23" s="108"/>
    </row>
    <row r="24" spans="1:5">
      <c r="A24" s="67">
        <v>13</v>
      </c>
      <c r="B24" s="93" t="s">
        <v>49</v>
      </c>
      <c r="C24" s="109">
        <f>'2.RC'!E22</f>
        <v>102298137.01000001</v>
      </c>
      <c r="D24" s="110"/>
      <c r="E24" s="92"/>
    </row>
    <row r="25" spans="1:5">
      <c r="A25" s="67">
        <v>14</v>
      </c>
      <c r="B25" s="93" t="s">
        <v>50</v>
      </c>
      <c r="C25" s="109">
        <f>'2.RC'!E23</f>
        <v>71075893.060000002</v>
      </c>
      <c r="D25" s="95"/>
      <c r="E25" s="92"/>
    </row>
    <row r="26" spans="1:5">
      <c r="A26" s="67">
        <v>15</v>
      </c>
      <c r="B26" s="93" t="s">
        <v>51</v>
      </c>
      <c r="C26" s="109">
        <f>'2.RC'!E24</f>
        <v>0</v>
      </c>
      <c r="D26" s="95"/>
      <c r="E26" s="92"/>
    </row>
    <row r="27" spans="1:5">
      <c r="A27" s="67">
        <v>16</v>
      </c>
      <c r="B27" s="93" t="s">
        <v>52</v>
      </c>
      <c r="C27" s="109">
        <f>'2.RC'!E25</f>
        <v>74125826.810000002</v>
      </c>
      <c r="D27" s="95"/>
      <c r="E27" s="92"/>
    </row>
    <row r="28" spans="1:5">
      <c r="A28" s="67">
        <v>17</v>
      </c>
      <c r="B28" s="93" t="s">
        <v>53</v>
      </c>
      <c r="C28" s="109">
        <f>'2.RC'!E26</f>
        <v>0</v>
      </c>
      <c r="D28" s="95"/>
      <c r="E28" s="92"/>
    </row>
    <row r="29" spans="1:5">
      <c r="A29" s="67">
        <v>18</v>
      </c>
      <c r="B29" s="93" t="s">
        <v>54</v>
      </c>
      <c r="C29" s="109">
        <f>'2.RC'!E27</f>
        <v>40943377.743079998</v>
      </c>
      <c r="D29" s="95"/>
      <c r="E29" s="92"/>
    </row>
    <row r="30" spans="1:5">
      <c r="A30" s="67">
        <v>19</v>
      </c>
      <c r="B30" s="93" t="s">
        <v>55</v>
      </c>
      <c r="C30" s="109">
        <f>'2.RC'!E28</f>
        <v>1356477.08</v>
      </c>
      <c r="D30" s="95"/>
      <c r="E30" s="92"/>
    </row>
    <row r="31" spans="1:5">
      <c r="A31" s="67">
        <v>20</v>
      </c>
      <c r="B31" s="93" t="s">
        <v>56</v>
      </c>
      <c r="C31" s="109">
        <f>'2.RC'!E29</f>
        <v>11645423.4734</v>
      </c>
      <c r="D31" s="95"/>
      <c r="E31" s="92"/>
    </row>
    <row r="32" spans="1:5">
      <c r="A32" s="67">
        <v>21</v>
      </c>
      <c r="B32" s="102" t="s">
        <v>57</v>
      </c>
      <c r="C32" s="109">
        <f>'2.RC'!E30</f>
        <v>0</v>
      </c>
      <c r="D32" s="104"/>
      <c r="E32" s="92"/>
    </row>
    <row r="33" spans="1:5">
      <c r="A33" s="67">
        <v>21.1</v>
      </c>
      <c r="B33" s="111" t="s">
        <v>91</v>
      </c>
      <c r="C33" s="112">
        <f>'9.Capital'!C44</f>
        <v>0</v>
      </c>
      <c r="D33" s="101" t="s">
        <v>730</v>
      </c>
      <c r="E33" s="92"/>
    </row>
    <row r="34" spans="1:5" ht="15">
      <c r="A34" s="67">
        <v>22</v>
      </c>
      <c r="B34" s="105" t="s">
        <v>58</v>
      </c>
      <c r="C34" s="106">
        <f>SUM(C24:C32)</f>
        <v>301445135.17648</v>
      </c>
      <c r="D34" s="107"/>
      <c r="E34" s="108"/>
    </row>
    <row r="35" spans="1:5">
      <c r="A35" s="67">
        <v>23</v>
      </c>
      <c r="B35" s="102" t="s">
        <v>60</v>
      </c>
      <c r="C35" s="94">
        <f>'9.Capital'!C7</f>
        <v>69161600</v>
      </c>
      <c r="D35" s="101" t="s">
        <v>731</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22771387.950918108</v>
      </c>
      <c r="D40" s="101" t="s">
        <v>732</v>
      </c>
      <c r="E40" s="92"/>
    </row>
    <row r="41" spans="1:5">
      <c r="A41" s="67">
        <v>29</v>
      </c>
      <c r="B41" s="102" t="s">
        <v>66</v>
      </c>
      <c r="C41" s="94"/>
      <c r="D41" s="95"/>
      <c r="E41" s="92"/>
    </row>
    <row r="42" spans="1:5" ht="15.75" thickBot="1">
      <c r="A42" s="113">
        <v>30</v>
      </c>
      <c r="B42" s="114" t="s">
        <v>266</v>
      </c>
      <c r="C42" s="115">
        <f>SUM(C35:C41)</f>
        <v>91932987.950918108</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72.42578125" style="4" bestFit="1" customWidth="1"/>
    <col min="3" max="3" width="12.28515625" style="4" bestFit="1" customWidth="1"/>
    <col min="4" max="4" width="15.5703125" style="4" bestFit="1" customWidth="1"/>
    <col min="5" max="5" width="12.28515625" style="4" bestFit="1" customWidth="1"/>
    <col min="6" max="6" width="15.5703125" style="4" bestFit="1" customWidth="1"/>
    <col min="7" max="11" width="12.28515625" style="4" bestFit="1" customWidth="1"/>
    <col min="12" max="18" width="12.28515625" style="33" bestFit="1" customWidth="1"/>
    <col min="19" max="19" width="31.5703125" style="33" bestFit="1" customWidth="1"/>
    <col min="20" max="16384" width="9.28515625" style="33"/>
  </cols>
  <sheetData>
    <row r="1" spans="1:19">
      <c r="A1" s="449" t="s">
        <v>30</v>
      </c>
      <c r="B1" s="450" t="str">
        <f>'Info '!C2</f>
        <v>JSC Isbank Georgia</v>
      </c>
    </row>
    <row r="2" spans="1:19">
      <c r="A2" s="449" t="s">
        <v>31</v>
      </c>
      <c r="B2" s="451">
        <f>'1. key ratios '!B2</f>
        <v>44469</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9" t="s">
        <v>363</v>
      </c>
      <c r="C6" s="725">
        <v>0</v>
      </c>
      <c r="D6" s="726"/>
      <c r="E6" s="725">
        <v>0.2</v>
      </c>
      <c r="F6" s="726"/>
      <c r="G6" s="725">
        <v>0.35</v>
      </c>
      <c r="H6" s="726"/>
      <c r="I6" s="725">
        <v>0.5</v>
      </c>
      <c r="J6" s="726"/>
      <c r="K6" s="725">
        <v>0.75</v>
      </c>
      <c r="L6" s="726"/>
      <c r="M6" s="725">
        <v>1</v>
      </c>
      <c r="N6" s="726"/>
      <c r="O6" s="725">
        <v>1.5</v>
      </c>
      <c r="P6" s="726"/>
      <c r="Q6" s="725">
        <v>2.5</v>
      </c>
      <c r="R6" s="726"/>
      <c r="S6" s="727" t="s">
        <v>248</v>
      </c>
    </row>
    <row r="7" spans="1:19" s="223" customFormat="1" ht="30.75" customHeight="1">
      <c r="A7" s="224"/>
      <c r="B7" s="730"/>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8"/>
    </row>
    <row r="8" spans="1:19" s="119" customFormat="1">
      <c r="A8" s="117">
        <v>1</v>
      </c>
      <c r="B8" s="1" t="s">
        <v>96</v>
      </c>
      <c r="C8" s="118">
        <v>8531179.3961527683</v>
      </c>
      <c r="D8" s="118"/>
      <c r="E8" s="118"/>
      <c r="F8" s="118"/>
      <c r="G8" s="118"/>
      <c r="H8" s="118"/>
      <c r="I8" s="118"/>
      <c r="J8" s="118"/>
      <c r="K8" s="118"/>
      <c r="L8" s="118"/>
      <c r="M8" s="118">
        <v>56236135.017250851</v>
      </c>
      <c r="N8" s="118"/>
      <c r="O8" s="118"/>
      <c r="P8" s="118"/>
      <c r="Q8" s="118"/>
      <c r="R8" s="118"/>
      <c r="S8" s="596">
        <f>$C$6*SUM(C8:D8)+$E$6*SUM(E8:F8)+$G$6*SUM(G8:H8)+$I$6*SUM(I8:J8)+$K$6*SUM(K8:L8)+$M$6*SUM(M8:N8)+$O$6*SUM(O8:P8)+$Q$6*SUM(Q8:R8)</f>
        <v>56236135.017250851</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25066957.600000001</v>
      </c>
      <c r="F13" s="118"/>
      <c r="G13" s="118"/>
      <c r="H13" s="118"/>
      <c r="I13" s="118">
        <v>42647111.911665</v>
      </c>
      <c r="J13" s="118">
        <v>21042222.48</v>
      </c>
      <c r="K13" s="118"/>
      <c r="L13" s="118"/>
      <c r="M13" s="118">
        <v>4158597.6472399994</v>
      </c>
      <c r="N13" s="118">
        <v>22536771.354999993</v>
      </c>
      <c r="O13" s="118"/>
      <c r="P13" s="118"/>
      <c r="Q13" s="118"/>
      <c r="R13" s="118"/>
      <c r="S13" s="596">
        <f t="shared" si="0"/>
        <v>63553427.718072489</v>
      </c>
    </row>
    <row r="14" spans="1:19" s="119" customFormat="1">
      <c r="A14" s="117">
        <v>7</v>
      </c>
      <c r="B14" s="1" t="s">
        <v>101</v>
      </c>
      <c r="C14" s="118"/>
      <c r="D14" s="118"/>
      <c r="E14" s="118"/>
      <c r="F14" s="118"/>
      <c r="G14" s="118"/>
      <c r="H14" s="118"/>
      <c r="I14" s="118"/>
      <c r="J14" s="118"/>
      <c r="K14" s="118"/>
      <c r="L14" s="118"/>
      <c r="M14" s="118">
        <v>238903153.1481255</v>
      </c>
      <c r="N14" s="118">
        <v>24839101.140000015</v>
      </c>
      <c r="O14" s="118"/>
      <c r="P14" s="118"/>
      <c r="Q14" s="118"/>
      <c r="R14" s="118"/>
      <c r="S14" s="596">
        <f t="shared" si="0"/>
        <v>263742254.28812551</v>
      </c>
    </row>
    <row r="15" spans="1:19" s="119" customFormat="1">
      <c r="A15" s="117">
        <v>8</v>
      </c>
      <c r="B15" s="1" t="s">
        <v>102</v>
      </c>
      <c r="C15" s="118"/>
      <c r="D15" s="118"/>
      <c r="E15" s="118"/>
      <c r="F15" s="118"/>
      <c r="G15" s="118"/>
      <c r="H15" s="118"/>
      <c r="I15" s="118"/>
      <c r="J15" s="118"/>
      <c r="K15" s="118"/>
      <c r="L15" s="118"/>
      <c r="M15" s="118"/>
      <c r="N15" s="118">
        <v>17408.509999999998</v>
      </c>
      <c r="O15" s="118"/>
      <c r="P15" s="118"/>
      <c r="Q15" s="118"/>
      <c r="R15" s="118"/>
      <c r="S15" s="596">
        <f t="shared" si="0"/>
        <v>17408.509999999998</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1244093.9280000001</v>
      </c>
      <c r="N17" s="118"/>
      <c r="O17" s="118"/>
      <c r="P17" s="118"/>
      <c r="Q17" s="118"/>
      <c r="R17" s="118"/>
      <c r="S17" s="596">
        <f t="shared" si="0"/>
        <v>1244093.9280000001</v>
      </c>
    </row>
    <row r="18" spans="1:19" s="119" customFormat="1">
      <c r="A18" s="117">
        <v>11</v>
      </c>
      <c r="B18" s="1" t="s">
        <v>105</v>
      </c>
      <c r="C18" s="118"/>
      <c r="D18" s="118"/>
      <c r="E18" s="118"/>
      <c r="F18" s="118"/>
      <c r="G18" s="118"/>
      <c r="H18" s="118"/>
      <c r="I18" s="118"/>
      <c r="J18" s="118"/>
      <c r="K18" s="118"/>
      <c r="L18" s="118"/>
      <c r="M18" s="118"/>
      <c r="N18" s="118"/>
      <c r="O18" s="118">
        <v>489.3420000000001</v>
      </c>
      <c r="P18" s="118"/>
      <c r="Q18" s="118"/>
      <c r="R18" s="118"/>
      <c r="S18" s="596">
        <f t="shared" si="0"/>
        <v>734.01300000000015</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4252790.2300000004</v>
      </c>
      <c r="D21" s="118"/>
      <c r="E21" s="118"/>
      <c r="F21" s="118"/>
      <c r="G21" s="118"/>
      <c r="H21" s="118"/>
      <c r="I21" s="118"/>
      <c r="J21" s="118"/>
      <c r="K21" s="118"/>
      <c r="L21" s="118"/>
      <c r="M21" s="118">
        <v>18202610.076246608</v>
      </c>
      <c r="N21" s="118"/>
      <c r="O21" s="118"/>
      <c r="P21" s="118"/>
      <c r="Q21" s="118"/>
      <c r="R21" s="118"/>
      <c r="S21" s="596">
        <f t="shared" si="0"/>
        <v>18202610.076246608</v>
      </c>
    </row>
    <row r="22" spans="1:19" ht="13.5" thickBot="1">
      <c r="A22" s="120"/>
      <c r="B22" s="121" t="s">
        <v>109</v>
      </c>
      <c r="C22" s="598">
        <f>SUM(C8:C21)</f>
        <v>12783969.626152769</v>
      </c>
      <c r="D22" s="598">
        <f t="shared" ref="D22:J22" si="1">SUM(D8:D21)</f>
        <v>0</v>
      </c>
      <c r="E22" s="598">
        <f t="shared" si="1"/>
        <v>25066957.600000001</v>
      </c>
      <c r="F22" s="598">
        <f t="shared" si="1"/>
        <v>0</v>
      </c>
      <c r="G22" s="598">
        <f t="shared" si="1"/>
        <v>0</v>
      </c>
      <c r="H22" s="598">
        <f t="shared" si="1"/>
        <v>0</v>
      </c>
      <c r="I22" s="598">
        <f t="shared" si="1"/>
        <v>42647111.911665</v>
      </c>
      <c r="J22" s="598">
        <f t="shared" si="1"/>
        <v>21042222.48</v>
      </c>
      <c r="K22" s="598">
        <f t="shared" ref="K22:S22" si="2">SUM(K8:K21)</f>
        <v>0</v>
      </c>
      <c r="L22" s="598">
        <f t="shared" si="2"/>
        <v>0</v>
      </c>
      <c r="M22" s="598">
        <f t="shared" si="2"/>
        <v>318744589.81686294</v>
      </c>
      <c r="N22" s="598">
        <f t="shared" si="2"/>
        <v>47393281.005000003</v>
      </c>
      <c r="O22" s="598">
        <f t="shared" si="2"/>
        <v>489.3420000000001</v>
      </c>
      <c r="P22" s="598">
        <f t="shared" si="2"/>
        <v>0</v>
      </c>
      <c r="Q22" s="598">
        <f t="shared" si="2"/>
        <v>0</v>
      </c>
      <c r="R22" s="598">
        <f t="shared" si="2"/>
        <v>0</v>
      </c>
      <c r="S22" s="597">
        <f t="shared" si="2"/>
        <v>402996663.55069542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D20" sqref="D20"/>
    </sheetView>
  </sheetViews>
  <sheetFormatPr defaultColWidth="9.28515625" defaultRowHeight="12.75"/>
  <cols>
    <col min="1" max="1" width="10.5703125" style="4" bestFit="1" customWidth="1"/>
    <col min="2" max="2" width="63.7109375" style="4" bestFit="1" customWidth="1"/>
    <col min="3" max="3" width="16.28515625" style="4" bestFit="1" customWidth="1"/>
    <col min="4" max="4" width="15.140625" style="4" bestFit="1"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44469</v>
      </c>
    </row>
    <row r="4" spans="1:22" ht="13.5" thickBot="1">
      <c r="A4" s="4" t="s">
        <v>366</v>
      </c>
      <c r="B4" s="122" t="s">
        <v>95</v>
      </c>
      <c r="V4" s="35" t="s">
        <v>73</v>
      </c>
    </row>
    <row r="5" spans="1:22" ht="12.75" customHeight="1">
      <c r="A5" s="123"/>
      <c r="B5" s="124"/>
      <c r="C5" s="731" t="s">
        <v>277</v>
      </c>
      <c r="D5" s="732"/>
      <c r="E5" s="732"/>
      <c r="F5" s="732"/>
      <c r="G5" s="732"/>
      <c r="H5" s="732"/>
      <c r="I5" s="732"/>
      <c r="J5" s="732"/>
      <c r="K5" s="732"/>
      <c r="L5" s="733"/>
      <c r="M5" s="734" t="s">
        <v>278</v>
      </c>
      <c r="N5" s="735"/>
      <c r="O5" s="735"/>
      <c r="P5" s="735"/>
      <c r="Q5" s="735"/>
      <c r="R5" s="735"/>
      <c r="S5" s="736"/>
      <c r="T5" s="739" t="s">
        <v>364</v>
      </c>
      <c r="U5" s="739" t="s">
        <v>365</v>
      </c>
      <c r="V5" s="737"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40"/>
      <c r="U6" s="740"/>
      <c r="V6" s="738"/>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v>3264934.7068000003</v>
      </c>
      <c r="E13" s="599"/>
      <c r="F13" s="599"/>
      <c r="G13" s="599"/>
      <c r="H13" s="599"/>
      <c r="I13" s="599"/>
      <c r="J13" s="599"/>
      <c r="K13" s="599"/>
      <c r="L13" s="554"/>
      <c r="M13" s="130"/>
      <c r="N13" s="599"/>
      <c r="O13" s="599"/>
      <c r="P13" s="599"/>
      <c r="Q13" s="599"/>
      <c r="R13" s="599"/>
      <c r="S13" s="554"/>
      <c r="T13" s="600">
        <v>2831841.6688000001</v>
      </c>
      <c r="U13" s="600">
        <v>433093.038</v>
      </c>
      <c r="V13" s="601">
        <f t="shared" si="0"/>
        <v>3264934.7068000003</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387810.44000000006</v>
      </c>
      <c r="E20" s="599"/>
      <c r="F20" s="599"/>
      <c r="G20" s="599"/>
      <c r="H20" s="599"/>
      <c r="I20" s="599"/>
      <c r="J20" s="599"/>
      <c r="K20" s="599"/>
      <c r="L20" s="554"/>
      <c r="M20" s="130"/>
      <c r="N20" s="599"/>
      <c r="O20" s="599"/>
      <c r="P20" s="599"/>
      <c r="Q20" s="599"/>
      <c r="R20" s="599"/>
      <c r="S20" s="554"/>
      <c r="T20" s="600">
        <v>387810.44000000006</v>
      </c>
      <c r="U20" s="600"/>
      <c r="V20" s="601">
        <f t="shared" si="0"/>
        <v>387810.44000000006</v>
      </c>
    </row>
    <row r="21" spans="1:22" ht="13.5" thickBot="1">
      <c r="A21" s="120"/>
      <c r="B21" s="131" t="s">
        <v>109</v>
      </c>
      <c r="C21" s="602">
        <f>SUM(C7:C20)</f>
        <v>0</v>
      </c>
      <c r="D21" s="603">
        <f t="shared" ref="D21:V21" si="1">SUM(D7:D20)</f>
        <v>3652745.1468000002</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3219652.1088</v>
      </c>
      <c r="U21" s="604">
        <f t="shared" ref="U21" si="2">SUM(U7:U20)</f>
        <v>433093.038</v>
      </c>
      <c r="V21" s="605">
        <f t="shared" si="1"/>
        <v>3652745.1468000002</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44469</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3" t="s">
        <v>252</v>
      </c>
      <c r="C6" s="745" t="s">
        <v>368</v>
      </c>
      <c r="D6" s="747" t="s">
        <v>367</v>
      </c>
      <c r="E6" s="748"/>
      <c r="F6" s="745" t="s">
        <v>372</v>
      </c>
      <c r="G6" s="745" t="s">
        <v>373</v>
      </c>
      <c r="H6" s="741" t="s">
        <v>371</v>
      </c>
    </row>
    <row r="7" spans="1:9" ht="38.25">
      <c r="A7" s="137"/>
      <c r="B7" s="744"/>
      <c r="C7" s="746"/>
      <c r="D7" s="229" t="s">
        <v>370</v>
      </c>
      <c r="E7" s="229" t="s">
        <v>369</v>
      </c>
      <c r="F7" s="746"/>
      <c r="G7" s="746"/>
      <c r="H7" s="742"/>
      <c r="I7" s="134"/>
    </row>
    <row r="8" spans="1:9">
      <c r="A8" s="135">
        <v>1</v>
      </c>
      <c r="B8" s="1" t="s">
        <v>96</v>
      </c>
      <c r="C8" s="230">
        <f>'11. CRWA '!C8+'11. CRWA '!E8+'11. CRWA '!G8+'11. CRWA '!I8+'11. CRWA '!K8+'11. CRWA '!M8+'11. CRWA '!O8+'11. CRWA '!Q8</f>
        <v>64767314.413403615</v>
      </c>
      <c r="D8" s="231"/>
      <c r="E8" s="230">
        <f>'11. CRWA '!D8+'11. CRWA '!F8+'11. CRWA '!H8+'11. CRWA '!J8+'11. CRWA '!L8+'11. CRWA '!N8+'11. CRWA '!P8+'11. CRWA '!R8</f>
        <v>0</v>
      </c>
      <c r="F8" s="230">
        <f>'11. CRWA '!S8</f>
        <v>56236135.017250851</v>
      </c>
      <c r="G8" s="232">
        <f>F8-'12. CRM'!V7</f>
        <v>56236135.017250851</v>
      </c>
      <c r="H8" s="608">
        <f>IFERROR(G8/(C8+E8),0)</f>
        <v>0.86827955623265374</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71872667.158904999</v>
      </c>
      <c r="D13" s="231">
        <f>'11. CRWA '!D13+'11. CRWA '!F13+'11. CRWA '!H13+'11. CRWA '!J13+'11. CRWA '!L13+'11. CRWA '!N13+'11. CRWA '!P13+'11. CRWA '!R13</f>
        <v>43578993.834999993</v>
      </c>
      <c r="E13" s="230">
        <f>'11. CRWA '!D13+'11. CRWA '!F13+'11. CRWA '!H13+'11. CRWA '!J13+'11. CRWA '!L13+'11. CRWA '!N13+'11. CRWA '!P13+'11. CRWA '!R13</f>
        <v>43578993.834999993</v>
      </c>
      <c r="F13" s="230">
        <f>'11. CRWA '!S13</f>
        <v>63553427.718072489</v>
      </c>
      <c r="G13" s="232">
        <f>F13-'12. CRM'!V12</f>
        <v>63553427.718072489</v>
      </c>
      <c r="H13" s="608">
        <f t="shared" si="0"/>
        <v>0.55047651260234054</v>
      </c>
    </row>
    <row r="14" spans="1:9">
      <c r="A14" s="135">
        <v>7</v>
      </c>
      <c r="B14" s="1" t="s">
        <v>101</v>
      </c>
      <c r="C14" s="230">
        <f>'11. CRWA '!C14+'11. CRWA '!E14+'11. CRWA '!G14+'11. CRWA '!I14+'11. CRWA '!K14+'11. CRWA '!M14+'11. CRWA '!O14+'11. CRWA '!Q14</f>
        <v>238903153.1481255</v>
      </c>
      <c r="D14" s="231">
        <f>'4. Off-Balance'!E7-D13</f>
        <v>68452911.99500002</v>
      </c>
      <c r="E14" s="230">
        <f>'11. CRWA '!D14+'11. CRWA '!F14+'11. CRWA '!H14+'11. CRWA '!J14+'11. CRWA '!L14+'11. CRWA '!N14+'11. CRWA '!P14+'11. CRWA '!R14</f>
        <v>24839101.140000015</v>
      </c>
      <c r="F14" s="230">
        <f>'11. CRWA '!S14</f>
        <v>263742254.28812551</v>
      </c>
      <c r="G14" s="232">
        <f>F14-'12. CRM'!V13</f>
        <v>260477319.5813255</v>
      </c>
      <c r="H14" s="608">
        <f t="shared" si="0"/>
        <v>0.98762073708813747</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17408.509999999998</v>
      </c>
      <c r="F15" s="230">
        <f>'11. CRWA '!S15</f>
        <v>17408.509999999998</v>
      </c>
      <c r="G15" s="232">
        <f>F15-'12. CRM'!V14</f>
        <v>17408.509999999998</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1244093.9280000001</v>
      </c>
      <c r="D17" s="231"/>
      <c r="E17" s="230">
        <f>'11. CRWA '!D17+'11. CRWA '!F17+'11. CRWA '!H17+'11. CRWA '!J17+'11. CRWA '!L17+'11. CRWA '!N17+'11. CRWA '!P17+'11. CRWA '!R17</f>
        <v>0</v>
      </c>
      <c r="F17" s="230">
        <f>'11. CRWA '!S17</f>
        <v>1244093.9280000001</v>
      </c>
      <c r="G17" s="232">
        <f>F17-'12. CRM'!V16</f>
        <v>1244093.9280000001</v>
      </c>
      <c r="H17" s="608">
        <f t="shared" si="0"/>
        <v>1</v>
      </c>
    </row>
    <row r="18" spans="1:8">
      <c r="A18" s="135">
        <v>11</v>
      </c>
      <c r="B18" s="1" t="s">
        <v>105</v>
      </c>
      <c r="C18" s="230">
        <f>'11. CRWA '!C18+'11. CRWA '!E18+'11. CRWA '!G18+'11. CRWA '!I18+'11. CRWA '!K18+'11. CRWA '!M18+'11. CRWA '!O18+'11. CRWA '!Q18</f>
        <v>489.3420000000001</v>
      </c>
      <c r="D18" s="231"/>
      <c r="E18" s="230">
        <f>'11. CRWA '!D18+'11. CRWA '!F18+'11. CRWA '!H18+'11. CRWA '!J18+'11. CRWA '!L18+'11. CRWA '!N18+'11. CRWA '!P18+'11. CRWA '!R18</f>
        <v>0</v>
      </c>
      <c r="F18" s="230">
        <f>'11. CRWA '!S18</f>
        <v>734.01300000000015</v>
      </c>
      <c r="G18" s="232">
        <f>F18-'12. CRM'!V17</f>
        <v>734.01300000000015</v>
      </c>
      <c r="H18" s="608">
        <f t="shared" si="0"/>
        <v>1.5</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22455400.306246608</v>
      </c>
      <c r="D21" s="231"/>
      <c r="E21" s="230">
        <f>'11. CRWA '!D21+'11. CRWA '!F21+'11. CRWA '!H21+'11. CRWA '!J21+'11. CRWA '!L21+'11. CRWA '!N21+'11. CRWA '!P21+'11. CRWA '!R21</f>
        <v>0</v>
      </c>
      <c r="F21" s="230">
        <f>'11. CRWA '!S21</f>
        <v>18202610.076246608</v>
      </c>
      <c r="G21" s="232">
        <f>F21-'12. CRM'!V20</f>
        <v>17814799.636246607</v>
      </c>
      <c r="H21" s="608">
        <f t="shared" si="0"/>
        <v>0.79334144095800929</v>
      </c>
    </row>
    <row r="22" spans="1:8" ht="13.5" thickBot="1">
      <c r="A22" s="138"/>
      <c r="B22" s="139" t="s">
        <v>109</v>
      </c>
      <c r="C22" s="606">
        <f>SUM(C8:C21)</f>
        <v>399243118.29668069</v>
      </c>
      <c r="D22" s="606">
        <f>SUM(D8:D21)</f>
        <v>112031905.83000001</v>
      </c>
      <c r="E22" s="606">
        <f>SUM(E8:E21)</f>
        <v>68435503.485000014</v>
      </c>
      <c r="F22" s="606">
        <f>SUM(F8:F21)</f>
        <v>402996663.55069542</v>
      </c>
      <c r="G22" s="606">
        <f>SUM(G8:G21)</f>
        <v>399343918.40389544</v>
      </c>
      <c r="H22" s="607">
        <f>G22/(C22+E22)</f>
        <v>0.85388533878787187</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44469</v>
      </c>
      <c r="C2" s="246"/>
      <c r="D2" s="246"/>
    </row>
    <row r="3" spans="1:11">
      <c r="B3" s="246"/>
      <c r="C3" s="246"/>
      <c r="D3" s="246"/>
    </row>
    <row r="4" spans="1:11" ht="13.5" thickBot="1">
      <c r="A4" s="225" t="s">
        <v>249</v>
      </c>
      <c r="B4" s="264" t="s">
        <v>377</v>
      </c>
      <c r="C4" s="246"/>
      <c r="D4" s="246"/>
    </row>
    <row r="5" spans="1:11" ht="30" customHeight="1">
      <c r="A5" s="749"/>
      <c r="B5" s="750"/>
      <c r="C5" s="751" t="s">
        <v>429</v>
      </c>
      <c r="D5" s="752"/>
      <c r="E5" s="753"/>
      <c r="F5" s="751" t="s">
        <v>430</v>
      </c>
      <c r="G5" s="752"/>
      <c r="H5" s="753"/>
      <c r="I5" s="752" t="s">
        <v>431</v>
      </c>
      <c r="J5" s="752"/>
      <c r="K5" s="753"/>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29412584.477252733</v>
      </c>
      <c r="G8" s="620">
        <v>78204539.582307622</v>
      </c>
      <c r="H8" s="621">
        <f>G8+F8</f>
        <v>107617124.05956036</v>
      </c>
      <c r="I8" s="622">
        <v>23881940.46630035</v>
      </c>
      <c r="J8" s="620">
        <v>43800045.793369934</v>
      </c>
      <c r="K8" s="621">
        <f>I8+J8</f>
        <v>67681986.259670287</v>
      </c>
    </row>
    <row r="9" spans="1:11">
      <c r="A9" s="613" t="s">
        <v>381</v>
      </c>
      <c r="B9" s="614"/>
      <c r="C9" s="615"/>
      <c r="D9" s="614"/>
      <c r="E9" s="616"/>
      <c r="F9" s="615"/>
      <c r="G9" s="614"/>
      <c r="H9" s="616"/>
      <c r="I9" s="614"/>
      <c r="J9" s="614"/>
      <c r="K9" s="616"/>
    </row>
    <row r="10" spans="1:11">
      <c r="A10" s="251">
        <v>2</v>
      </c>
      <c r="B10" s="623" t="s">
        <v>389</v>
      </c>
      <c r="C10" s="619">
        <v>1559031.9042637353</v>
      </c>
      <c r="D10" s="624">
        <v>22364230.27630036</v>
      </c>
      <c r="E10" s="621">
        <f>C10+D10</f>
        <v>23923262.180564094</v>
      </c>
      <c r="F10" s="619">
        <v>524673.40015549457</v>
      </c>
      <c r="G10" s="624">
        <v>5312183.9647996323</v>
      </c>
      <c r="H10" s="621">
        <f>G10+F10</f>
        <v>5836857.3649551272</v>
      </c>
      <c r="I10" s="622">
        <v>120947.35729304033</v>
      </c>
      <c r="J10" s="624">
        <v>1359432.5996282047</v>
      </c>
      <c r="K10" s="621">
        <f>I10+J10</f>
        <v>1480379.956921245</v>
      </c>
    </row>
    <row r="11" spans="1:11">
      <c r="A11" s="251">
        <v>3</v>
      </c>
      <c r="B11" s="623" t="s">
        <v>383</v>
      </c>
      <c r="C11" s="619">
        <v>12975052.627032964</v>
      </c>
      <c r="D11" s="624">
        <v>217805409.21439564</v>
      </c>
      <c r="E11" s="621">
        <f t="shared" ref="E11:E16" si="0">C11+D11</f>
        <v>230780461.84142861</v>
      </c>
      <c r="F11" s="631">
        <v>8046543.7263699668</v>
      </c>
      <c r="G11" s="622">
        <v>54844218.656032935</v>
      </c>
      <c r="H11" s="621">
        <f t="shared" ref="H11:H16" si="1">G11+F11</f>
        <v>62890762.382402904</v>
      </c>
      <c r="I11" s="631">
        <v>6877638.1204432212</v>
      </c>
      <c r="J11" s="622">
        <v>54315681.491441421</v>
      </c>
      <c r="K11" s="621">
        <f t="shared" ref="K11:K16" si="2">I11+J11</f>
        <v>61193319.611884639</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27155676.97297436</v>
      </c>
      <c r="D13" s="624">
        <v>62764683.584225632</v>
      </c>
      <c r="E13" s="621">
        <f t="shared" si="0"/>
        <v>89920360.557199985</v>
      </c>
      <c r="F13" s="619">
        <v>2750701.3495982406</v>
      </c>
      <c r="G13" s="624">
        <v>6329962.5373878032</v>
      </c>
      <c r="H13" s="621">
        <f t="shared" si="1"/>
        <v>9080663.8869860433</v>
      </c>
      <c r="I13" s="622">
        <v>1357783.8486487181</v>
      </c>
      <c r="J13" s="624">
        <v>3138234.1792112812</v>
      </c>
      <c r="K13" s="621">
        <f t="shared" si="2"/>
        <v>4496018.0278599989</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765482.51293040288</v>
      </c>
      <c r="D15" s="624">
        <v>1273869.4593406587</v>
      </c>
      <c r="E15" s="621">
        <f t="shared" si="0"/>
        <v>2039351.9722710615</v>
      </c>
      <c r="F15" s="619">
        <v>4316.2087912087909</v>
      </c>
      <c r="G15" s="624">
        <v>0</v>
      </c>
      <c r="H15" s="621">
        <f t="shared" si="1"/>
        <v>4316.2087912087909</v>
      </c>
      <c r="I15" s="622">
        <v>4316.2087912087909</v>
      </c>
      <c r="J15" s="624">
        <v>0</v>
      </c>
      <c r="K15" s="621">
        <f t="shared" si="2"/>
        <v>4316.2087912087909</v>
      </c>
    </row>
    <row r="16" spans="1:11">
      <c r="A16" s="251">
        <v>8</v>
      </c>
      <c r="B16" s="627" t="s">
        <v>385</v>
      </c>
      <c r="C16" s="651">
        <f>SUM(C10:C15)</f>
        <v>42455244.017201461</v>
      </c>
      <c r="D16" s="630">
        <f>SUM(D10:D15)</f>
        <v>304208192.5342623</v>
      </c>
      <c r="E16" s="621">
        <f t="shared" si="0"/>
        <v>346663436.55146378</v>
      </c>
      <c r="F16" s="628">
        <f>SUM(F10:F15)</f>
        <v>11326234.684914911</v>
      </c>
      <c r="G16" s="629">
        <f>SUM(G10:G15)</f>
        <v>66486365.158220373</v>
      </c>
      <c r="H16" s="621">
        <f t="shared" si="1"/>
        <v>77812599.843135282</v>
      </c>
      <c r="I16" s="630">
        <f>SUM(I10:I15)</f>
        <v>8360685.5351761887</v>
      </c>
      <c r="J16" s="629">
        <f>SUM(J10:J15)</f>
        <v>58813348.270280905</v>
      </c>
      <c r="K16" s="621">
        <f t="shared" si="2"/>
        <v>67174033.8054571</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64181231.319970019</v>
      </c>
      <c r="D19" s="624">
        <v>172450564.81595758</v>
      </c>
      <c r="E19" s="621">
        <f t="shared" ref="E19:E21" si="3">C19+D19</f>
        <v>236631796.13592759</v>
      </c>
      <c r="F19" s="619">
        <v>6633301.8499820493</v>
      </c>
      <c r="G19" s="624">
        <v>6751477.8586805826</v>
      </c>
      <c r="H19" s="621">
        <f t="shared" ref="H19:H21" si="4">F19+G19</f>
        <v>13384779.708662633</v>
      </c>
      <c r="I19" s="622">
        <v>12163945.860934433</v>
      </c>
      <c r="J19" s="624">
        <v>48956500.531720906</v>
      </c>
      <c r="K19" s="621">
        <f t="shared" ref="K19:K21" si="5">I19+J19</f>
        <v>61120446.392655343</v>
      </c>
    </row>
    <row r="20" spans="1:11">
      <c r="A20" s="251">
        <v>11</v>
      </c>
      <c r="B20" s="623" t="s">
        <v>387</v>
      </c>
      <c r="C20" s="631">
        <v>2980793.005928982</v>
      </c>
      <c r="D20" s="632">
        <v>8021006.1998628471</v>
      </c>
      <c r="E20" s="621">
        <f t="shared" si="3"/>
        <v>11001799.205791829</v>
      </c>
      <c r="F20" s="631">
        <v>397640.39634302107</v>
      </c>
      <c r="G20" s="632">
        <v>66383.478069754754</v>
      </c>
      <c r="H20" s="621">
        <f t="shared" si="4"/>
        <v>464023.87441277585</v>
      </c>
      <c r="I20" s="633">
        <v>397640.39634302107</v>
      </c>
      <c r="J20" s="632">
        <v>66383.478069754754</v>
      </c>
      <c r="K20" s="621">
        <f t="shared" si="5"/>
        <v>464023.87441277585</v>
      </c>
    </row>
    <row r="21" spans="1:11" ht="13.5" thickBot="1">
      <c r="A21" s="252">
        <v>12</v>
      </c>
      <c r="B21" s="634" t="s">
        <v>386</v>
      </c>
      <c r="C21" s="652">
        <f>SUM(C18:C20)</f>
        <v>67162024.325899005</v>
      </c>
      <c r="D21" s="638">
        <f>SUM(D18:D20)</f>
        <v>180471571.01582041</v>
      </c>
      <c r="E21" s="637">
        <f t="shared" si="3"/>
        <v>247633595.34171942</v>
      </c>
      <c r="F21" s="635">
        <f>SUM(F18:F20)</f>
        <v>7030942.24632507</v>
      </c>
      <c r="G21" s="636">
        <f>SUM(G18:G20)</f>
        <v>6817861.3367503369</v>
      </c>
      <c r="H21" s="637">
        <f t="shared" si="4"/>
        <v>13848803.583075408</v>
      </c>
      <c r="I21" s="638">
        <f>SUM(I18:I20)</f>
        <v>12561586.257277453</v>
      </c>
      <c r="J21" s="636">
        <f>SUM(J18:J20)</f>
        <v>49022884.009790659</v>
      </c>
      <c r="K21" s="637">
        <f t="shared" si="5"/>
        <v>61584470.26706811</v>
      </c>
    </row>
    <row r="22" spans="1:11" ht="38.25" customHeight="1" thickBot="1">
      <c r="A22" s="253"/>
      <c r="B22" s="254"/>
      <c r="C22" s="254"/>
      <c r="D22" s="254"/>
      <c r="E22" s="254"/>
      <c r="F22" s="754" t="s">
        <v>428</v>
      </c>
      <c r="G22" s="755"/>
      <c r="H22" s="755"/>
      <c r="I22" s="754" t="s">
        <v>393</v>
      </c>
      <c r="J22" s="755"/>
      <c r="K22" s="756"/>
    </row>
    <row r="23" spans="1:11">
      <c r="A23" s="255">
        <v>13</v>
      </c>
      <c r="B23" s="256" t="s">
        <v>378</v>
      </c>
      <c r="C23" s="257"/>
      <c r="D23" s="257"/>
      <c r="E23" s="257"/>
      <c r="F23" s="639">
        <f>F8</f>
        <v>29412584.477252733</v>
      </c>
      <c r="G23" s="640">
        <f>G8</f>
        <v>78204539.582307622</v>
      </c>
      <c r="H23" s="641">
        <f>F23+G23</f>
        <v>107617124.05956036</v>
      </c>
      <c r="I23" s="639">
        <f>I8</f>
        <v>23881940.46630035</v>
      </c>
      <c r="J23" s="640">
        <f>J8</f>
        <v>43800045.793369934</v>
      </c>
      <c r="K23" s="641">
        <f>I23+J23</f>
        <v>67681986.259670287</v>
      </c>
    </row>
    <row r="24" spans="1:11" ht="13.5" thickBot="1">
      <c r="A24" s="642">
        <v>14</v>
      </c>
      <c r="B24" s="643" t="s">
        <v>390</v>
      </c>
      <c r="C24" s="258"/>
      <c r="D24" s="259"/>
      <c r="E24" s="260"/>
      <c r="F24" s="644">
        <f>F16-F21</f>
        <v>4295292.4385898411</v>
      </c>
      <c r="G24" s="645">
        <f>G16-G21</f>
        <v>59668503.821470037</v>
      </c>
      <c r="H24" s="646">
        <f>F24+G24</f>
        <v>63963796.260059878</v>
      </c>
      <c r="I24" s="647">
        <f>I16-MIN(I16*75%,I21)</f>
        <v>2090171.3837940469</v>
      </c>
      <c r="J24" s="653">
        <f>J16-MIN(J16*75%,J21)</f>
        <v>14703337.067570224</v>
      </c>
      <c r="K24" s="646">
        <f t="shared" ref="K24" si="6">I24+J24</f>
        <v>16793508.451364271</v>
      </c>
    </row>
    <row r="25" spans="1:11" ht="13.5" thickBot="1">
      <c r="A25" s="261">
        <v>15</v>
      </c>
      <c r="B25" s="262" t="s">
        <v>391</v>
      </c>
      <c r="C25" s="263"/>
      <c r="D25" s="263"/>
      <c r="E25" s="263"/>
      <c r="F25" s="648">
        <f t="shared" ref="F25:G25" si="7">F23/F24</f>
        <v>6.8476325879476052</v>
      </c>
      <c r="G25" s="649">
        <f t="shared" si="7"/>
        <v>1.3106502522050487</v>
      </c>
      <c r="H25" s="650">
        <f>H23/H24</f>
        <v>1.6824693084509492</v>
      </c>
      <c r="I25" s="648">
        <f t="shared" ref="I25:J25" si="8">I23/I24</f>
        <v>11.425828834643319</v>
      </c>
      <c r="J25" s="649">
        <f t="shared" si="8"/>
        <v>2.9789187034265576</v>
      </c>
      <c r="K25" s="650">
        <f>K23/K24</f>
        <v>4.0302469526057809</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3" sqref="B3"/>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44469</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4" sqref="B4"/>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44469</v>
      </c>
    </row>
    <row r="3" spans="1:3">
      <c r="A3" s="4"/>
      <c r="B3"/>
    </row>
    <row r="4" spans="1:3">
      <c r="A4" s="4" t="s">
        <v>432</v>
      </c>
      <c r="B4" t="s">
        <v>433</v>
      </c>
    </row>
    <row r="5" spans="1:3">
      <c r="A5" s="294" t="s">
        <v>434</v>
      </c>
      <c r="B5" s="295"/>
      <c r="C5" s="296"/>
    </row>
    <row r="6" spans="1:3" ht="24">
      <c r="A6" s="297">
        <v>1</v>
      </c>
      <c r="B6" s="298" t="s">
        <v>485</v>
      </c>
      <c r="C6" s="299">
        <v>398057197.61668068</v>
      </c>
    </row>
    <row r="7" spans="1:3">
      <c r="A7" s="297">
        <v>2</v>
      </c>
      <c r="B7" s="298" t="s">
        <v>435</v>
      </c>
      <c r="C7" s="299">
        <v>-238014.31999999995</v>
      </c>
    </row>
    <row r="8" spans="1:3" ht="24">
      <c r="A8" s="300">
        <v>3</v>
      </c>
      <c r="B8" s="301" t="s">
        <v>436</v>
      </c>
      <c r="C8" s="299">
        <f>C6+C7</f>
        <v>397819183.29668069</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112031905.83</v>
      </c>
    </row>
    <row r="29" spans="1:3">
      <c r="A29" s="319">
        <v>18</v>
      </c>
      <c r="B29" s="305" t="s">
        <v>460</v>
      </c>
      <c r="C29" s="299">
        <f>'8. LI2'!C10</f>
        <v>-43596402.344999984</v>
      </c>
    </row>
    <row r="30" spans="1:3">
      <c r="A30" s="317">
        <v>19</v>
      </c>
      <c r="B30" s="318" t="s">
        <v>461</v>
      </c>
      <c r="C30" s="312">
        <f>C28+C29</f>
        <v>68435503.485000014</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91694973.630918115</v>
      </c>
    </row>
    <row r="36" spans="1:3">
      <c r="A36" s="317">
        <v>21</v>
      </c>
      <c r="B36" s="318" t="s">
        <v>469</v>
      </c>
      <c r="C36" s="312">
        <f>C8+C18+C26+C30</f>
        <v>466254686.7816807</v>
      </c>
    </row>
    <row r="37" spans="1:3">
      <c r="A37" s="294" t="s">
        <v>470</v>
      </c>
      <c r="B37" s="295"/>
      <c r="C37" s="302"/>
    </row>
    <row r="38" spans="1:3">
      <c r="A38" s="317">
        <v>22</v>
      </c>
      <c r="B38" s="318" t="s">
        <v>470</v>
      </c>
      <c r="C38" s="654">
        <f t="shared" ref="C38" si="0">C35/C36</f>
        <v>0.19666284593049765</v>
      </c>
    </row>
    <row r="39" spans="1:3">
      <c r="A39" s="294" t="s">
        <v>471</v>
      </c>
      <c r="B39" s="295"/>
      <c r="C39" s="302"/>
    </row>
    <row r="40" spans="1:3">
      <c r="A40" s="323" t="s">
        <v>472</v>
      </c>
      <c r="B40" s="304" t="s">
        <v>473</v>
      </c>
      <c r="C40" s="320"/>
    </row>
    <row r="41" spans="1:3" ht="24">
      <c r="A41" s="324" t="s">
        <v>474</v>
      </c>
      <c r="B41" s="298" t="s">
        <v>475</v>
      </c>
      <c r="C41" s="320"/>
    </row>
    <row r="43" spans="1:3">
      <c r="B43" s="293"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44469</v>
      </c>
    </row>
    <row r="4" spans="1:7" ht="15.75" thickBot="1">
      <c r="A4" s="225" t="s">
        <v>536</v>
      </c>
      <c r="B4" s="347" t="s">
        <v>497</v>
      </c>
    </row>
    <row r="5" spans="1:7">
      <c r="A5" s="348"/>
      <c r="B5" s="349"/>
      <c r="C5" s="757" t="s">
        <v>498</v>
      </c>
      <c r="D5" s="757"/>
      <c r="E5" s="757"/>
      <c r="F5" s="757"/>
      <c r="G5" s="758" t="s">
        <v>499</v>
      </c>
    </row>
    <row r="6" spans="1:7">
      <c r="A6" s="350"/>
      <c r="B6" s="351"/>
      <c r="C6" s="352" t="s">
        <v>500</v>
      </c>
      <c r="D6" s="353" t="s">
        <v>501</v>
      </c>
      <c r="E6" s="353" t="s">
        <v>502</v>
      </c>
      <c r="F6" s="353" t="s">
        <v>503</v>
      </c>
      <c r="G6" s="759"/>
    </row>
    <row r="7" spans="1:7">
      <c r="A7" s="354"/>
      <c r="B7" s="355" t="s">
        <v>504</v>
      </c>
      <c r="C7" s="356"/>
      <c r="D7" s="356"/>
      <c r="E7" s="356"/>
      <c r="F7" s="356"/>
      <c r="G7" s="357"/>
    </row>
    <row r="8" spans="1:7">
      <c r="A8" s="358">
        <v>1</v>
      </c>
      <c r="B8" s="359" t="s">
        <v>505</v>
      </c>
      <c r="C8" s="676">
        <f>SUM(C9:C10)</f>
        <v>91694973.630918115</v>
      </c>
      <c r="D8" s="676">
        <f>SUM(D9:D10)</f>
        <v>0</v>
      </c>
      <c r="E8" s="676">
        <f>SUM(E9:E10)</f>
        <v>0</v>
      </c>
      <c r="F8" s="676">
        <f>SUM(F9:F10)</f>
        <v>45351942.799999997</v>
      </c>
      <c r="G8" s="677">
        <f>SUM(G9:G10)</f>
        <v>137046916.4309181</v>
      </c>
    </row>
    <row r="9" spans="1:7">
      <c r="A9" s="358">
        <v>2</v>
      </c>
      <c r="B9" s="362" t="s">
        <v>506</v>
      </c>
      <c r="C9" s="360">
        <v>91694973.630918115</v>
      </c>
      <c r="D9" s="360"/>
      <c r="E9" s="360"/>
      <c r="F9" s="360"/>
      <c r="G9" s="361">
        <v>91694973.630918115</v>
      </c>
    </row>
    <row r="10" spans="1:7">
      <c r="A10" s="358">
        <v>3</v>
      </c>
      <c r="B10" s="362" t="s">
        <v>507</v>
      </c>
      <c r="C10" s="363"/>
      <c r="D10" s="363"/>
      <c r="E10" s="363"/>
      <c r="F10" s="360">
        <v>45351942.799999997</v>
      </c>
      <c r="G10" s="361">
        <v>45351942.799999997</v>
      </c>
    </row>
    <row r="11" spans="1:7" ht="14.65" customHeight="1">
      <c r="A11" s="358">
        <v>4</v>
      </c>
      <c r="B11" s="359" t="s">
        <v>508</v>
      </c>
      <c r="C11" s="676">
        <f t="shared" ref="C11:F11" si="0">SUM(C12:C13)</f>
        <v>5330217.6799999969</v>
      </c>
      <c r="D11" s="676">
        <f t="shared" si="0"/>
        <v>8230500.8600000013</v>
      </c>
      <c r="E11" s="676">
        <f t="shared" si="0"/>
        <v>4475452.8499999987</v>
      </c>
      <c r="F11" s="676">
        <f t="shared" si="0"/>
        <v>0</v>
      </c>
      <c r="G11" s="677">
        <f>SUM(G12:G13)</f>
        <v>9414017.1329999994</v>
      </c>
    </row>
    <row r="12" spans="1:7">
      <c r="A12" s="358">
        <v>5</v>
      </c>
      <c r="B12" s="362" t="s">
        <v>509</v>
      </c>
      <c r="C12" s="360">
        <v>724030.3399999995</v>
      </c>
      <c r="D12" s="364">
        <v>126150.7</v>
      </c>
      <c r="E12" s="360">
        <v>29666.6</v>
      </c>
      <c r="F12" s="360">
        <v>0</v>
      </c>
      <c r="G12" s="361">
        <v>835855.25799999957</v>
      </c>
    </row>
    <row r="13" spans="1:7">
      <c r="A13" s="358">
        <v>6</v>
      </c>
      <c r="B13" s="362" t="s">
        <v>510</v>
      </c>
      <c r="C13" s="360">
        <v>4606187.3399999971</v>
      </c>
      <c r="D13" s="364">
        <v>8104350.1600000011</v>
      </c>
      <c r="E13" s="360">
        <v>4445786.2499999991</v>
      </c>
      <c r="F13" s="360">
        <v>0</v>
      </c>
      <c r="G13" s="361">
        <v>8578161.875</v>
      </c>
    </row>
    <row r="14" spans="1:7">
      <c r="A14" s="358">
        <v>7</v>
      </c>
      <c r="B14" s="359" t="s">
        <v>511</v>
      </c>
      <c r="C14" s="676">
        <f t="shared" ref="C14:F14" si="1">SUM(C15:C16)</f>
        <v>100421012.39000002</v>
      </c>
      <c r="D14" s="676">
        <f t="shared" si="1"/>
        <v>67983492.349999994</v>
      </c>
      <c r="E14" s="676">
        <f t="shared" si="1"/>
        <v>54703167.280000001</v>
      </c>
      <c r="F14" s="676">
        <f t="shared" si="1"/>
        <v>0</v>
      </c>
      <c r="G14" s="677">
        <f>SUM(G15:G16)</f>
        <v>71249507.899999991</v>
      </c>
    </row>
    <row r="15" spans="1:7" ht="39">
      <c r="A15" s="358">
        <v>8</v>
      </c>
      <c r="B15" s="362" t="s">
        <v>512</v>
      </c>
      <c r="C15" s="678">
        <v>65589756.170000002</v>
      </c>
      <c r="D15" s="678">
        <v>22206092.350000001</v>
      </c>
      <c r="E15" s="678">
        <v>3730567.2800000003</v>
      </c>
      <c r="F15" s="678">
        <v>0</v>
      </c>
      <c r="G15" s="679">
        <v>45763207.899999991</v>
      </c>
    </row>
    <row r="16" spans="1:7" ht="26.25">
      <c r="A16" s="358">
        <v>9</v>
      </c>
      <c r="B16" s="362" t="s">
        <v>513</v>
      </c>
      <c r="C16" s="678">
        <v>34831256.220000006</v>
      </c>
      <c r="D16" s="678">
        <v>45777400</v>
      </c>
      <c r="E16" s="678">
        <v>50972600</v>
      </c>
      <c r="F16" s="678">
        <v>0</v>
      </c>
      <c r="G16" s="679">
        <v>25486300</v>
      </c>
    </row>
    <row r="17" spans="1:7">
      <c r="A17" s="358">
        <v>10</v>
      </c>
      <c r="B17" s="359" t="s">
        <v>514</v>
      </c>
      <c r="C17" s="360"/>
      <c r="D17" s="364"/>
      <c r="E17" s="360"/>
      <c r="F17" s="360"/>
      <c r="G17" s="361"/>
    </row>
    <row r="18" spans="1:7">
      <c r="A18" s="358">
        <v>11</v>
      </c>
      <c r="B18" s="359" t="s">
        <v>515</v>
      </c>
      <c r="C18" s="676">
        <f>SUM(C19:C20)</f>
        <v>17975900.345948696</v>
      </c>
      <c r="D18" s="680">
        <f t="shared" ref="D18:G18" si="2">SUM(D19:D20)</f>
        <v>0</v>
      </c>
      <c r="E18" s="676">
        <f t="shared" si="2"/>
        <v>0</v>
      </c>
      <c r="F18" s="676">
        <f t="shared" si="2"/>
        <v>0</v>
      </c>
      <c r="G18" s="677">
        <f t="shared" si="2"/>
        <v>0</v>
      </c>
    </row>
    <row r="19" spans="1:7">
      <c r="A19" s="358">
        <v>12</v>
      </c>
      <c r="B19" s="362" t="s">
        <v>516</v>
      </c>
      <c r="C19" s="363"/>
      <c r="D19" s="364"/>
      <c r="E19" s="360"/>
      <c r="F19" s="360"/>
      <c r="G19" s="361"/>
    </row>
    <row r="20" spans="1:7">
      <c r="A20" s="358">
        <v>13</v>
      </c>
      <c r="B20" s="362" t="s">
        <v>517</v>
      </c>
      <c r="C20" s="360">
        <v>17975900.345948696</v>
      </c>
      <c r="D20" s="360"/>
      <c r="E20" s="360"/>
      <c r="F20" s="360"/>
      <c r="G20" s="361"/>
    </row>
    <row r="21" spans="1:7">
      <c r="A21" s="365">
        <v>14</v>
      </c>
      <c r="B21" s="366" t="s">
        <v>518</v>
      </c>
      <c r="C21" s="363"/>
      <c r="D21" s="363"/>
      <c r="E21" s="363"/>
      <c r="F21" s="363"/>
      <c r="G21" s="367">
        <f>SUM(G8,G11,G14,G17,G18)</f>
        <v>217710441.46391809</v>
      </c>
    </row>
    <row r="22" spans="1:7">
      <c r="A22" s="368"/>
      <c r="B22" s="369" t="s">
        <v>519</v>
      </c>
      <c r="C22" s="370"/>
      <c r="D22" s="371"/>
      <c r="E22" s="370"/>
      <c r="F22" s="370"/>
      <c r="G22" s="372"/>
    </row>
    <row r="23" spans="1:7">
      <c r="A23" s="358">
        <v>15</v>
      </c>
      <c r="B23" s="359" t="s">
        <v>520</v>
      </c>
      <c r="C23" s="373">
        <v>110819091.83271423</v>
      </c>
      <c r="D23" s="374">
        <v>0</v>
      </c>
      <c r="E23" s="373">
        <v>0</v>
      </c>
      <c r="F23" s="373">
        <v>0</v>
      </c>
      <c r="G23" s="361">
        <v>2953813.7986357119</v>
      </c>
    </row>
    <row r="24" spans="1:7">
      <c r="A24" s="358">
        <v>16</v>
      </c>
      <c r="B24" s="359" t="s">
        <v>521</v>
      </c>
      <c r="C24" s="676">
        <f>SUM(C25:C27,C29,C31)</f>
        <v>1493346.3925649999</v>
      </c>
      <c r="D24" s="680">
        <f t="shared" ref="D24:G24" si="3">SUM(D25:D27,D29,D31)</f>
        <v>132192382.0308886</v>
      </c>
      <c r="E24" s="676">
        <f t="shared" si="3"/>
        <v>37868542.525126703</v>
      </c>
      <c r="F24" s="676">
        <f t="shared" si="3"/>
        <v>80316716.687618658</v>
      </c>
      <c r="G24" s="677">
        <f t="shared" si="3"/>
        <v>138181461.16978177</v>
      </c>
    </row>
    <row r="25" spans="1:7">
      <c r="A25" s="358">
        <v>17</v>
      </c>
      <c r="B25" s="362" t="s">
        <v>522</v>
      </c>
      <c r="C25" s="360"/>
      <c r="D25" s="364"/>
      <c r="E25" s="360"/>
      <c r="F25" s="360"/>
      <c r="G25" s="361">
        <v>0</v>
      </c>
    </row>
    <row r="26" spans="1:7" ht="26.25">
      <c r="A26" s="358">
        <v>18</v>
      </c>
      <c r="B26" s="362" t="s">
        <v>523</v>
      </c>
      <c r="C26" s="360">
        <v>1493346.3925649999</v>
      </c>
      <c r="D26" s="364">
        <v>46952025.843171939</v>
      </c>
      <c r="E26" s="360">
        <v>11018333.311455159</v>
      </c>
      <c r="F26" s="360">
        <v>0</v>
      </c>
      <c r="G26" s="361">
        <v>12775972.491088118</v>
      </c>
    </row>
    <row r="27" spans="1:7">
      <c r="A27" s="358">
        <v>19</v>
      </c>
      <c r="B27" s="362" t="s">
        <v>524</v>
      </c>
      <c r="C27" s="360">
        <v>0</v>
      </c>
      <c r="D27" s="364">
        <v>85002175.089401051</v>
      </c>
      <c r="E27" s="360">
        <v>26710932.407276168</v>
      </c>
      <c r="F27" s="360">
        <v>64102929.307911992</v>
      </c>
      <c r="G27" s="361">
        <v>111375293.66006368</v>
      </c>
    </row>
    <row r="28" spans="1:7">
      <c r="A28" s="358">
        <v>20</v>
      </c>
      <c r="B28" s="375" t="s">
        <v>525</v>
      </c>
      <c r="C28" s="360"/>
      <c r="D28" s="364"/>
      <c r="E28" s="360"/>
      <c r="F28" s="360"/>
      <c r="G28" s="361"/>
    </row>
    <row r="29" spans="1:7">
      <c r="A29" s="358">
        <v>21</v>
      </c>
      <c r="B29" s="362" t="s">
        <v>526</v>
      </c>
      <c r="C29" s="360">
        <v>0</v>
      </c>
      <c r="D29" s="364">
        <v>238181.09831560601</v>
      </c>
      <c r="E29" s="360">
        <v>139276.80639537325</v>
      </c>
      <c r="F29" s="360">
        <v>1709982.6364912509</v>
      </c>
      <c r="G29" s="361">
        <v>1701960.9868968711</v>
      </c>
    </row>
    <row r="30" spans="1:7">
      <c r="A30" s="358">
        <v>22</v>
      </c>
      <c r="B30" s="375" t="s">
        <v>525</v>
      </c>
      <c r="C30" s="360"/>
      <c r="D30" s="364"/>
      <c r="E30" s="360"/>
      <c r="F30" s="360"/>
      <c r="G30" s="361"/>
    </row>
    <row r="31" spans="1:7">
      <c r="A31" s="358">
        <v>23</v>
      </c>
      <c r="B31" s="362" t="s">
        <v>527</v>
      </c>
      <c r="C31" s="360"/>
      <c r="D31" s="364"/>
      <c r="E31" s="360"/>
      <c r="F31" s="360">
        <v>14503804.74321541</v>
      </c>
      <c r="G31" s="361">
        <v>12328234.031733098</v>
      </c>
    </row>
    <row r="32" spans="1:7">
      <c r="A32" s="358">
        <v>24</v>
      </c>
      <c r="B32" s="359" t="s">
        <v>528</v>
      </c>
      <c r="C32" s="360">
        <v>0</v>
      </c>
      <c r="D32" s="364"/>
      <c r="E32" s="360"/>
      <c r="F32" s="360"/>
      <c r="G32" s="361">
        <v>0</v>
      </c>
    </row>
    <row r="33" spans="1:7">
      <c r="A33" s="358">
        <v>25</v>
      </c>
      <c r="B33" s="359" t="s">
        <v>529</v>
      </c>
      <c r="C33" s="676">
        <f>SUM(C34:C35)</f>
        <v>13979628.392850608</v>
      </c>
      <c r="D33" s="676">
        <f>SUM(D34:D35)</f>
        <v>225000</v>
      </c>
      <c r="E33" s="676">
        <f>SUM(E34:E35)</f>
        <v>1837500</v>
      </c>
      <c r="F33" s="676">
        <f>SUM(F34:F35)</f>
        <v>14407900.901181335</v>
      </c>
      <c r="G33" s="677">
        <f>SUM(G34:G35)</f>
        <v>28387529.294031944</v>
      </c>
    </row>
    <row r="34" spans="1:7">
      <c r="A34" s="358">
        <v>26</v>
      </c>
      <c r="B34" s="362" t="s">
        <v>530</v>
      </c>
      <c r="C34" s="363"/>
      <c r="D34" s="364"/>
      <c r="E34" s="360"/>
      <c r="F34" s="360"/>
      <c r="G34" s="361"/>
    </row>
    <row r="35" spans="1:7">
      <c r="A35" s="358">
        <v>27</v>
      </c>
      <c r="B35" s="362" t="s">
        <v>531</v>
      </c>
      <c r="C35" s="360">
        <v>13979628.392850608</v>
      </c>
      <c r="D35" s="364">
        <v>225000</v>
      </c>
      <c r="E35" s="360">
        <v>1837500</v>
      </c>
      <c r="F35" s="360">
        <v>14407900.901181335</v>
      </c>
      <c r="G35" s="361">
        <v>28387529.294031944</v>
      </c>
    </row>
    <row r="36" spans="1:7">
      <c r="A36" s="358">
        <v>28</v>
      </c>
      <c r="B36" s="359" t="s">
        <v>532</v>
      </c>
      <c r="C36" s="360">
        <v>34817.019999999997</v>
      </c>
      <c r="D36" s="364">
        <v>19414299.194200002</v>
      </c>
      <c r="E36" s="360">
        <v>12665729.640000001</v>
      </c>
      <c r="F36" s="360">
        <v>79185672.982400015</v>
      </c>
      <c r="G36" s="361">
        <v>15087594.681780003</v>
      </c>
    </row>
    <row r="37" spans="1:7">
      <c r="A37" s="365">
        <v>29</v>
      </c>
      <c r="B37" s="366" t="s">
        <v>533</v>
      </c>
      <c r="C37" s="363"/>
      <c r="D37" s="363"/>
      <c r="E37" s="363"/>
      <c r="F37" s="363"/>
      <c r="G37" s="367">
        <f>SUM(G23:G24,G32:G33,G36)</f>
        <v>184610398.94422945</v>
      </c>
    </row>
    <row r="38" spans="1:7">
      <c r="A38" s="354"/>
      <c r="B38" s="376"/>
      <c r="C38" s="377"/>
      <c r="D38" s="377"/>
      <c r="E38" s="377"/>
      <c r="F38" s="377"/>
      <c r="G38" s="378"/>
    </row>
    <row r="39" spans="1:7" ht="15.75" thickBot="1">
      <c r="A39" s="379">
        <v>30</v>
      </c>
      <c r="B39" s="380" t="s">
        <v>534</v>
      </c>
      <c r="C39" s="258"/>
      <c r="D39" s="259"/>
      <c r="E39" s="259"/>
      <c r="F39" s="260"/>
      <c r="G39" s="381">
        <f>IFERROR(G21/G37,0)</f>
        <v>1.1792967390189548</v>
      </c>
    </row>
    <row r="42" spans="1:7" ht="39">
      <c r="B42" s="346"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tabSelected="1"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6" style="3"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44469</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3Q-2021</v>
      </c>
      <c r="D5" s="452" t="str">
        <f>IF(INT(MONTH($B$2))=3, "4"&amp;"Q"&amp;"-"&amp;YEAR($B$2)-1, IF(INT(MONTH($B$2))=6, "1"&amp;"Q"&amp;"-"&amp;YEAR($B$2), IF(INT(MONTH($B$2))=9, "2"&amp;"Q"&amp;"-"&amp;YEAR($B$2),IF(INT(MONTH($B$2))=12, "3"&amp;"Q"&amp;"-"&amp;YEAR($B$2), 0))))</f>
        <v>2Q-2021</v>
      </c>
      <c r="E5" s="452" t="str">
        <f>IF(INT(MONTH($B$2))=3, "3"&amp;"Q"&amp;"-"&amp;YEAR($B$2)-1, IF(INT(MONTH($B$2))=6, "4"&amp;"Q"&amp;"-"&amp;YEAR($B$2)-1, IF(INT(MONTH($B$2))=9, "1"&amp;"Q"&amp;"-"&amp;YEAR($B$2),IF(INT(MONTH($B$2))=12, "2"&amp;"Q"&amp;"-"&amp;YEAR($B$2), 0))))</f>
        <v>1Q-2021</v>
      </c>
      <c r="F5" s="452" t="str">
        <f>IF(INT(MONTH($B$2))=3, "2"&amp;"Q"&amp;"-"&amp;YEAR($B$2)-1, IF(INT(MONTH($B$2))=6, "3"&amp;"Q"&amp;"-"&amp;YEAR($B$2)-1, IF(INT(MONTH($B$2))=9, "4"&amp;"Q"&amp;"-"&amp;YEAR($B$2)-1,IF(INT(MONTH($B$2))=12, "1"&amp;"Q"&amp;"-"&amp;YEAR($B$2), 0))))</f>
        <v>4Q-2020</v>
      </c>
      <c r="G5" s="453" t="str">
        <f>IF(INT(MONTH($B$2))=3, "1"&amp;"Q"&amp;"-"&amp;YEAR($B$2)-1, IF(INT(MONTH($B$2))=6, "2"&amp;"Q"&amp;"-"&amp;YEAR($B$2)-1, IF(INT(MONTH($B$2))=9, "3"&amp;"Q"&amp;"-"&amp;YEAR($B$2)-1,IF(INT(MONTH($B$2))=12, "4"&amp;"Q"&amp;"-"&amp;YEAR($B$2)-1, 0))))</f>
        <v>3Q-2020</v>
      </c>
    </row>
    <row r="6" spans="1:8">
      <c r="B6" s="179" t="s">
        <v>138</v>
      </c>
      <c r="C6" s="340"/>
      <c r="D6" s="340"/>
      <c r="E6" s="340"/>
      <c r="F6" s="340"/>
      <c r="G6" s="341"/>
    </row>
    <row r="7" spans="1:8">
      <c r="A7" s="13"/>
      <c r="B7" s="180" t="s">
        <v>136</v>
      </c>
      <c r="C7" s="340"/>
      <c r="D7" s="340"/>
      <c r="E7" s="340"/>
      <c r="F7" s="340"/>
      <c r="G7" s="341"/>
    </row>
    <row r="8" spans="1:8">
      <c r="A8" s="342">
        <v>1</v>
      </c>
      <c r="B8" s="14" t="s">
        <v>487</v>
      </c>
      <c r="C8" s="15">
        <v>91694973.630918115</v>
      </c>
      <c r="D8" s="16">
        <v>88465596.657445937</v>
      </c>
      <c r="E8" s="16">
        <v>85490494.999593854</v>
      </c>
      <c r="F8" s="16">
        <v>82998445.377222285</v>
      </c>
      <c r="G8" s="17">
        <v>80832354.001519948</v>
      </c>
    </row>
    <row r="9" spans="1:8">
      <c r="A9" s="342">
        <v>2</v>
      </c>
      <c r="B9" s="14" t="s">
        <v>488</v>
      </c>
      <c r="C9" s="15">
        <v>91694973.630918115</v>
      </c>
      <c r="D9" s="16">
        <v>88465596.657445937</v>
      </c>
      <c r="E9" s="16">
        <v>85490494.999593854</v>
      </c>
      <c r="F9" s="16">
        <v>82998445.377222285</v>
      </c>
      <c r="G9" s="17">
        <v>80832354.001519948</v>
      </c>
    </row>
    <row r="10" spans="1:8">
      <c r="A10" s="342">
        <v>3</v>
      </c>
      <c r="B10" s="14" t="s">
        <v>245</v>
      </c>
      <c r="C10" s="15">
        <v>96668973.423466802</v>
      </c>
      <c r="D10" s="16">
        <v>93056600.599005952</v>
      </c>
      <c r="E10" s="16">
        <v>89949917.000006318</v>
      </c>
      <c r="F10" s="16">
        <v>87421568.189916149</v>
      </c>
      <c r="G10" s="17">
        <v>85018180.835527956</v>
      </c>
    </row>
    <row r="11" spans="1:8">
      <c r="A11" s="342">
        <v>4</v>
      </c>
      <c r="B11" s="14" t="s">
        <v>490</v>
      </c>
      <c r="C11" s="15">
        <v>30247107.251175225</v>
      </c>
      <c r="D11" s="16">
        <v>27802553.138585605</v>
      </c>
      <c r="E11" s="16">
        <v>28213613.251565892</v>
      </c>
      <c r="F11" s="16">
        <v>23206699.440114107</v>
      </c>
      <c r="G11" s="17">
        <v>21814377.340147819</v>
      </c>
    </row>
    <row r="12" spans="1:8">
      <c r="A12" s="342">
        <v>5</v>
      </c>
      <c r="B12" s="14" t="s">
        <v>491</v>
      </c>
      <c r="C12" s="15">
        <v>40339196.63428393</v>
      </c>
      <c r="D12" s="16">
        <v>37078467.517835423</v>
      </c>
      <c r="E12" s="16">
        <v>37626940.593956709</v>
      </c>
      <c r="F12" s="16">
        <v>30950900.884456571</v>
      </c>
      <c r="G12" s="17">
        <v>29094035.774560317</v>
      </c>
    </row>
    <row r="13" spans="1:8">
      <c r="A13" s="342">
        <v>6</v>
      </c>
      <c r="B13" s="14" t="s">
        <v>489</v>
      </c>
      <c r="C13" s="15">
        <v>68323887.634272546</v>
      </c>
      <c r="D13" s="16">
        <v>62845625.906170204</v>
      </c>
      <c r="E13" s="16">
        <v>64636892.48206085</v>
      </c>
      <c r="F13" s="16">
        <v>63547118.157326348</v>
      </c>
      <c r="G13" s="17">
        <v>60103751.359989472</v>
      </c>
    </row>
    <row r="14" spans="1:8">
      <c r="A14" s="13"/>
      <c r="B14" s="179" t="s">
        <v>493</v>
      </c>
      <c r="C14" s="340"/>
      <c r="D14" s="340"/>
      <c r="E14" s="340"/>
      <c r="F14" s="340"/>
      <c r="G14" s="341"/>
    </row>
    <row r="15" spans="1:8" ht="15" customHeight="1">
      <c r="A15" s="342">
        <v>7</v>
      </c>
      <c r="B15" s="14" t="s">
        <v>492</v>
      </c>
      <c r="C15" s="242">
        <v>428178933.76047593</v>
      </c>
      <c r="D15" s="16">
        <v>394948828.02258658</v>
      </c>
      <c r="E15" s="16">
        <v>387474159.10370266</v>
      </c>
      <c r="F15" s="16">
        <v>382197912.33547288</v>
      </c>
      <c r="G15" s="17">
        <v>357281762.10522437</v>
      </c>
    </row>
    <row r="16" spans="1:8">
      <c r="A16" s="13"/>
      <c r="B16" s="179" t="s">
        <v>494</v>
      </c>
      <c r="C16" s="340"/>
      <c r="D16" s="340"/>
      <c r="E16" s="340"/>
      <c r="F16" s="340"/>
      <c r="G16" s="341"/>
    </row>
    <row r="17" spans="1:7" s="18" customFormat="1">
      <c r="A17" s="342"/>
      <c r="B17" s="180" t="s">
        <v>478</v>
      </c>
      <c r="C17" s="243"/>
      <c r="D17" s="16"/>
      <c r="E17" s="16"/>
      <c r="F17" s="16"/>
      <c r="G17" s="17"/>
    </row>
    <row r="18" spans="1:7">
      <c r="A18" s="11">
        <v>8</v>
      </c>
      <c r="B18" s="14" t="s">
        <v>487</v>
      </c>
      <c r="C18" s="454">
        <v>0.21415106256071076</v>
      </c>
      <c r="D18" s="455">
        <v>0.22399255392242032</v>
      </c>
      <c r="E18" s="455">
        <v>0.22063534558626755</v>
      </c>
      <c r="F18" s="455">
        <v>0.21716090721178688</v>
      </c>
      <c r="G18" s="456">
        <v>0.22624259778956674</v>
      </c>
    </row>
    <row r="19" spans="1:7" ht="15" customHeight="1">
      <c r="A19" s="11">
        <v>9</v>
      </c>
      <c r="B19" s="14" t="s">
        <v>488</v>
      </c>
      <c r="C19" s="454">
        <v>0.21415106256071076</v>
      </c>
      <c r="D19" s="455">
        <v>0.22399255392242032</v>
      </c>
      <c r="E19" s="455">
        <v>0.22063534558626755</v>
      </c>
      <c r="F19" s="455">
        <v>0.21716090721178688</v>
      </c>
      <c r="G19" s="456">
        <v>0.22624259778956674</v>
      </c>
    </row>
    <row r="20" spans="1:7">
      <c r="A20" s="11">
        <v>10</v>
      </c>
      <c r="B20" s="14" t="s">
        <v>245</v>
      </c>
      <c r="C20" s="454">
        <v>0.225767700840564</v>
      </c>
      <c r="D20" s="455">
        <v>0.23561685463131485</v>
      </c>
      <c r="E20" s="455">
        <v>0.23214429888196064</v>
      </c>
      <c r="F20" s="455">
        <v>0.22873376690028116</v>
      </c>
      <c r="G20" s="456">
        <v>0.23795835626921516</v>
      </c>
    </row>
    <row r="21" spans="1:7">
      <c r="A21" s="11">
        <v>11</v>
      </c>
      <c r="B21" s="14" t="s">
        <v>490</v>
      </c>
      <c r="C21" s="454">
        <v>7.0641278368205551E-2</v>
      </c>
      <c r="D21" s="455">
        <v>7.0395330143872753E-2</v>
      </c>
      <c r="E21" s="455">
        <v>7.2814180219989505E-2</v>
      </c>
      <c r="F21" s="455">
        <v>6.0719063843929395E-2</v>
      </c>
      <c r="G21" s="456">
        <v>6.1056509606340292E-2</v>
      </c>
    </row>
    <row r="22" spans="1:7">
      <c r="A22" s="11">
        <v>12</v>
      </c>
      <c r="B22" s="14" t="s">
        <v>491</v>
      </c>
      <c r="C22" s="454">
        <v>9.4211072646674748E-2</v>
      </c>
      <c r="D22" s="455">
        <v>9.3881700329327106E-2</v>
      </c>
      <c r="E22" s="455">
        <v>9.7108257957110172E-2</v>
      </c>
      <c r="F22" s="455">
        <v>8.0981344705225722E-2</v>
      </c>
      <c r="G22" s="456">
        <v>8.1431628648292786E-2</v>
      </c>
    </row>
    <row r="23" spans="1:7">
      <c r="A23" s="11">
        <v>13</v>
      </c>
      <c r="B23" s="14" t="s">
        <v>489</v>
      </c>
      <c r="C23" s="454">
        <v>0.15956854073650678</v>
      </c>
      <c r="D23" s="455">
        <v>0.1591234647304135</v>
      </c>
      <c r="E23" s="455">
        <v>0.16681600814768549</v>
      </c>
      <c r="F23" s="455">
        <v>0.16626757003724313</v>
      </c>
      <c r="G23" s="456">
        <v>0.16822507537423109</v>
      </c>
    </row>
    <row r="24" spans="1:7">
      <c r="A24" s="13"/>
      <c r="B24" s="179" t="s">
        <v>135</v>
      </c>
      <c r="C24" s="340"/>
      <c r="D24" s="340"/>
      <c r="E24" s="340"/>
      <c r="F24" s="340"/>
      <c r="G24" s="341"/>
    </row>
    <row r="25" spans="1:7" ht="15" customHeight="1">
      <c r="A25" s="343">
        <v>14</v>
      </c>
      <c r="B25" s="14" t="s">
        <v>134</v>
      </c>
      <c r="C25" s="457">
        <v>5.9717560254534591E-2</v>
      </c>
      <c r="D25" s="458">
        <v>6.0008118351832035E-2</v>
      </c>
      <c r="E25" s="458">
        <v>6.2301324598304841E-2</v>
      </c>
      <c r="F25" s="458">
        <v>6.2678307165625252E-2</v>
      </c>
      <c r="G25" s="459">
        <v>6.0895610533041149E-2</v>
      </c>
    </row>
    <row r="26" spans="1:7">
      <c r="A26" s="343">
        <v>15</v>
      </c>
      <c r="B26" s="14" t="s">
        <v>133</v>
      </c>
      <c r="C26" s="457">
        <v>1.2545143304743597E-2</v>
      </c>
      <c r="D26" s="458">
        <v>1.1379076653939287E-2</v>
      </c>
      <c r="E26" s="458">
        <v>1.2878466129301701E-2</v>
      </c>
      <c r="F26" s="458">
        <v>1.3953652316493299E-2</v>
      </c>
      <c r="G26" s="459">
        <v>1.3353384856617353E-2</v>
      </c>
    </row>
    <row r="27" spans="1:7">
      <c r="A27" s="343">
        <v>16</v>
      </c>
      <c r="B27" s="14" t="s">
        <v>132</v>
      </c>
      <c r="C27" s="457">
        <v>3.9701938548779361E-2</v>
      </c>
      <c r="D27" s="458">
        <v>4.0435219181194589E-2</v>
      </c>
      <c r="E27" s="458">
        <v>4.1615299047287641E-2</v>
      </c>
      <c r="F27" s="458">
        <v>3.3316900024161211E-2</v>
      </c>
      <c r="G27" s="459">
        <v>3.3961160331048006E-2</v>
      </c>
    </row>
    <row r="28" spans="1:7">
      <c r="A28" s="343">
        <v>17</v>
      </c>
      <c r="B28" s="14" t="s">
        <v>131</v>
      </c>
      <c r="C28" s="457">
        <v>4.7172416949790991E-2</v>
      </c>
      <c r="D28" s="458">
        <v>4.8629041697892748E-2</v>
      </c>
      <c r="E28" s="458">
        <v>4.9422858469003142E-2</v>
      </c>
      <c r="F28" s="458">
        <v>4.8724654849131958E-2</v>
      </c>
      <c r="G28" s="459">
        <v>4.7542225676423799E-2</v>
      </c>
    </row>
    <row r="29" spans="1:7">
      <c r="A29" s="343">
        <v>18</v>
      </c>
      <c r="B29" s="14" t="s">
        <v>271</v>
      </c>
      <c r="C29" s="457">
        <v>3.2232686628001481E-2</v>
      </c>
      <c r="D29" s="458">
        <v>3.1785725889444047E-2</v>
      </c>
      <c r="E29" s="458">
        <v>2.966813235393341E-2</v>
      </c>
      <c r="F29" s="458">
        <v>9.287435648257578E-3</v>
      </c>
      <c r="G29" s="459">
        <v>1.5755386468547254E-3</v>
      </c>
    </row>
    <row r="30" spans="1:7">
      <c r="A30" s="343">
        <v>19</v>
      </c>
      <c r="B30" s="14" t="s">
        <v>272</v>
      </c>
      <c r="C30" s="457">
        <v>0.13164857753279574</v>
      </c>
      <c r="D30" s="458">
        <v>0.12616143597135068</v>
      </c>
      <c r="E30" s="458">
        <v>0.11668249968907442</v>
      </c>
      <c r="F30" s="458">
        <v>3.4822858160235177E-2</v>
      </c>
      <c r="G30" s="459">
        <v>5.8212213716841042E-3</v>
      </c>
    </row>
    <row r="31" spans="1:7">
      <c r="A31" s="13"/>
      <c r="B31" s="179" t="s">
        <v>351</v>
      </c>
      <c r="C31" s="340"/>
      <c r="D31" s="340"/>
      <c r="E31" s="340"/>
      <c r="F31" s="340"/>
      <c r="G31" s="341"/>
    </row>
    <row r="32" spans="1:7">
      <c r="A32" s="343">
        <v>20</v>
      </c>
      <c r="B32" s="14" t="s">
        <v>130</v>
      </c>
      <c r="C32" s="457">
        <v>4.992137891796708E-2</v>
      </c>
      <c r="D32" s="458">
        <v>2.3477064828711675E-2</v>
      </c>
      <c r="E32" s="458">
        <v>2.4288689324131241E-2</v>
      </c>
      <c r="F32" s="458">
        <v>2.5770181222198065E-2</v>
      </c>
      <c r="G32" s="459">
        <v>3.370737443941884E-2</v>
      </c>
    </row>
    <row r="33" spans="1:7" ht="15" customHeight="1">
      <c r="A33" s="343">
        <v>21</v>
      </c>
      <c r="B33" s="14" t="s">
        <v>129</v>
      </c>
      <c r="C33" s="457">
        <v>4.7350288688212373E-2</v>
      </c>
      <c r="D33" s="458">
        <v>4.9374015259252807E-2</v>
      </c>
      <c r="E33" s="458">
        <v>4.9119335432412169E-2</v>
      </c>
      <c r="F33" s="458">
        <v>5.0592095799553052E-2</v>
      </c>
      <c r="G33" s="459">
        <v>5.6650073835639345E-2</v>
      </c>
    </row>
    <row r="34" spans="1:7">
      <c r="A34" s="343">
        <v>22</v>
      </c>
      <c r="B34" s="14" t="s">
        <v>128</v>
      </c>
      <c r="C34" s="457">
        <v>0.69693506007053119</v>
      </c>
      <c r="D34" s="458">
        <v>0.66617181738367037</v>
      </c>
      <c r="E34" s="458">
        <v>0.65405546702225548</v>
      </c>
      <c r="F34" s="458">
        <v>0.657176722753678</v>
      </c>
      <c r="G34" s="459">
        <v>0.66160590841796252</v>
      </c>
    </row>
    <row r="35" spans="1:7" ht="15" customHeight="1">
      <c r="A35" s="343">
        <v>23</v>
      </c>
      <c r="B35" s="14" t="s">
        <v>127</v>
      </c>
      <c r="C35" s="457">
        <v>0.67507341181983893</v>
      </c>
      <c r="D35" s="458">
        <v>0.68857741697732022</v>
      </c>
      <c r="E35" s="458">
        <v>0.68770599689008849</v>
      </c>
      <c r="F35" s="458">
        <v>0.67963794973604752</v>
      </c>
      <c r="G35" s="459">
        <v>0.70552934161771308</v>
      </c>
    </row>
    <row r="36" spans="1:7">
      <c r="A36" s="343">
        <v>24</v>
      </c>
      <c r="B36" s="14" t="s">
        <v>126</v>
      </c>
      <c r="C36" s="457">
        <v>2.9355743932674691E-2</v>
      </c>
      <c r="D36" s="458">
        <v>-9.6157897237786026E-3</v>
      </c>
      <c r="E36" s="458">
        <v>3.1923069276090475E-2</v>
      </c>
      <c r="F36" s="458">
        <v>0.58021508905910535</v>
      </c>
      <c r="G36" s="459">
        <v>0.40924651967316528</v>
      </c>
    </row>
    <row r="37" spans="1:7" ht="15" customHeight="1">
      <c r="A37" s="13"/>
      <c r="B37" s="179" t="s">
        <v>352</v>
      </c>
      <c r="C37" s="340"/>
      <c r="D37" s="340"/>
      <c r="E37" s="340"/>
      <c r="F37" s="340"/>
      <c r="G37" s="341"/>
    </row>
    <row r="38" spans="1:7" ht="15" customHeight="1">
      <c r="A38" s="343">
        <v>25</v>
      </c>
      <c r="B38" s="14" t="s">
        <v>125</v>
      </c>
      <c r="C38" s="468">
        <v>0.21723594158188281</v>
      </c>
      <c r="D38" s="460">
        <v>0.17501301779466036</v>
      </c>
      <c r="E38" s="460">
        <v>0.16353057589555017</v>
      </c>
      <c r="F38" s="460">
        <v>0.14609430031048737</v>
      </c>
      <c r="G38" s="461">
        <v>0.13546550758790582</v>
      </c>
    </row>
    <row r="39" spans="1:7" ht="15" customHeight="1">
      <c r="A39" s="343">
        <v>26</v>
      </c>
      <c r="B39" s="14" t="s">
        <v>124</v>
      </c>
      <c r="C39" s="468">
        <v>0.9110599413810283</v>
      </c>
      <c r="D39" s="460">
        <v>0.92992964906809517</v>
      </c>
      <c r="E39" s="460">
        <v>0.94415990261980254</v>
      </c>
      <c r="F39" s="460">
        <v>0.93309149717162609</v>
      </c>
      <c r="G39" s="461">
        <v>0.95653191090846001</v>
      </c>
    </row>
    <row r="40" spans="1:7" ht="15" customHeight="1">
      <c r="A40" s="343">
        <v>27</v>
      </c>
      <c r="B40" s="14" t="s">
        <v>123</v>
      </c>
      <c r="C40" s="468">
        <v>0.18068084839977919</v>
      </c>
      <c r="D40" s="460">
        <v>0.15002732812396918</v>
      </c>
      <c r="E40" s="460">
        <v>0.11073415296759165</v>
      </c>
      <c r="F40" s="460">
        <v>0.11553619008863639</v>
      </c>
      <c r="G40" s="461">
        <v>7.8729493642624909E-2</v>
      </c>
    </row>
    <row r="41" spans="1:7" ht="15" customHeight="1">
      <c r="A41" s="344"/>
      <c r="B41" s="179" t="s">
        <v>395</v>
      </c>
      <c r="C41" s="340"/>
      <c r="D41" s="340"/>
      <c r="E41" s="340"/>
      <c r="F41" s="340"/>
      <c r="G41" s="341"/>
    </row>
    <row r="42" spans="1:7">
      <c r="A42" s="343">
        <v>28</v>
      </c>
      <c r="B42" s="14" t="s">
        <v>378</v>
      </c>
      <c r="C42" s="19">
        <v>138221816.16999999</v>
      </c>
      <c r="D42" s="20">
        <v>115236851.53999999</v>
      </c>
      <c r="E42" s="20">
        <v>97497588.980000004</v>
      </c>
      <c r="F42" s="20">
        <v>81903875.829999998</v>
      </c>
      <c r="G42" s="21">
        <v>110558868.91</v>
      </c>
    </row>
    <row r="43" spans="1:7" ht="15" customHeight="1">
      <c r="A43" s="343">
        <v>29</v>
      </c>
      <c r="B43" s="14" t="s">
        <v>390</v>
      </c>
      <c r="C43" s="19">
        <v>92930041.167475656</v>
      </c>
      <c r="D43" s="20">
        <v>72202548.613757342</v>
      </c>
      <c r="E43" s="20">
        <v>45169081.551656671</v>
      </c>
      <c r="F43" s="20">
        <v>61860189.168520354</v>
      </c>
      <c r="G43" s="21">
        <v>84401756.030723333</v>
      </c>
    </row>
    <row r="44" spans="1:7" ht="15" customHeight="1">
      <c r="A44" s="382">
        <v>30</v>
      </c>
      <c r="B44" s="383" t="s">
        <v>379</v>
      </c>
      <c r="C44" s="462">
        <f>C42/C43</f>
        <v>1.4873749589855545</v>
      </c>
      <c r="D44" s="463">
        <v>1.5960219376251072</v>
      </c>
      <c r="E44" s="463">
        <v>2.1585027994979029</v>
      </c>
      <c r="F44" s="463">
        <v>1.3240159289988003</v>
      </c>
      <c r="G44" s="464">
        <v>1.3099119509996349</v>
      </c>
    </row>
    <row r="45" spans="1:7" ht="15" customHeight="1">
      <c r="A45" s="382"/>
      <c r="B45" s="179" t="s">
        <v>497</v>
      </c>
      <c r="C45" s="384"/>
      <c r="D45" s="385"/>
      <c r="E45" s="385"/>
      <c r="F45" s="385"/>
      <c r="G45" s="386"/>
    </row>
    <row r="46" spans="1:7" ht="15" customHeight="1">
      <c r="A46" s="382">
        <v>31</v>
      </c>
      <c r="B46" s="383" t="s">
        <v>504</v>
      </c>
      <c r="C46" s="384">
        <v>217710441.46391809</v>
      </c>
      <c r="D46" s="385">
        <v>201357863.01444596</v>
      </c>
      <c r="E46" s="385">
        <v>189450929.14609382</v>
      </c>
      <c r="F46" s="385">
        <v>165124245.27443027</v>
      </c>
      <c r="G46" s="386">
        <v>153877398.12251991</v>
      </c>
    </row>
    <row r="47" spans="1:7" ht="15" customHeight="1">
      <c r="A47" s="382">
        <v>32</v>
      </c>
      <c r="B47" s="383" t="s">
        <v>519</v>
      </c>
      <c r="C47" s="384">
        <v>184610398.94422942</v>
      </c>
      <c r="D47" s="385">
        <v>164086660.82318714</v>
      </c>
      <c r="E47" s="385">
        <v>164581882.01660013</v>
      </c>
      <c r="F47" s="385">
        <v>162148906.19844285</v>
      </c>
      <c r="G47" s="386">
        <v>151388101.10997358</v>
      </c>
    </row>
    <row r="48" spans="1:7" ht="15" thickBot="1">
      <c r="A48" s="345">
        <v>33</v>
      </c>
      <c r="B48" s="181" t="s">
        <v>537</v>
      </c>
      <c r="C48" s="465">
        <f>IFERROR(C46/C47,0)</f>
        <v>1.179296739018955</v>
      </c>
      <c r="D48" s="466">
        <v>1.2271434009582332</v>
      </c>
      <c r="E48" s="466">
        <v>1.1511044036243634</v>
      </c>
      <c r="F48" s="466">
        <v>1.0183494242776212</v>
      </c>
      <c r="G48" s="467">
        <v>1.0164431484000054</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28515625" defaultRowHeight="12.75"/>
  <cols>
    <col min="1" max="1" width="11.7109375" style="396" bestFit="1" customWidth="1"/>
    <col min="2" max="2" width="103.140625" style="396" bestFit="1"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44469</v>
      </c>
    </row>
    <row r="3" spans="1:8">
      <c r="A3" s="389" t="s">
        <v>546</v>
      </c>
    </row>
    <row r="5" spans="1:8" ht="15" customHeight="1">
      <c r="A5" s="760" t="s">
        <v>547</v>
      </c>
      <c r="B5" s="761"/>
      <c r="C5" s="766" t="s">
        <v>548</v>
      </c>
      <c r="D5" s="767"/>
      <c r="E5" s="767"/>
      <c r="F5" s="767"/>
      <c r="G5" s="767"/>
      <c r="H5" s="768"/>
    </row>
    <row r="6" spans="1:8">
      <c r="A6" s="762"/>
      <c r="B6" s="763"/>
      <c r="C6" s="769"/>
      <c r="D6" s="770"/>
      <c r="E6" s="770"/>
      <c r="F6" s="770"/>
      <c r="G6" s="770"/>
      <c r="H6" s="771"/>
    </row>
    <row r="7" spans="1:8">
      <c r="A7" s="764"/>
      <c r="B7" s="765"/>
      <c r="C7" s="420" t="s">
        <v>549</v>
      </c>
      <c r="D7" s="420" t="s">
        <v>550</v>
      </c>
      <c r="E7" s="420" t="s">
        <v>551</v>
      </c>
      <c r="F7" s="420" t="s">
        <v>552</v>
      </c>
      <c r="G7" s="420" t="s">
        <v>553</v>
      </c>
      <c r="H7" s="420" t="s">
        <v>109</v>
      </c>
    </row>
    <row r="8" spans="1:8">
      <c r="A8" s="391">
        <v>1</v>
      </c>
      <c r="B8" s="390" t="s">
        <v>96</v>
      </c>
      <c r="C8" s="656">
        <v>47490025.629999995</v>
      </c>
      <c r="D8" s="656">
        <v>10637365.815851761</v>
      </c>
      <c r="E8" s="656">
        <v>6639922.9675518684</v>
      </c>
      <c r="F8" s="656">
        <v>0</v>
      </c>
      <c r="G8" s="656"/>
      <c r="H8" s="655">
        <f>SUM(C8:G8)</f>
        <v>64767314.41340363</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68409066.378904998</v>
      </c>
      <c r="D13" s="656">
        <v>3463600.78</v>
      </c>
      <c r="E13" s="656">
        <v>0</v>
      </c>
      <c r="F13" s="656">
        <v>0</v>
      </c>
      <c r="G13" s="656"/>
      <c r="H13" s="655">
        <f t="shared" si="0"/>
        <v>71872667.158904999</v>
      </c>
    </row>
    <row r="14" spans="1:8">
      <c r="A14" s="391">
        <v>7</v>
      </c>
      <c r="B14" s="390" t="s">
        <v>101</v>
      </c>
      <c r="C14" s="656"/>
      <c r="D14" s="656">
        <v>123661517.34996015</v>
      </c>
      <c r="E14" s="656">
        <v>87413305.492165282</v>
      </c>
      <c r="F14" s="656">
        <v>27821037.466000002</v>
      </c>
      <c r="G14" s="656">
        <v>1251386.7679999999</v>
      </c>
      <c r="H14" s="655">
        <f t="shared" si="0"/>
        <v>240147247.07612541</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565</v>
      </c>
      <c r="C17" s="656"/>
      <c r="D17" s="656">
        <v>0</v>
      </c>
      <c r="E17" s="656">
        <v>0</v>
      </c>
      <c r="F17" s="656">
        <v>0</v>
      </c>
      <c r="G17" s="656">
        <v>1244093.9279999998</v>
      </c>
      <c r="H17" s="655">
        <f t="shared" si="0"/>
        <v>1244093.9279999998</v>
      </c>
    </row>
    <row r="18" spans="1:8">
      <c r="A18" s="391">
        <v>11</v>
      </c>
      <c r="B18" s="390" t="s">
        <v>105</v>
      </c>
      <c r="C18" s="656"/>
      <c r="D18" s="656">
        <v>489.34199999999998</v>
      </c>
      <c r="E18" s="656">
        <v>0</v>
      </c>
      <c r="F18" s="656">
        <v>0</v>
      </c>
      <c r="G18" s="656">
        <v>0</v>
      </c>
      <c r="H18" s="655">
        <f t="shared" si="0"/>
        <v>489.34199999999998</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4252790.2300000004</v>
      </c>
      <c r="D21" s="656">
        <v>549430.40300000005</v>
      </c>
      <c r="E21" s="656">
        <v>2565604.0409999997</v>
      </c>
      <c r="F21" s="656">
        <v>2915591.6809999999</v>
      </c>
      <c r="G21" s="656">
        <v>12171983.951246608</v>
      </c>
      <c r="H21" s="655">
        <f t="shared" si="0"/>
        <v>22455400.306246608</v>
      </c>
    </row>
    <row r="22" spans="1:8">
      <c r="A22" s="392">
        <v>15</v>
      </c>
      <c r="B22" s="398" t="s">
        <v>109</v>
      </c>
      <c r="C22" s="655">
        <f>+SUM(C8:C16)+SUM(C18:C21)</f>
        <v>120151882.238905</v>
      </c>
      <c r="D22" s="655">
        <f t="shared" ref="D22:G22" si="1">+SUM(D8:D16)+SUM(D18:D21)</f>
        <v>138312403.6908119</v>
      </c>
      <c r="E22" s="655">
        <f t="shared" si="1"/>
        <v>96618832.500717148</v>
      </c>
      <c r="F22" s="655">
        <f t="shared" si="1"/>
        <v>30736629.147</v>
      </c>
      <c r="G22" s="655">
        <f t="shared" si="1"/>
        <v>13423370.719246607</v>
      </c>
      <c r="H22" s="655">
        <f>+SUM(H8:H16)+SUM(H18:H21)</f>
        <v>399243118.29668063</v>
      </c>
    </row>
    <row r="26" spans="1:8" ht="25.5">
      <c r="B26" s="425" t="s">
        <v>694</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44469</v>
      </c>
    </row>
    <row r="3" spans="1:9">
      <c r="A3" s="389" t="s">
        <v>554</v>
      </c>
    </row>
    <row r="4" spans="1:9">
      <c r="C4" s="427" t="s">
        <v>0</v>
      </c>
      <c r="D4" s="427" t="s">
        <v>1</v>
      </c>
      <c r="E4" s="427" t="s">
        <v>2</v>
      </c>
      <c r="F4" s="427" t="s">
        <v>3</v>
      </c>
      <c r="G4" s="427" t="s">
        <v>4</v>
      </c>
      <c r="H4" s="427" t="s">
        <v>5</v>
      </c>
      <c r="I4" s="427" t="s">
        <v>10</v>
      </c>
    </row>
    <row r="5" spans="1:9" ht="44.25" customHeight="1">
      <c r="A5" s="760" t="s">
        <v>555</v>
      </c>
      <c r="B5" s="761"/>
      <c r="C5" s="774" t="s">
        <v>556</v>
      </c>
      <c r="D5" s="774"/>
      <c r="E5" s="774" t="s">
        <v>557</v>
      </c>
      <c r="F5" s="774" t="s">
        <v>558</v>
      </c>
      <c r="G5" s="772" t="s">
        <v>559</v>
      </c>
      <c r="H5" s="772" t="s">
        <v>560</v>
      </c>
      <c r="I5" s="428" t="s">
        <v>561</v>
      </c>
    </row>
    <row r="6" spans="1:9" ht="60" customHeight="1">
      <c r="A6" s="764"/>
      <c r="B6" s="765"/>
      <c r="C6" s="416" t="s">
        <v>562</v>
      </c>
      <c r="D6" s="416" t="s">
        <v>563</v>
      </c>
      <c r="E6" s="774"/>
      <c r="F6" s="774"/>
      <c r="G6" s="773"/>
      <c r="H6" s="773"/>
      <c r="I6" s="428" t="s">
        <v>564</v>
      </c>
    </row>
    <row r="7" spans="1:9">
      <c r="A7" s="394">
        <v>1</v>
      </c>
      <c r="B7" s="390" t="s">
        <v>96</v>
      </c>
      <c r="C7" s="657">
        <v>0</v>
      </c>
      <c r="D7" s="657">
        <v>64767314.413403615</v>
      </c>
      <c r="E7" s="657">
        <v>0</v>
      </c>
      <c r="F7" s="657">
        <v>195949.9501706172</v>
      </c>
      <c r="G7" s="657"/>
      <c r="H7" s="657"/>
      <c r="I7" s="673">
        <f t="shared" ref="I7:I23" si="0">C7+D7-E7-F7-G7</f>
        <v>64571364.463233002</v>
      </c>
    </row>
    <row r="8" spans="1:9">
      <c r="A8" s="394">
        <v>2</v>
      </c>
      <c r="B8" s="390" t="s">
        <v>97</v>
      </c>
      <c r="C8" s="657"/>
      <c r="D8" s="657"/>
      <c r="E8" s="657"/>
      <c r="F8" s="657"/>
      <c r="G8" s="657"/>
      <c r="H8" s="657"/>
      <c r="I8" s="673">
        <f t="shared" si="0"/>
        <v>0</v>
      </c>
    </row>
    <row r="9" spans="1:9">
      <c r="A9" s="394">
        <v>3</v>
      </c>
      <c r="B9" s="390" t="s">
        <v>269</v>
      </c>
      <c r="C9" s="657"/>
      <c r="D9" s="657"/>
      <c r="E9" s="657"/>
      <c r="F9" s="657"/>
      <c r="G9" s="657"/>
      <c r="H9" s="657"/>
      <c r="I9" s="673">
        <f t="shared" si="0"/>
        <v>0</v>
      </c>
    </row>
    <row r="10" spans="1:9">
      <c r="A10" s="394">
        <v>4</v>
      </c>
      <c r="B10" s="390" t="s">
        <v>98</v>
      </c>
      <c r="C10" s="657"/>
      <c r="D10" s="657"/>
      <c r="E10" s="657"/>
      <c r="F10" s="657"/>
      <c r="G10" s="657"/>
      <c r="H10" s="657"/>
      <c r="I10" s="673">
        <f t="shared" si="0"/>
        <v>0</v>
      </c>
    </row>
    <row r="11" spans="1:9">
      <c r="A11" s="394">
        <v>5</v>
      </c>
      <c r="B11" s="390" t="s">
        <v>99</v>
      </c>
      <c r="C11" s="657"/>
      <c r="D11" s="657"/>
      <c r="E11" s="657"/>
      <c r="F11" s="657"/>
      <c r="G11" s="657"/>
      <c r="H11" s="657"/>
      <c r="I11" s="673">
        <f t="shared" si="0"/>
        <v>0</v>
      </c>
    </row>
    <row r="12" spans="1:9">
      <c r="A12" s="394">
        <v>6</v>
      </c>
      <c r="B12" s="390" t="s">
        <v>100</v>
      </c>
      <c r="C12" s="657">
        <v>0</v>
      </c>
      <c r="D12" s="657">
        <v>71872667.158904985</v>
      </c>
      <c r="E12" s="657">
        <v>0</v>
      </c>
      <c r="F12" s="657">
        <v>0</v>
      </c>
      <c r="G12" s="657"/>
      <c r="H12" s="657"/>
      <c r="I12" s="673">
        <f t="shared" si="0"/>
        <v>71872667.158904985</v>
      </c>
    </row>
    <row r="13" spans="1:9">
      <c r="A13" s="394">
        <v>7</v>
      </c>
      <c r="B13" s="390" t="s">
        <v>101</v>
      </c>
      <c r="C13" s="657">
        <v>10550105.109999999</v>
      </c>
      <c r="D13" s="657">
        <v>234362304.70412546</v>
      </c>
      <c r="E13" s="657">
        <v>4765162.7379999999</v>
      </c>
      <c r="F13" s="657">
        <v>4389205.7959648287</v>
      </c>
      <c r="G13" s="657"/>
      <c r="H13" s="657"/>
      <c r="I13" s="673">
        <f t="shared" si="0"/>
        <v>235758041.28016064</v>
      </c>
    </row>
    <row r="14" spans="1:9">
      <c r="A14" s="394">
        <v>8</v>
      </c>
      <c r="B14" s="390" t="s">
        <v>102</v>
      </c>
      <c r="C14" s="657"/>
      <c r="D14" s="657"/>
      <c r="E14" s="657"/>
      <c r="F14" s="657"/>
      <c r="G14" s="657"/>
      <c r="H14" s="657"/>
      <c r="I14" s="673">
        <f t="shared" si="0"/>
        <v>0</v>
      </c>
    </row>
    <row r="15" spans="1:9">
      <c r="A15" s="394">
        <v>9</v>
      </c>
      <c r="B15" s="390" t="s">
        <v>103</v>
      </c>
      <c r="C15" s="657"/>
      <c r="D15" s="657"/>
      <c r="E15" s="657"/>
      <c r="F15" s="657"/>
      <c r="G15" s="657"/>
      <c r="H15" s="657"/>
      <c r="I15" s="673">
        <f t="shared" si="0"/>
        <v>0</v>
      </c>
    </row>
    <row r="16" spans="1:9">
      <c r="A16" s="394">
        <v>10</v>
      </c>
      <c r="B16" s="424" t="s">
        <v>565</v>
      </c>
      <c r="C16" s="657">
        <v>2085169.9000000001</v>
      </c>
      <c r="D16" s="657">
        <v>0</v>
      </c>
      <c r="E16" s="657">
        <v>841075.97200000007</v>
      </c>
      <c r="F16" s="657">
        <v>0</v>
      </c>
      <c r="G16" s="657"/>
      <c r="H16" s="657"/>
      <c r="I16" s="673">
        <f t="shared" si="0"/>
        <v>1244093.9280000001</v>
      </c>
    </row>
    <row r="17" spans="1:9">
      <c r="A17" s="394">
        <v>11</v>
      </c>
      <c r="B17" s="390" t="s">
        <v>105</v>
      </c>
      <c r="C17" s="657">
        <v>2966.87</v>
      </c>
      <c r="D17" s="657">
        <v>0</v>
      </c>
      <c r="E17" s="657">
        <v>2477.5279999999998</v>
      </c>
      <c r="F17" s="657">
        <v>0</v>
      </c>
      <c r="G17" s="657"/>
      <c r="H17" s="657"/>
      <c r="I17" s="673">
        <f t="shared" si="0"/>
        <v>489.3420000000001</v>
      </c>
    </row>
    <row r="18" spans="1:9">
      <c r="A18" s="394">
        <v>12</v>
      </c>
      <c r="B18" s="390" t="s">
        <v>106</v>
      </c>
      <c r="C18" s="657"/>
      <c r="D18" s="657"/>
      <c r="E18" s="657"/>
      <c r="F18" s="657"/>
      <c r="G18" s="657"/>
      <c r="H18" s="657"/>
      <c r="I18" s="673">
        <f t="shared" si="0"/>
        <v>0</v>
      </c>
    </row>
    <row r="19" spans="1:9">
      <c r="A19" s="394">
        <v>13</v>
      </c>
      <c r="B19" s="390" t="s">
        <v>247</v>
      </c>
      <c r="C19" s="657"/>
      <c r="D19" s="657"/>
      <c r="E19" s="657"/>
      <c r="F19" s="657"/>
      <c r="G19" s="657"/>
      <c r="H19" s="657"/>
      <c r="I19" s="673">
        <f t="shared" si="0"/>
        <v>0</v>
      </c>
    </row>
    <row r="20" spans="1:9">
      <c r="A20" s="394">
        <v>14</v>
      </c>
      <c r="B20" s="390" t="s">
        <v>108</v>
      </c>
      <c r="C20" s="657">
        <v>3026118.3</v>
      </c>
      <c r="D20" s="657">
        <v>21415490.874246612</v>
      </c>
      <c r="E20" s="657">
        <v>1748194.5480000002</v>
      </c>
      <c r="F20" s="657">
        <v>93918.573199999984</v>
      </c>
      <c r="G20" s="657"/>
      <c r="H20" s="657"/>
      <c r="I20" s="673">
        <f t="shared" si="0"/>
        <v>22599496.053046614</v>
      </c>
    </row>
    <row r="21" spans="1:9" s="429" customFormat="1">
      <c r="A21" s="395">
        <v>15</v>
      </c>
      <c r="B21" s="398" t="s">
        <v>109</v>
      </c>
      <c r="C21" s="655">
        <f>SUM(C7:C15)+SUM(C17:C20)</f>
        <v>13579190.279999999</v>
      </c>
      <c r="D21" s="655">
        <f t="shared" ref="D21:H21" si="1">SUM(D7:D15)+SUM(D17:D20)</f>
        <v>392417777.15068066</v>
      </c>
      <c r="E21" s="655">
        <f t="shared" si="1"/>
        <v>6515834.8140000002</v>
      </c>
      <c r="F21" s="655">
        <f t="shared" si="1"/>
        <v>4679074.3193354458</v>
      </c>
      <c r="G21" s="655">
        <v>1423935</v>
      </c>
      <c r="H21" s="655">
        <f t="shared" si="1"/>
        <v>0</v>
      </c>
      <c r="I21" s="673">
        <f t="shared" si="0"/>
        <v>393378123.29734516</v>
      </c>
    </row>
    <row r="22" spans="1:9">
      <c r="A22" s="430">
        <v>16</v>
      </c>
      <c r="B22" s="431" t="s">
        <v>566</v>
      </c>
      <c r="C22" s="657">
        <v>11961260.019999996</v>
      </c>
      <c r="D22" s="657">
        <v>225988590.94000009</v>
      </c>
      <c r="E22" s="657">
        <v>5633429.9439999983</v>
      </c>
      <c r="F22" s="657">
        <v>4139988.2759999996</v>
      </c>
      <c r="G22" s="657">
        <v>1423935</v>
      </c>
      <c r="H22" s="657"/>
      <c r="I22" s="673">
        <f t="shared" si="0"/>
        <v>226752497.7400001</v>
      </c>
    </row>
    <row r="23" spans="1:9">
      <c r="A23" s="430">
        <v>17</v>
      </c>
      <c r="B23" s="431" t="s">
        <v>567</v>
      </c>
      <c r="C23" s="657">
        <v>0</v>
      </c>
      <c r="D23" s="657">
        <v>34654019.697529078</v>
      </c>
      <c r="E23" s="657">
        <v>0</v>
      </c>
      <c r="F23" s="657">
        <v>539086.04333544639</v>
      </c>
      <c r="G23" s="657"/>
      <c r="H23" s="657"/>
      <c r="I23" s="673">
        <f t="shared" si="0"/>
        <v>34114933.654193632</v>
      </c>
    </row>
    <row r="26" spans="1:9" ht="38.25">
      <c r="B26" s="425" t="s">
        <v>694</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44469</v>
      </c>
    </row>
    <row r="3" spans="1:9">
      <c r="A3" s="389" t="s">
        <v>568</v>
      </c>
    </row>
    <row r="4" spans="1:9">
      <c r="C4" s="427" t="s">
        <v>0</v>
      </c>
      <c r="D4" s="427" t="s">
        <v>1</v>
      </c>
      <c r="E4" s="427" t="s">
        <v>2</v>
      </c>
      <c r="F4" s="427" t="s">
        <v>3</v>
      </c>
      <c r="G4" s="427" t="s">
        <v>4</v>
      </c>
      <c r="H4" s="427" t="s">
        <v>5</v>
      </c>
      <c r="I4" s="427" t="s">
        <v>10</v>
      </c>
    </row>
    <row r="5" spans="1:9" ht="46.5" customHeight="1">
      <c r="A5" s="760" t="s">
        <v>709</v>
      </c>
      <c r="B5" s="761"/>
      <c r="C5" s="774" t="s">
        <v>556</v>
      </c>
      <c r="D5" s="774"/>
      <c r="E5" s="774" t="s">
        <v>557</v>
      </c>
      <c r="F5" s="774" t="s">
        <v>558</v>
      </c>
      <c r="G5" s="772" t="s">
        <v>559</v>
      </c>
      <c r="H5" s="772" t="s">
        <v>560</v>
      </c>
      <c r="I5" s="428" t="s">
        <v>561</v>
      </c>
    </row>
    <row r="6" spans="1:9" ht="75" customHeight="1">
      <c r="A6" s="764"/>
      <c r="B6" s="765"/>
      <c r="C6" s="416" t="s">
        <v>562</v>
      </c>
      <c r="D6" s="416" t="s">
        <v>563</v>
      </c>
      <c r="E6" s="774"/>
      <c r="F6" s="774"/>
      <c r="G6" s="773"/>
      <c r="H6" s="773"/>
      <c r="I6" s="428" t="s">
        <v>564</v>
      </c>
    </row>
    <row r="7" spans="1:9">
      <c r="A7" s="393">
        <v>1</v>
      </c>
      <c r="B7" s="397" t="s">
        <v>699</v>
      </c>
      <c r="C7" s="657">
        <v>7152.79</v>
      </c>
      <c r="D7" s="657">
        <v>77546070.823403612</v>
      </c>
      <c r="E7" s="657">
        <v>5490.3099999999995</v>
      </c>
      <c r="F7" s="657">
        <v>451297.3533706172</v>
      </c>
      <c r="G7" s="657"/>
      <c r="H7" s="657"/>
      <c r="I7" s="673">
        <f t="shared" ref="I7:I34" si="0">C7+D7-E7-F7-G7</f>
        <v>77096435.950032994</v>
      </c>
    </row>
    <row r="8" spans="1:9">
      <c r="A8" s="393">
        <v>2</v>
      </c>
      <c r="B8" s="397" t="s">
        <v>569</v>
      </c>
      <c r="C8" s="657">
        <v>3105.52</v>
      </c>
      <c r="D8" s="657">
        <v>112059725.548885</v>
      </c>
      <c r="E8" s="657">
        <v>12078.19</v>
      </c>
      <c r="F8" s="657">
        <v>798253.451</v>
      </c>
      <c r="G8" s="657"/>
      <c r="H8" s="657"/>
      <c r="I8" s="673">
        <f t="shared" si="0"/>
        <v>111252499.427885</v>
      </c>
    </row>
    <row r="9" spans="1:9">
      <c r="A9" s="393">
        <v>3</v>
      </c>
      <c r="B9" s="397" t="s">
        <v>570</v>
      </c>
      <c r="C9" s="657"/>
      <c r="D9" s="657"/>
      <c r="E9" s="657"/>
      <c r="F9" s="657"/>
      <c r="G9" s="657"/>
      <c r="H9" s="657"/>
      <c r="I9" s="673">
        <f t="shared" si="0"/>
        <v>0</v>
      </c>
    </row>
    <row r="10" spans="1:9">
      <c r="A10" s="393">
        <v>4</v>
      </c>
      <c r="B10" s="397" t="s">
        <v>700</v>
      </c>
      <c r="C10" s="657">
        <v>609012.73</v>
      </c>
      <c r="D10" s="657">
        <v>21131862.850000001</v>
      </c>
      <c r="E10" s="657">
        <v>181517.78900000002</v>
      </c>
      <c r="F10" s="657">
        <v>421853.13859999995</v>
      </c>
      <c r="G10" s="657"/>
      <c r="H10" s="657"/>
      <c r="I10" s="673">
        <f t="shared" si="0"/>
        <v>21137504.652400002</v>
      </c>
    </row>
    <row r="11" spans="1:9">
      <c r="A11" s="393">
        <v>5</v>
      </c>
      <c r="B11" s="397" t="s">
        <v>571</v>
      </c>
      <c r="C11" s="657">
        <v>0</v>
      </c>
      <c r="D11" s="657">
        <v>13664436.5</v>
      </c>
      <c r="E11" s="657">
        <v>0</v>
      </c>
      <c r="F11" s="657">
        <v>272898.55120000005</v>
      </c>
      <c r="G11" s="657"/>
      <c r="H11" s="657"/>
      <c r="I11" s="673">
        <f t="shared" si="0"/>
        <v>13391537.948799999</v>
      </c>
    </row>
    <row r="12" spans="1:9">
      <c r="A12" s="393">
        <v>6</v>
      </c>
      <c r="B12" s="397" t="s">
        <v>572</v>
      </c>
      <c r="C12" s="657">
        <v>57605.95</v>
      </c>
      <c r="D12" s="657">
        <v>1331498.6800000002</v>
      </c>
      <c r="E12" s="657">
        <v>33940.072</v>
      </c>
      <c r="F12" s="657">
        <v>26149.380200000003</v>
      </c>
      <c r="G12" s="657"/>
      <c r="H12" s="657"/>
      <c r="I12" s="673">
        <f t="shared" si="0"/>
        <v>1329015.1778000002</v>
      </c>
    </row>
    <row r="13" spans="1:9">
      <c r="A13" s="393">
        <v>7</v>
      </c>
      <c r="B13" s="397" t="s">
        <v>573</v>
      </c>
      <c r="C13" s="657">
        <v>0</v>
      </c>
      <c r="D13" s="657">
        <v>19081935.780000001</v>
      </c>
      <c r="E13" s="657">
        <v>0</v>
      </c>
      <c r="F13" s="657">
        <v>380322.76679999998</v>
      </c>
      <c r="G13" s="657"/>
      <c r="H13" s="657"/>
      <c r="I13" s="673">
        <f t="shared" si="0"/>
        <v>18701613.0132</v>
      </c>
    </row>
    <row r="14" spans="1:9">
      <c r="A14" s="393">
        <v>8</v>
      </c>
      <c r="B14" s="397" t="s">
        <v>574</v>
      </c>
      <c r="C14" s="657">
        <v>926964.7</v>
      </c>
      <c r="D14" s="657">
        <v>18774186.380694382</v>
      </c>
      <c r="E14" s="657">
        <v>434589.43899999995</v>
      </c>
      <c r="F14" s="657">
        <v>374555.4642138877</v>
      </c>
      <c r="G14" s="657"/>
      <c r="H14" s="657"/>
      <c r="I14" s="673">
        <f t="shared" si="0"/>
        <v>18892006.177480493</v>
      </c>
    </row>
    <row r="15" spans="1:9">
      <c r="A15" s="393">
        <v>9</v>
      </c>
      <c r="B15" s="397" t="s">
        <v>575</v>
      </c>
      <c r="C15" s="657">
        <v>0</v>
      </c>
      <c r="D15" s="657">
        <v>6312870.5200000005</v>
      </c>
      <c r="E15" s="657">
        <v>0</v>
      </c>
      <c r="F15" s="657">
        <v>125684.94140000001</v>
      </c>
      <c r="G15" s="657"/>
      <c r="H15" s="657"/>
      <c r="I15" s="673">
        <f t="shared" si="0"/>
        <v>6187185.5786000006</v>
      </c>
    </row>
    <row r="16" spans="1:9">
      <c r="A16" s="393">
        <v>10</v>
      </c>
      <c r="B16" s="397" t="s">
        <v>576</v>
      </c>
      <c r="C16" s="657">
        <v>1777277.04</v>
      </c>
      <c r="D16" s="657">
        <v>4902875.4800000004</v>
      </c>
      <c r="E16" s="657">
        <v>533183.11200000008</v>
      </c>
      <c r="F16" s="657">
        <v>97909.663400000005</v>
      </c>
      <c r="G16" s="657"/>
      <c r="H16" s="657"/>
      <c r="I16" s="673">
        <f t="shared" si="0"/>
        <v>6049059.7446000008</v>
      </c>
    </row>
    <row r="17" spans="1:10">
      <c r="A17" s="393">
        <v>11</v>
      </c>
      <c r="B17" s="397" t="s">
        <v>577</v>
      </c>
      <c r="C17" s="657">
        <v>27150.429999999997</v>
      </c>
      <c r="D17" s="657">
        <v>14075083.68</v>
      </c>
      <c r="E17" s="657">
        <v>1007946.5639999999</v>
      </c>
      <c r="F17" s="657">
        <v>80021.952000000005</v>
      </c>
      <c r="G17" s="657"/>
      <c r="H17" s="657"/>
      <c r="I17" s="673">
        <f t="shared" si="0"/>
        <v>13014265.594000001</v>
      </c>
    </row>
    <row r="18" spans="1:10">
      <c r="A18" s="393">
        <v>12</v>
      </c>
      <c r="B18" s="397" t="s">
        <v>578</v>
      </c>
      <c r="C18" s="657">
        <v>245430.22000000003</v>
      </c>
      <c r="D18" s="657">
        <v>4592868.9400000004</v>
      </c>
      <c r="E18" s="657">
        <v>206512.89299999998</v>
      </c>
      <c r="F18" s="657">
        <v>85298.790999999997</v>
      </c>
      <c r="G18" s="657"/>
      <c r="H18" s="657"/>
      <c r="I18" s="673">
        <f t="shared" si="0"/>
        <v>4546487.4759999998</v>
      </c>
    </row>
    <row r="19" spans="1:10">
      <c r="A19" s="393">
        <v>13</v>
      </c>
      <c r="B19" s="397" t="s">
        <v>579</v>
      </c>
      <c r="C19" s="657">
        <v>48465.939999999995</v>
      </c>
      <c r="D19" s="657">
        <v>3385403.95</v>
      </c>
      <c r="E19" s="657">
        <v>338043.11300000001</v>
      </c>
      <c r="F19" s="657">
        <v>5724.2224000000006</v>
      </c>
      <c r="G19" s="657"/>
      <c r="H19" s="657"/>
      <c r="I19" s="673">
        <f t="shared" si="0"/>
        <v>3090102.5546000004</v>
      </c>
    </row>
    <row r="20" spans="1:10">
      <c r="A20" s="393">
        <v>14</v>
      </c>
      <c r="B20" s="397" t="s">
        <v>580</v>
      </c>
      <c r="C20" s="657">
        <v>7805619.8499999996</v>
      </c>
      <c r="D20" s="657">
        <v>8605752.1699999999</v>
      </c>
      <c r="E20" s="657">
        <v>2382371.764</v>
      </c>
      <c r="F20" s="657">
        <v>171949.3798</v>
      </c>
      <c r="G20" s="657"/>
      <c r="H20" s="657"/>
      <c r="I20" s="673">
        <f t="shared" si="0"/>
        <v>13857050.8762</v>
      </c>
    </row>
    <row r="21" spans="1:10">
      <c r="A21" s="393">
        <v>15</v>
      </c>
      <c r="B21" s="397" t="s">
        <v>581</v>
      </c>
      <c r="C21" s="657">
        <v>463.09</v>
      </c>
      <c r="D21" s="657">
        <v>2108767.1100000003</v>
      </c>
      <c r="E21" s="657">
        <v>463.09</v>
      </c>
      <c r="F21" s="657">
        <v>42110.8848</v>
      </c>
      <c r="G21" s="657"/>
      <c r="H21" s="657"/>
      <c r="I21" s="673">
        <f t="shared" si="0"/>
        <v>2066656.2252000002</v>
      </c>
    </row>
    <row r="22" spans="1:10">
      <c r="A22" s="393">
        <v>16</v>
      </c>
      <c r="B22" s="397" t="s">
        <v>582</v>
      </c>
      <c r="C22" s="657">
        <v>0</v>
      </c>
      <c r="D22" s="657">
        <v>0</v>
      </c>
      <c r="E22" s="657">
        <v>0</v>
      </c>
      <c r="F22" s="657">
        <v>0</v>
      </c>
      <c r="G22" s="657"/>
      <c r="H22" s="657"/>
      <c r="I22" s="673">
        <f t="shared" si="0"/>
        <v>0</v>
      </c>
    </row>
    <row r="23" spans="1:10">
      <c r="A23" s="393">
        <v>17</v>
      </c>
      <c r="B23" s="397" t="s">
        <v>703</v>
      </c>
      <c r="C23" s="657">
        <v>0</v>
      </c>
      <c r="D23" s="657">
        <v>0</v>
      </c>
      <c r="E23" s="657">
        <v>0</v>
      </c>
      <c r="F23" s="657">
        <v>0</v>
      </c>
      <c r="G23" s="657"/>
      <c r="H23" s="657"/>
      <c r="I23" s="673">
        <f t="shared" si="0"/>
        <v>0</v>
      </c>
    </row>
    <row r="24" spans="1:10">
      <c r="A24" s="393">
        <v>18</v>
      </c>
      <c r="B24" s="397" t="s">
        <v>583</v>
      </c>
      <c r="C24" s="657">
        <v>0</v>
      </c>
      <c r="D24" s="657">
        <v>36433820.902490914</v>
      </c>
      <c r="E24" s="657">
        <v>0</v>
      </c>
      <c r="F24" s="657">
        <v>721024.747131738</v>
      </c>
      <c r="G24" s="657"/>
      <c r="H24" s="657"/>
      <c r="I24" s="673">
        <f t="shared" si="0"/>
        <v>35712796.155359179</v>
      </c>
    </row>
    <row r="25" spans="1:10">
      <c r="A25" s="393">
        <v>19</v>
      </c>
      <c r="B25" s="397" t="s">
        <v>584</v>
      </c>
      <c r="C25" s="657">
        <v>0</v>
      </c>
      <c r="D25" s="657">
        <v>0</v>
      </c>
      <c r="E25" s="657">
        <v>0</v>
      </c>
      <c r="F25" s="657">
        <v>0</v>
      </c>
      <c r="G25" s="657"/>
      <c r="H25" s="657"/>
      <c r="I25" s="673">
        <f t="shared" si="0"/>
        <v>0</v>
      </c>
    </row>
    <row r="26" spans="1:10">
      <c r="A26" s="393">
        <v>20</v>
      </c>
      <c r="B26" s="397" t="s">
        <v>702</v>
      </c>
      <c r="C26" s="657">
        <v>45565.14</v>
      </c>
      <c r="D26" s="657">
        <v>8219481.7599999998</v>
      </c>
      <c r="E26" s="657">
        <v>40070.613000000005</v>
      </c>
      <c r="F26" s="657">
        <v>163390.71419999999</v>
      </c>
      <c r="G26" s="657"/>
      <c r="H26" s="657"/>
      <c r="I26" s="673">
        <f t="shared" si="0"/>
        <v>8061585.5727999993</v>
      </c>
      <c r="J26" s="399"/>
    </row>
    <row r="27" spans="1:10">
      <c r="A27" s="393">
        <v>21</v>
      </c>
      <c r="B27" s="397" t="s">
        <v>585</v>
      </c>
      <c r="C27" s="657">
        <v>0</v>
      </c>
      <c r="D27" s="657">
        <v>58310.82</v>
      </c>
      <c r="E27" s="657">
        <v>0</v>
      </c>
      <c r="F27" s="657">
        <v>1157.83</v>
      </c>
      <c r="G27" s="657"/>
      <c r="H27" s="657"/>
      <c r="I27" s="673">
        <f t="shared" si="0"/>
        <v>57152.99</v>
      </c>
      <c r="J27" s="399"/>
    </row>
    <row r="28" spans="1:10">
      <c r="A28" s="393">
        <v>22</v>
      </c>
      <c r="B28" s="397" t="s">
        <v>586</v>
      </c>
      <c r="C28" s="657">
        <v>0</v>
      </c>
      <c r="D28" s="657">
        <v>1168550.4177963128</v>
      </c>
      <c r="E28" s="657">
        <v>0</v>
      </c>
      <c r="F28" s="657">
        <v>22999.934155926258</v>
      </c>
      <c r="G28" s="657"/>
      <c r="H28" s="657"/>
      <c r="I28" s="673">
        <f t="shared" si="0"/>
        <v>1145550.4836403865</v>
      </c>
      <c r="J28" s="399"/>
    </row>
    <row r="29" spans="1:10">
      <c r="A29" s="393">
        <v>23</v>
      </c>
      <c r="B29" s="397" t="s">
        <v>587</v>
      </c>
      <c r="C29" s="657">
        <v>170050.52000000002</v>
      </c>
      <c r="D29" s="657">
        <v>22563115.693163849</v>
      </c>
      <c r="E29" s="657">
        <v>199917.53900000002</v>
      </c>
      <c r="F29" s="657">
        <v>430149.99786327709</v>
      </c>
      <c r="G29" s="657"/>
      <c r="H29" s="657"/>
      <c r="I29" s="673">
        <f t="shared" si="0"/>
        <v>22103098.67630057</v>
      </c>
      <c r="J29" s="399"/>
    </row>
    <row r="30" spans="1:10">
      <c r="A30" s="393">
        <v>24</v>
      </c>
      <c r="B30" s="397" t="s">
        <v>701</v>
      </c>
      <c r="C30" s="657">
        <v>0</v>
      </c>
      <c r="D30" s="657">
        <v>0</v>
      </c>
      <c r="E30" s="657">
        <v>0</v>
      </c>
      <c r="F30" s="657">
        <v>0</v>
      </c>
      <c r="G30" s="657"/>
      <c r="H30" s="657"/>
      <c r="I30" s="673">
        <f t="shared" si="0"/>
        <v>0</v>
      </c>
      <c r="J30" s="399"/>
    </row>
    <row r="31" spans="1:10">
      <c r="A31" s="393">
        <v>25</v>
      </c>
      <c r="B31" s="397" t="s">
        <v>588</v>
      </c>
      <c r="C31" s="657">
        <v>237396.1</v>
      </c>
      <c r="D31" s="657">
        <v>525084.64</v>
      </c>
      <c r="E31" s="657">
        <v>257305.45599999998</v>
      </c>
      <c r="F31" s="657">
        <v>6321.1557999999995</v>
      </c>
      <c r="G31" s="657"/>
      <c r="H31" s="657"/>
      <c r="I31" s="673">
        <f t="shared" si="0"/>
        <v>498854.12819999998</v>
      </c>
      <c r="J31" s="399"/>
    </row>
    <row r="32" spans="1:10">
      <c r="A32" s="393">
        <v>26</v>
      </c>
      <c r="B32" s="397" t="s">
        <v>698</v>
      </c>
      <c r="C32" s="657">
        <v>0</v>
      </c>
      <c r="D32" s="657">
        <v>0</v>
      </c>
      <c r="E32" s="657">
        <v>0</v>
      </c>
      <c r="F32" s="657">
        <v>0</v>
      </c>
      <c r="G32" s="657"/>
      <c r="H32" s="657"/>
      <c r="I32" s="673">
        <f t="shared" si="0"/>
        <v>0</v>
      </c>
      <c r="J32" s="399"/>
    </row>
    <row r="33" spans="1:10">
      <c r="A33" s="393">
        <v>27</v>
      </c>
      <c r="B33" s="393" t="s">
        <v>589</v>
      </c>
      <c r="C33" s="657">
        <v>1617930.26</v>
      </c>
      <c r="D33" s="657">
        <v>15876074.504246607</v>
      </c>
      <c r="E33" s="657">
        <v>882404.87</v>
      </c>
      <c r="F33" s="657"/>
      <c r="G33" s="657"/>
      <c r="H33" s="657"/>
      <c r="I33" s="673">
        <f t="shared" si="0"/>
        <v>16611599.89424661</v>
      </c>
      <c r="J33" s="399"/>
    </row>
    <row r="34" spans="1:10">
      <c r="A34" s="393">
        <v>28</v>
      </c>
      <c r="B34" s="398" t="s">
        <v>109</v>
      </c>
      <c r="C34" s="655">
        <f>SUM(C7:C33)</f>
        <v>13579190.279999999</v>
      </c>
      <c r="D34" s="655">
        <f t="shared" ref="D34:H34" si="1">SUM(D7:D33)</f>
        <v>392417777.15068072</v>
      </c>
      <c r="E34" s="655">
        <f t="shared" si="1"/>
        <v>6515834.8139999993</v>
      </c>
      <c r="F34" s="655">
        <f t="shared" si="1"/>
        <v>4679074.3193354458</v>
      </c>
      <c r="G34" s="655">
        <v>1423935</v>
      </c>
      <c r="H34" s="655">
        <f t="shared" si="1"/>
        <v>0</v>
      </c>
      <c r="I34" s="673">
        <f t="shared" si="0"/>
        <v>393378123.29734522</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28515625" defaultRowHeight="12.75"/>
  <cols>
    <col min="1" max="1" width="11.7109375" style="396" bestFit="1" customWidth="1"/>
    <col min="2" max="2" width="108" style="396" bestFit="1" customWidth="1"/>
    <col min="3" max="4" width="35.5703125" style="396" customWidth="1"/>
    <col min="5" max="16384" width="9.28515625" style="396"/>
  </cols>
  <sheetData>
    <row r="1" spans="1:4" ht="13.5">
      <c r="A1" s="387" t="s">
        <v>30</v>
      </c>
      <c r="B1" s="450" t="str">
        <f>'Info '!C2</f>
        <v>JSC Isbank Georgia</v>
      </c>
    </row>
    <row r="2" spans="1:4" ht="13.5">
      <c r="A2" s="388" t="s">
        <v>31</v>
      </c>
      <c r="B2" s="451">
        <f>'1. key ratios '!B2</f>
        <v>44469</v>
      </c>
    </row>
    <row r="3" spans="1:4">
      <c r="A3" s="389" t="s">
        <v>590</v>
      </c>
    </row>
    <row r="5" spans="1:4" ht="25.5">
      <c r="A5" s="775" t="s">
        <v>591</v>
      </c>
      <c r="B5" s="775"/>
      <c r="C5" s="420" t="s">
        <v>592</v>
      </c>
      <c r="D5" s="420" t="s">
        <v>593</v>
      </c>
    </row>
    <row r="6" spans="1:4">
      <c r="A6" s="400">
        <v>1</v>
      </c>
      <c r="B6" s="401" t="s">
        <v>594</v>
      </c>
      <c r="C6" s="658">
        <v>11233870.4036</v>
      </c>
      <c r="D6" s="658">
        <v>516623.42498241749</v>
      </c>
    </row>
    <row r="7" spans="1:4">
      <c r="A7" s="402">
        <v>2</v>
      </c>
      <c r="B7" s="401" t="s">
        <v>595</v>
      </c>
      <c r="C7" s="658">
        <f>SUM(C8:C11)</f>
        <v>3941513.651466026</v>
      </c>
      <c r="D7" s="658">
        <f>SUM(D8:D11)</f>
        <v>66649.390915994241</v>
      </c>
    </row>
    <row r="8" spans="1:4">
      <c r="A8" s="403">
        <v>2.1</v>
      </c>
      <c r="B8" s="404" t="s">
        <v>706</v>
      </c>
      <c r="C8" s="657">
        <v>1963092.1490669618</v>
      </c>
      <c r="D8" s="657">
        <v>66649.390915994241</v>
      </c>
    </row>
    <row r="9" spans="1:4">
      <c r="A9" s="403">
        <v>2.2000000000000002</v>
      </c>
      <c r="B9" s="404" t="s">
        <v>704</v>
      </c>
      <c r="C9" s="657">
        <v>1978421.5023990639</v>
      </c>
      <c r="D9" s="657">
        <v>0</v>
      </c>
    </row>
    <row r="10" spans="1:4">
      <c r="A10" s="403">
        <v>2.2999999999999998</v>
      </c>
      <c r="B10" s="404" t="s">
        <v>596</v>
      </c>
      <c r="C10" s="657">
        <v>0</v>
      </c>
      <c r="D10" s="657">
        <v>0</v>
      </c>
    </row>
    <row r="11" spans="1:4">
      <c r="A11" s="403">
        <v>2.4</v>
      </c>
      <c r="B11" s="404" t="s">
        <v>597</v>
      </c>
      <c r="C11" s="657">
        <v>0</v>
      </c>
      <c r="D11" s="657">
        <v>0</v>
      </c>
    </row>
    <row r="12" spans="1:4">
      <c r="A12" s="400">
        <v>3</v>
      </c>
      <c r="B12" s="401" t="s">
        <v>598</v>
      </c>
      <c r="C12" s="658">
        <f>SUM(C13:C18)</f>
        <v>3978030.8350660261</v>
      </c>
      <c r="D12" s="658">
        <f>SUM(D13:D18)</f>
        <v>44186.772562965467</v>
      </c>
    </row>
    <row r="13" spans="1:4">
      <c r="A13" s="403">
        <v>3.1</v>
      </c>
      <c r="B13" s="404" t="s">
        <v>599</v>
      </c>
      <c r="C13" s="657"/>
      <c r="D13" s="657"/>
    </row>
    <row r="14" spans="1:4">
      <c r="A14" s="403">
        <v>3.2</v>
      </c>
      <c r="B14" s="404" t="s">
        <v>600</v>
      </c>
      <c r="C14" s="657">
        <v>1916005.966333285</v>
      </c>
      <c r="D14" s="657">
        <v>41603.741671981348</v>
      </c>
    </row>
    <row r="15" spans="1:4">
      <c r="A15" s="403">
        <v>3.3</v>
      </c>
      <c r="B15" s="404" t="s">
        <v>695</v>
      </c>
      <c r="C15" s="657">
        <v>0</v>
      </c>
      <c r="D15" s="657">
        <v>0</v>
      </c>
    </row>
    <row r="16" spans="1:4">
      <c r="A16" s="403">
        <v>3.4</v>
      </c>
      <c r="B16" s="404" t="s">
        <v>705</v>
      </c>
      <c r="C16" s="657">
        <v>0</v>
      </c>
      <c r="D16" s="657">
        <v>0</v>
      </c>
    </row>
    <row r="17" spans="1:4">
      <c r="A17" s="402">
        <v>3.5</v>
      </c>
      <c r="B17" s="404" t="s">
        <v>601</v>
      </c>
      <c r="C17" s="657">
        <v>83602.868732741204</v>
      </c>
      <c r="D17" s="657">
        <v>2583.0308909841187</v>
      </c>
    </row>
    <row r="18" spans="1:4">
      <c r="A18" s="403">
        <v>3.6</v>
      </c>
      <c r="B18" s="404" t="s">
        <v>602</v>
      </c>
      <c r="C18" s="657">
        <v>1978422</v>
      </c>
      <c r="D18" s="657">
        <v>0</v>
      </c>
    </row>
    <row r="19" spans="1:4">
      <c r="A19" s="405">
        <v>4</v>
      </c>
      <c r="B19" s="401" t="s">
        <v>603</v>
      </c>
      <c r="C19" s="655">
        <f>C6+C7-C12</f>
        <v>11197353.220000001</v>
      </c>
      <c r="D19" s="655">
        <f>D6+D7-D12</f>
        <v>539086.04333544616</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28515625" defaultRowHeight="12.75"/>
  <cols>
    <col min="1" max="1" width="11.7109375" style="396" bestFit="1" customWidth="1"/>
    <col min="2" max="2" width="124.7109375" style="396" customWidth="1"/>
    <col min="3" max="3" width="31.5703125" style="396"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44469</v>
      </c>
    </row>
    <row r="3" spans="1:4">
      <c r="A3" s="389" t="s">
        <v>604</v>
      </c>
    </row>
    <row r="4" spans="1:4">
      <c r="A4" s="389"/>
    </row>
    <row r="5" spans="1:4" ht="15" customHeight="1">
      <c r="A5" s="776" t="s">
        <v>707</v>
      </c>
      <c r="B5" s="777"/>
      <c r="C5" s="766" t="s">
        <v>605</v>
      </c>
      <c r="D5" s="780" t="s">
        <v>606</v>
      </c>
    </row>
    <row r="6" spans="1:4">
      <c r="A6" s="778"/>
      <c r="B6" s="779"/>
      <c r="C6" s="769"/>
      <c r="D6" s="780"/>
    </row>
    <row r="7" spans="1:4">
      <c r="A7" s="398">
        <v>1</v>
      </c>
      <c r="B7" s="398" t="s">
        <v>594</v>
      </c>
      <c r="C7" s="657">
        <v>5341641.8</v>
      </c>
      <c r="D7" s="446"/>
    </row>
    <row r="8" spans="1:4">
      <c r="A8" s="393">
        <v>2</v>
      </c>
      <c r="B8" s="393" t="s">
        <v>607</v>
      </c>
      <c r="C8" s="657">
        <v>7299868.6376562361</v>
      </c>
      <c r="D8" s="446"/>
    </row>
    <row r="9" spans="1:4">
      <c r="A9" s="393">
        <v>3</v>
      </c>
      <c r="B9" s="406" t="s">
        <v>608</v>
      </c>
      <c r="C9" s="657">
        <v>0</v>
      </c>
      <c r="D9" s="446"/>
    </row>
    <row r="10" spans="1:4">
      <c r="A10" s="393">
        <v>4</v>
      </c>
      <c r="B10" s="393" t="s">
        <v>609</v>
      </c>
      <c r="C10" s="658">
        <f>SUM(C11:C18)</f>
        <v>836148.13765623525</v>
      </c>
      <c r="D10" s="446"/>
    </row>
    <row r="11" spans="1:4">
      <c r="A11" s="393">
        <v>5</v>
      </c>
      <c r="B11" s="407" t="s">
        <v>610</v>
      </c>
      <c r="C11" s="657">
        <v>0</v>
      </c>
      <c r="D11" s="446"/>
    </row>
    <row r="12" spans="1:4">
      <c r="A12" s="393">
        <v>6</v>
      </c>
      <c r="B12" s="407" t="s">
        <v>611</v>
      </c>
      <c r="C12" s="657">
        <v>0</v>
      </c>
      <c r="D12" s="446"/>
    </row>
    <row r="13" spans="1:4">
      <c r="A13" s="393">
        <v>7</v>
      </c>
      <c r="B13" s="407" t="s">
        <v>612</v>
      </c>
      <c r="C13" s="657">
        <v>806528.81682435214</v>
      </c>
      <c r="D13" s="446"/>
    </row>
    <row r="14" spans="1:4">
      <c r="A14" s="393">
        <v>8</v>
      </c>
      <c r="B14" s="407" t="s">
        <v>613</v>
      </c>
      <c r="C14" s="657">
        <v>0</v>
      </c>
      <c r="D14" s="393"/>
    </row>
    <row r="15" spans="1:4">
      <c r="A15" s="393">
        <v>9</v>
      </c>
      <c r="B15" s="407" t="s">
        <v>614</v>
      </c>
      <c r="C15" s="657">
        <v>0</v>
      </c>
      <c r="D15" s="393"/>
    </row>
    <row r="16" spans="1:4">
      <c r="A16" s="393">
        <v>10</v>
      </c>
      <c r="B16" s="407" t="s">
        <v>615</v>
      </c>
      <c r="C16" s="657">
        <v>0</v>
      </c>
      <c r="D16" s="446"/>
    </row>
    <row r="17" spans="1:4">
      <c r="A17" s="393">
        <v>11</v>
      </c>
      <c r="B17" s="407" t="s">
        <v>616</v>
      </c>
      <c r="C17" s="657"/>
      <c r="D17" s="393"/>
    </row>
    <row r="18" spans="1:4">
      <c r="A18" s="393">
        <v>12</v>
      </c>
      <c r="B18" s="407" t="s">
        <v>733</v>
      </c>
      <c r="C18" s="657">
        <v>29619.32083188312</v>
      </c>
      <c r="D18" s="446"/>
    </row>
    <row r="19" spans="1:4">
      <c r="A19" s="398">
        <v>13</v>
      </c>
      <c r="B19" s="434" t="s">
        <v>603</v>
      </c>
      <c r="C19" s="655">
        <f>C7+C8+C9-C10</f>
        <v>11805362.299999999</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44469</v>
      </c>
      <c r="C2" s="426"/>
    </row>
    <row r="3" spans="1:22">
      <c r="A3" s="389" t="s">
        <v>617</v>
      </c>
    </row>
    <row r="5" spans="1:22" ht="15" customHeight="1">
      <c r="A5" s="766" t="s">
        <v>542</v>
      </c>
      <c r="B5" s="768"/>
      <c r="C5" s="783" t="s">
        <v>618</v>
      </c>
      <c r="D5" s="784"/>
      <c r="E5" s="784"/>
      <c r="F5" s="784"/>
      <c r="G5" s="784"/>
      <c r="H5" s="784"/>
      <c r="I5" s="784"/>
      <c r="J5" s="784"/>
      <c r="K5" s="784"/>
      <c r="L5" s="784"/>
      <c r="M5" s="784"/>
      <c r="N5" s="784"/>
      <c r="O5" s="784"/>
      <c r="P5" s="784"/>
      <c r="Q5" s="784"/>
      <c r="R5" s="784"/>
      <c r="S5" s="784"/>
      <c r="T5" s="784"/>
      <c r="U5" s="785"/>
      <c r="V5" s="435"/>
    </row>
    <row r="6" spans="1:22">
      <c r="A6" s="781"/>
      <c r="B6" s="782"/>
      <c r="C6" s="786" t="s">
        <v>109</v>
      </c>
      <c r="D6" s="788" t="s">
        <v>619</v>
      </c>
      <c r="E6" s="788"/>
      <c r="F6" s="773"/>
      <c r="G6" s="789" t="s">
        <v>620</v>
      </c>
      <c r="H6" s="790"/>
      <c r="I6" s="790"/>
      <c r="J6" s="790"/>
      <c r="K6" s="791"/>
      <c r="L6" s="422"/>
      <c r="M6" s="792" t="s">
        <v>621</v>
      </c>
      <c r="N6" s="792"/>
      <c r="O6" s="773"/>
      <c r="P6" s="773"/>
      <c r="Q6" s="773"/>
      <c r="R6" s="773"/>
      <c r="S6" s="773"/>
      <c r="T6" s="773"/>
      <c r="U6" s="773"/>
      <c r="V6" s="422"/>
    </row>
    <row r="7" spans="1:22" ht="25.5">
      <c r="A7" s="769"/>
      <c r="B7" s="771"/>
      <c r="C7" s="787"/>
      <c r="D7" s="436"/>
      <c r="E7" s="428" t="s">
        <v>622</v>
      </c>
      <c r="F7" s="428" t="s">
        <v>623</v>
      </c>
      <c r="G7" s="426"/>
      <c r="H7" s="428" t="s">
        <v>622</v>
      </c>
      <c r="I7" s="428" t="s">
        <v>624</v>
      </c>
      <c r="J7" s="428" t="s">
        <v>625</v>
      </c>
      <c r="K7" s="428" t="s">
        <v>626</v>
      </c>
      <c r="L7" s="421"/>
      <c r="M7" s="416" t="s">
        <v>627</v>
      </c>
      <c r="N7" s="428" t="s">
        <v>625</v>
      </c>
      <c r="O7" s="428" t="s">
        <v>628</v>
      </c>
      <c r="P7" s="428" t="s">
        <v>629</v>
      </c>
      <c r="Q7" s="428" t="s">
        <v>630</v>
      </c>
      <c r="R7" s="428" t="s">
        <v>631</v>
      </c>
      <c r="S7" s="428" t="s">
        <v>632</v>
      </c>
      <c r="T7" s="437" t="s">
        <v>633</v>
      </c>
      <c r="U7" s="428" t="s">
        <v>634</v>
      </c>
      <c r="V7" s="435"/>
    </row>
    <row r="8" spans="1:22">
      <c r="A8" s="438">
        <v>1</v>
      </c>
      <c r="B8" s="398" t="s">
        <v>635</v>
      </c>
      <c r="C8" s="660">
        <f>SUM(C9:C14)</f>
        <v>236479090.84000006</v>
      </c>
      <c r="D8" s="660">
        <f t="shared" ref="D8:U8" si="0">SUM(D9:D14)</f>
        <v>210430554.68000004</v>
      </c>
      <c r="E8" s="660">
        <f t="shared" si="0"/>
        <v>31647.83</v>
      </c>
      <c r="F8" s="660">
        <f t="shared" si="0"/>
        <v>84041.78</v>
      </c>
      <c r="G8" s="660">
        <f t="shared" si="0"/>
        <v>14243173.860000001</v>
      </c>
      <c r="H8" s="660">
        <f t="shared" si="0"/>
        <v>140775.95000000001</v>
      </c>
      <c r="I8" s="660">
        <f t="shared" si="0"/>
        <v>0</v>
      </c>
      <c r="J8" s="660">
        <f t="shared" si="0"/>
        <v>0</v>
      </c>
      <c r="K8" s="660">
        <f t="shared" si="0"/>
        <v>0</v>
      </c>
      <c r="L8" s="660">
        <f t="shared" si="0"/>
        <v>11805362.300000001</v>
      </c>
      <c r="M8" s="660">
        <f t="shared" si="0"/>
        <v>798093.87</v>
      </c>
      <c r="N8" s="660">
        <f t="shared" si="0"/>
        <v>0</v>
      </c>
      <c r="O8" s="660">
        <f t="shared" si="0"/>
        <v>44019.570000000007</v>
      </c>
      <c r="P8" s="660">
        <f t="shared" si="0"/>
        <v>7946.2600000000011</v>
      </c>
      <c r="Q8" s="660">
        <f t="shared" si="0"/>
        <v>2576.0100000000002</v>
      </c>
      <c r="R8" s="660">
        <f t="shared" si="0"/>
        <v>1825678.94</v>
      </c>
      <c r="S8" s="660">
        <f t="shared" si="0"/>
        <v>221553.96000000002</v>
      </c>
      <c r="T8" s="660">
        <f t="shared" si="0"/>
        <v>0</v>
      </c>
      <c r="U8" s="660">
        <f t="shared" si="0"/>
        <v>940521.5399999998</v>
      </c>
      <c r="V8" s="399"/>
    </row>
    <row r="9" spans="1:22">
      <c r="A9" s="393">
        <v>1.1000000000000001</v>
      </c>
      <c r="B9" s="418" t="s">
        <v>636</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637</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638</v>
      </c>
      <c r="C11" s="659">
        <v>3431140.88</v>
      </c>
      <c r="D11" s="657">
        <v>3431140.88</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639</v>
      </c>
      <c r="C12" s="659">
        <v>36722027.010000005</v>
      </c>
      <c r="D12" s="657">
        <v>36722027.010000005</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640</v>
      </c>
      <c r="C13" s="659">
        <v>189411960.64000005</v>
      </c>
      <c r="D13" s="657">
        <v>165581458.13000003</v>
      </c>
      <c r="E13" s="657">
        <v>0</v>
      </c>
      <c r="F13" s="657">
        <v>0</v>
      </c>
      <c r="G13" s="657">
        <v>13431152.960000001</v>
      </c>
      <c r="H13" s="657">
        <v>0</v>
      </c>
      <c r="I13" s="657">
        <v>0</v>
      </c>
      <c r="J13" s="657">
        <v>0</v>
      </c>
      <c r="K13" s="657">
        <v>0</v>
      </c>
      <c r="L13" s="657">
        <v>10399349.549999999</v>
      </c>
      <c r="M13" s="657">
        <v>689474.92999999993</v>
      </c>
      <c r="N13" s="657">
        <v>0</v>
      </c>
      <c r="O13" s="657">
        <v>0</v>
      </c>
      <c r="P13" s="657">
        <v>0</v>
      </c>
      <c r="Q13" s="657">
        <v>0</v>
      </c>
      <c r="R13" s="657">
        <v>1785266.68</v>
      </c>
      <c r="S13" s="657">
        <v>95826.83</v>
      </c>
      <c r="T13" s="657">
        <v>0</v>
      </c>
      <c r="U13" s="657">
        <v>431775.11</v>
      </c>
      <c r="V13" s="399"/>
    </row>
    <row r="14" spans="1:22">
      <c r="A14" s="393">
        <v>1.6</v>
      </c>
      <c r="B14" s="418" t="s">
        <v>641</v>
      </c>
      <c r="C14" s="659">
        <v>6913962.3099999968</v>
      </c>
      <c r="D14" s="657">
        <v>4695928.66</v>
      </c>
      <c r="E14" s="657">
        <v>31647.83</v>
      </c>
      <c r="F14" s="657">
        <v>84041.78</v>
      </c>
      <c r="G14" s="657">
        <v>812020.89999999991</v>
      </c>
      <c r="H14" s="657">
        <v>140775.95000000001</v>
      </c>
      <c r="I14" s="657">
        <v>0</v>
      </c>
      <c r="J14" s="657">
        <v>0</v>
      </c>
      <c r="K14" s="657">
        <v>0</v>
      </c>
      <c r="L14" s="657">
        <v>1406012.7500000009</v>
      </c>
      <c r="M14" s="657">
        <v>108618.94000000002</v>
      </c>
      <c r="N14" s="657">
        <v>0</v>
      </c>
      <c r="O14" s="657">
        <v>44019.570000000007</v>
      </c>
      <c r="P14" s="657">
        <v>7946.2600000000011</v>
      </c>
      <c r="Q14" s="657">
        <v>2576.0100000000002</v>
      </c>
      <c r="R14" s="657">
        <v>40412.259999999995</v>
      </c>
      <c r="S14" s="657">
        <v>125727.13</v>
      </c>
      <c r="T14" s="657">
        <v>0</v>
      </c>
      <c r="U14" s="657">
        <v>508746.42999999988</v>
      </c>
      <c r="V14" s="399"/>
    </row>
    <row r="15" spans="1:22">
      <c r="A15" s="438">
        <v>2</v>
      </c>
      <c r="B15" s="398" t="s">
        <v>642</v>
      </c>
      <c r="C15" s="660">
        <f>SUM(C16:C21)</f>
        <v>34272802.942925081</v>
      </c>
      <c r="D15" s="660">
        <f t="shared" ref="D15" si="1">SUM(D16:D21)</f>
        <v>34272802.942925081</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636</v>
      </c>
      <c r="C16" s="659">
        <v>977005.83</v>
      </c>
      <c r="D16" s="657">
        <v>977005.83</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637</v>
      </c>
      <c r="C17" s="659">
        <v>16138992.45468363</v>
      </c>
      <c r="D17" s="657">
        <v>16138992.45468363</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638</v>
      </c>
      <c r="C18" s="659"/>
      <c r="D18" s="657"/>
      <c r="E18" s="657"/>
      <c r="F18" s="657"/>
      <c r="G18" s="657"/>
      <c r="H18" s="657"/>
      <c r="I18" s="657"/>
      <c r="J18" s="657"/>
      <c r="K18" s="657"/>
      <c r="L18" s="657"/>
      <c r="M18" s="657"/>
      <c r="N18" s="657"/>
      <c r="O18" s="657"/>
      <c r="P18" s="657"/>
      <c r="Q18" s="657"/>
      <c r="R18" s="657"/>
      <c r="S18" s="657"/>
      <c r="T18" s="657"/>
      <c r="U18" s="657"/>
      <c r="V18" s="399"/>
    </row>
    <row r="19" spans="1:22">
      <c r="A19" s="393">
        <v>2.4</v>
      </c>
      <c r="B19" s="418" t="s">
        <v>639</v>
      </c>
      <c r="C19" s="659"/>
      <c r="D19" s="657"/>
      <c r="E19" s="657"/>
      <c r="F19" s="657"/>
      <c r="G19" s="657"/>
      <c r="H19" s="657"/>
      <c r="I19" s="657"/>
      <c r="J19" s="657"/>
      <c r="K19" s="657"/>
      <c r="L19" s="657"/>
      <c r="M19" s="657"/>
      <c r="N19" s="657"/>
      <c r="O19" s="657"/>
      <c r="P19" s="657"/>
      <c r="Q19" s="657"/>
      <c r="R19" s="657"/>
      <c r="S19" s="657"/>
      <c r="T19" s="657"/>
      <c r="U19" s="657"/>
      <c r="V19" s="399"/>
    </row>
    <row r="20" spans="1:22">
      <c r="A20" s="393">
        <v>2.5</v>
      </c>
      <c r="B20" s="418" t="s">
        <v>640</v>
      </c>
      <c r="C20" s="659">
        <v>17156804.658241455</v>
      </c>
      <c r="D20" s="657">
        <v>17156804.658241455</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641</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697</v>
      </c>
      <c r="C22" s="660">
        <f>SUM(C23:C28)</f>
        <v>112031905.83000001</v>
      </c>
      <c r="D22" s="660">
        <f t="shared" ref="D22" si="19">SUM(D23:D28)</f>
        <v>111622352.81</v>
      </c>
      <c r="E22" s="660">
        <f t="shared" ref="E22" si="20">SUM(E23:E28)</f>
        <v>0</v>
      </c>
      <c r="F22" s="674"/>
      <c r="G22" s="660">
        <f t="shared" ref="G22" si="21">SUM(G23:G28)</f>
        <v>374736</v>
      </c>
      <c r="H22" s="674"/>
      <c r="I22" s="674"/>
      <c r="J22" s="674"/>
      <c r="K22" s="674"/>
      <c r="L22" s="660">
        <f t="shared" ref="L22" si="22">SUM(L23:L28)</f>
        <v>0</v>
      </c>
      <c r="M22" s="674"/>
      <c r="N22" s="674"/>
      <c r="O22" s="674"/>
      <c r="P22" s="674"/>
      <c r="Q22" s="674"/>
      <c r="R22" s="674"/>
      <c r="S22" s="674"/>
      <c r="T22" s="674"/>
      <c r="U22" s="660">
        <f t="shared" ref="U22" si="23">SUM(U23:U28)</f>
        <v>0</v>
      </c>
      <c r="V22" s="399"/>
    </row>
    <row r="23" spans="1:22">
      <c r="A23" s="393">
        <v>3.1</v>
      </c>
      <c r="B23" s="418" t="s">
        <v>636</v>
      </c>
      <c r="C23" s="659"/>
      <c r="D23" s="657"/>
      <c r="E23" s="657"/>
      <c r="F23" s="674"/>
      <c r="G23" s="657"/>
      <c r="H23" s="674"/>
      <c r="I23" s="674"/>
      <c r="J23" s="674"/>
      <c r="K23" s="674"/>
      <c r="L23" s="657"/>
      <c r="M23" s="674"/>
      <c r="N23" s="674"/>
      <c r="O23" s="674"/>
      <c r="P23" s="674"/>
      <c r="Q23" s="674"/>
      <c r="R23" s="674"/>
      <c r="S23" s="674"/>
      <c r="T23" s="674"/>
      <c r="U23" s="657"/>
      <c r="V23" s="399"/>
    </row>
    <row r="24" spans="1:22">
      <c r="A24" s="393">
        <v>3.2</v>
      </c>
      <c r="B24" s="418" t="s">
        <v>637</v>
      </c>
      <c r="C24" s="659"/>
      <c r="D24" s="657"/>
      <c r="E24" s="657"/>
      <c r="F24" s="674"/>
      <c r="G24" s="657"/>
      <c r="H24" s="674"/>
      <c r="I24" s="674"/>
      <c r="J24" s="674"/>
      <c r="K24" s="674"/>
      <c r="L24" s="657"/>
      <c r="M24" s="674"/>
      <c r="N24" s="674"/>
      <c r="O24" s="674"/>
      <c r="P24" s="674"/>
      <c r="Q24" s="674"/>
      <c r="R24" s="674"/>
      <c r="S24" s="674"/>
      <c r="T24" s="674"/>
      <c r="U24" s="657"/>
      <c r="V24" s="399"/>
    </row>
    <row r="25" spans="1:22">
      <c r="A25" s="393">
        <v>3.3</v>
      </c>
      <c r="B25" s="418" t="s">
        <v>638</v>
      </c>
      <c r="C25" s="659">
        <v>76729129.140000001</v>
      </c>
      <c r="D25" s="657">
        <v>76729129.140000001</v>
      </c>
      <c r="E25" s="657"/>
      <c r="F25" s="674"/>
      <c r="G25" s="657">
        <v>0</v>
      </c>
      <c r="H25" s="674"/>
      <c r="I25" s="674"/>
      <c r="J25" s="674"/>
      <c r="K25" s="674"/>
      <c r="L25" s="657">
        <v>0</v>
      </c>
      <c r="M25" s="674"/>
      <c r="N25" s="674"/>
      <c r="O25" s="674"/>
      <c r="P25" s="674"/>
      <c r="Q25" s="674"/>
      <c r="R25" s="674"/>
      <c r="S25" s="674"/>
      <c r="T25" s="674"/>
      <c r="U25" s="657">
        <v>0</v>
      </c>
      <c r="V25" s="399"/>
    </row>
    <row r="26" spans="1:22">
      <c r="A26" s="393">
        <v>3.4</v>
      </c>
      <c r="B26" s="418" t="s">
        <v>639</v>
      </c>
      <c r="C26" s="659">
        <v>0</v>
      </c>
      <c r="D26" s="657">
        <v>0</v>
      </c>
      <c r="E26" s="657"/>
      <c r="F26" s="674"/>
      <c r="G26" s="657">
        <v>0</v>
      </c>
      <c r="H26" s="674"/>
      <c r="I26" s="674"/>
      <c r="J26" s="674"/>
      <c r="K26" s="674"/>
      <c r="L26" s="657">
        <v>0</v>
      </c>
      <c r="M26" s="674"/>
      <c r="N26" s="674"/>
      <c r="O26" s="674"/>
      <c r="P26" s="674"/>
      <c r="Q26" s="674"/>
      <c r="R26" s="674"/>
      <c r="S26" s="674"/>
      <c r="T26" s="674"/>
      <c r="U26" s="657">
        <v>0</v>
      </c>
      <c r="V26" s="399"/>
    </row>
    <row r="27" spans="1:22">
      <c r="A27" s="393">
        <v>3.5</v>
      </c>
      <c r="B27" s="418" t="s">
        <v>640</v>
      </c>
      <c r="C27" s="659">
        <v>35136918.510000005</v>
      </c>
      <c r="D27" s="657">
        <v>34762182.510000005</v>
      </c>
      <c r="E27" s="657"/>
      <c r="F27" s="674"/>
      <c r="G27" s="657">
        <v>374736</v>
      </c>
      <c r="H27" s="674"/>
      <c r="I27" s="674"/>
      <c r="J27" s="674"/>
      <c r="K27" s="674"/>
      <c r="L27" s="657">
        <v>0</v>
      </c>
      <c r="M27" s="674"/>
      <c r="N27" s="674"/>
      <c r="O27" s="674"/>
      <c r="P27" s="674"/>
      <c r="Q27" s="674"/>
      <c r="R27" s="674"/>
      <c r="S27" s="674"/>
      <c r="T27" s="674"/>
      <c r="U27" s="657">
        <v>0</v>
      </c>
      <c r="V27" s="399"/>
    </row>
    <row r="28" spans="1:22">
      <c r="A28" s="393">
        <v>3.6</v>
      </c>
      <c r="B28" s="418" t="s">
        <v>641</v>
      </c>
      <c r="C28" s="659">
        <v>165858.18</v>
      </c>
      <c r="D28" s="657">
        <v>131041.16</v>
      </c>
      <c r="E28" s="657"/>
      <c r="F28" s="674"/>
      <c r="G28" s="657">
        <v>0</v>
      </c>
      <c r="H28" s="674"/>
      <c r="I28" s="674"/>
      <c r="J28" s="674"/>
      <c r="K28" s="674"/>
      <c r="L28" s="657">
        <v>0</v>
      </c>
      <c r="M28" s="674"/>
      <c r="N28" s="674"/>
      <c r="O28" s="674"/>
      <c r="P28" s="674"/>
      <c r="Q28" s="674"/>
      <c r="R28" s="674"/>
      <c r="S28" s="674"/>
      <c r="T28" s="674"/>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44469</v>
      </c>
      <c r="C2" s="423"/>
    </row>
    <row r="3" spans="1:21">
      <c r="A3" s="389" t="s">
        <v>644</v>
      </c>
    </row>
    <row r="5" spans="1:21" ht="13.5" customHeight="1">
      <c r="A5" s="793" t="s">
        <v>645</v>
      </c>
      <c r="B5" s="794"/>
      <c r="C5" s="802" t="s">
        <v>646</v>
      </c>
      <c r="D5" s="803"/>
      <c r="E5" s="803"/>
      <c r="F5" s="803"/>
      <c r="G5" s="803"/>
      <c r="H5" s="803"/>
      <c r="I5" s="803"/>
      <c r="J5" s="803"/>
      <c r="K5" s="803"/>
      <c r="L5" s="803"/>
      <c r="M5" s="803"/>
      <c r="N5" s="803"/>
      <c r="O5" s="803"/>
      <c r="P5" s="803"/>
      <c r="Q5" s="803"/>
      <c r="R5" s="803"/>
      <c r="S5" s="803"/>
      <c r="T5" s="804"/>
      <c r="U5" s="435"/>
    </row>
    <row r="6" spans="1:21">
      <c r="A6" s="795"/>
      <c r="B6" s="796"/>
      <c r="C6" s="786" t="s">
        <v>109</v>
      </c>
      <c r="D6" s="799" t="s">
        <v>647</v>
      </c>
      <c r="E6" s="799"/>
      <c r="F6" s="800"/>
      <c r="G6" s="801" t="s">
        <v>648</v>
      </c>
      <c r="H6" s="799"/>
      <c r="I6" s="799"/>
      <c r="J6" s="799"/>
      <c r="K6" s="800"/>
      <c r="L6" s="789" t="s">
        <v>649</v>
      </c>
      <c r="M6" s="790"/>
      <c r="N6" s="790"/>
      <c r="O6" s="790"/>
      <c r="P6" s="790"/>
      <c r="Q6" s="790"/>
      <c r="R6" s="790"/>
      <c r="S6" s="790"/>
      <c r="T6" s="791"/>
      <c r="U6" s="422"/>
    </row>
    <row r="7" spans="1:21">
      <c r="A7" s="797"/>
      <c r="B7" s="798"/>
      <c r="C7" s="787"/>
      <c r="E7" s="416" t="s">
        <v>622</v>
      </c>
      <c r="F7" s="428" t="s">
        <v>623</v>
      </c>
      <c r="H7" s="416" t="s">
        <v>622</v>
      </c>
      <c r="I7" s="428" t="s">
        <v>624</v>
      </c>
      <c r="J7" s="428" t="s">
        <v>625</v>
      </c>
      <c r="K7" s="428" t="s">
        <v>626</v>
      </c>
      <c r="L7" s="439"/>
      <c r="M7" s="416" t="s">
        <v>627</v>
      </c>
      <c r="N7" s="428" t="s">
        <v>625</v>
      </c>
      <c r="O7" s="428" t="s">
        <v>628</v>
      </c>
      <c r="P7" s="428" t="s">
        <v>629</v>
      </c>
      <c r="Q7" s="428" t="s">
        <v>630</v>
      </c>
      <c r="R7" s="428" t="s">
        <v>631</v>
      </c>
      <c r="S7" s="428" t="s">
        <v>632</v>
      </c>
      <c r="T7" s="437" t="s">
        <v>633</v>
      </c>
      <c r="U7" s="435"/>
    </row>
    <row r="8" spans="1:21">
      <c r="A8" s="439">
        <v>1</v>
      </c>
      <c r="B8" s="434" t="s">
        <v>635</v>
      </c>
      <c r="C8" s="666">
        <v>227525963.69999996</v>
      </c>
      <c r="D8" s="657">
        <v>206961047.76999995</v>
      </c>
      <c r="E8" s="657">
        <v>207.86</v>
      </c>
      <c r="F8" s="657">
        <v>0</v>
      </c>
      <c r="G8" s="657">
        <v>15223274.129999999</v>
      </c>
      <c r="H8" s="657">
        <v>218918.16</v>
      </c>
      <c r="I8" s="657">
        <v>0</v>
      </c>
      <c r="J8" s="657">
        <v>0</v>
      </c>
      <c r="K8" s="657">
        <v>0</v>
      </c>
      <c r="L8" s="657">
        <v>5341641.8</v>
      </c>
      <c r="M8" s="657">
        <v>796923.36</v>
      </c>
      <c r="N8" s="657">
        <v>14156.31</v>
      </c>
      <c r="O8" s="657">
        <v>33262.369999999995</v>
      </c>
      <c r="P8" s="657">
        <v>153922.97999999989</v>
      </c>
      <c r="Q8" s="657">
        <v>12013.75</v>
      </c>
      <c r="R8" s="657">
        <v>1878631.0799999998</v>
      </c>
      <c r="S8" s="657">
        <v>192403.22999999998</v>
      </c>
      <c r="T8" s="657">
        <v>0</v>
      </c>
      <c r="U8" s="399"/>
    </row>
    <row r="9" spans="1:21">
      <c r="A9" s="418">
        <v>1.1000000000000001</v>
      </c>
      <c r="B9" s="418" t="s">
        <v>650</v>
      </c>
      <c r="C9" s="659">
        <v>177042046.78999999</v>
      </c>
      <c r="D9" s="657">
        <v>151198717.87000006</v>
      </c>
      <c r="E9" s="657">
        <v>0</v>
      </c>
      <c r="F9" s="657">
        <v>84041.78</v>
      </c>
      <c r="G9" s="657">
        <v>14242515.390000001</v>
      </c>
      <c r="H9" s="657">
        <v>140775.95000000001</v>
      </c>
      <c r="I9" s="657">
        <v>0</v>
      </c>
      <c r="J9" s="657">
        <v>0</v>
      </c>
      <c r="K9" s="657">
        <v>0</v>
      </c>
      <c r="L9" s="657">
        <v>11600813.530000003</v>
      </c>
      <c r="M9" s="657">
        <v>796785.99999999988</v>
      </c>
      <c r="N9" s="657">
        <v>0</v>
      </c>
      <c r="O9" s="657">
        <v>44019.57</v>
      </c>
      <c r="P9" s="657">
        <v>3556.0299999999993</v>
      </c>
      <c r="Q9" s="657">
        <v>151.5</v>
      </c>
      <c r="R9" s="657">
        <v>1798262.18</v>
      </c>
      <c r="S9" s="657">
        <v>142747.98000000001</v>
      </c>
      <c r="T9" s="657">
        <v>0</v>
      </c>
      <c r="U9" s="399"/>
    </row>
    <row r="10" spans="1:21">
      <c r="A10" s="440" t="s">
        <v>14</v>
      </c>
      <c r="B10" s="440" t="s">
        <v>651</v>
      </c>
      <c r="C10" s="667">
        <v>120405900.92999993</v>
      </c>
      <c r="D10" s="657">
        <v>104866299.12999992</v>
      </c>
      <c r="E10" s="657">
        <v>0</v>
      </c>
      <c r="F10" s="657">
        <v>0</v>
      </c>
      <c r="G10" s="657">
        <v>4398762.8100000005</v>
      </c>
      <c r="H10" s="657">
        <v>140775.95000000001</v>
      </c>
      <c r="I10" s="657">
        <v>0</v>
      </c>
      <c r="J10" s="657">
        <v>0</v>
      </c>
      <c r="K10" s="657">
        <v>0</v>
      </c>
      <c r="L10" s="657">
        <v>11140838.990000002</v>
      </c>
      <c r="M10" s="657">
        <v>796785.99999999988</v>
      </c>
      <c r="N10" s="657">
        <v>0</v>
      </c>
      <c r="O10" s="657">
        <v>44019.57</v>
      </c>
      <c r="P10" s="657">
        <v>0</v>
      </c>
      <c r="Q10" s="657">
        <v>0</v>
      </c>
      <c r="R10" s="657">
        <v>1777277.04</v>
      </c>
      <c r="S10" s="657">
        <v>0</v>
      </c>
      <c r="T10" s="657">
        <v>0</v>
      </c>
      <c r="U10" s="399"/>
    </row>
    <row r="11" spans="1:21">
      <c r="A11" s="408" t="s">
        <v>652</v>
      </c>
      <c r="B11" s="408" t="s">
        <v>653</v>
      </c>
      <c r="C11" s="668">
        <v>81772376.159999967</v>
      </c>
      <c r="D11" s="657">
        <v>66293421.57</v>
      </c>
      <c r="E11" s="657">
        <v>0</v>
      </c>
      <c r="F11" s="657">
        <v>0</v>
      </c>
      <c r="G11" s="657">
        <v>4398762.8100000005</v>
      </c>
      <c r="H11" s="657">
        <v>140775.95000000001</v>
      </c>
      <c r="I11" s="657">
        <v>0</v>
      </c>
      <c r="J11" s="657">
        <v>0</v>
      </c>
      <c r="K11" s="657">
        <v>0</v>
      </c>
      <c r="L11" s="657">
        <v>11080191.780000001</v>
      </c>
      <c r="M11" s="657">
        <v>796785.99999999988</v>
      </c>
      <c r="N11" s="657">
        <v>0</v>
      </c>
      <c r="O11" s="657">
        <v>44019.57</v>
      </c>
      <c r="P11" s="657">
        <v>0</v>
      </c>
      <c r="Q11" s="657">
        <v>0</v>
      </c>
      <c r="R11" s="657">
        <v>1777277.04</v>
      </c>
      <c r="S11" s="657">
        <v>0</v>
      </c>
      <c r="T11" s="657">
        <v>0</v>
      </c>
      <c r="U11" s="399"/>
    </row>
    <row r="12" spans="1:21">
      <c r="A12" s="408" t="s">
        <v>654</v>
      </c>
      <c r="B12" s="408" t="s">
        <v>655</v>
      </c>
      <c r="C12" s="668">
        <v>3024198.47</v>
      </c>
      <c r="D12" s="657">
        <v>3024198.47</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656</v>
      </c>
      <c r="B13" s="408" t="s">
        <v>657</v>
      </c>
      <c r="C13" s="668">
        <v>4898675.9800000004</v>
      </c>
      <c r="D13" s="657">
        <v>4898675.9800000004</v>
      </c>
      <c r="E13" s="657">
        <v>0</v>
      </c>
      <c r="F13" s="657">
        <v>0</v>
      </c>
      <c r="G13" s="657">
        <v>0</v>
      </c>
      <c r="H13" s="657">
        <v>0</v>
      </c>
      <c r="I13" s="657">
        <v>0</v>
      </c>
      <c r="J13" s="657">
        <v>0</v>
      </c>
      <c r="K13" s="657">
        <v>0</v>
      </c>
      <c r="L13" s="657">
        <v>0</v>
      </c>
      <c r="M13" s="657">
        <v>0</v>
      </c>
      <c r="N13" s="657">
        <v>0</v>
      </c>
      <c r="O13" s="657">
        <v>0</v>
      </c>
      <c r="P13" s="657">
        <v>0</v>
      </c>
      <c r="Q13" s="657">
        <v>0</v>
      </c>
      <c r="R13" s="657">
        <v>0</v>
      </c>
      <c r="S13" s="657">
        <v>0</v>
      </c>
      <c r="T13" s="657">
        <v>0</v>
      </c>
      <c r="U13" s="399"/>
    </row>
    <row r="14" spans="1:21">
      <c r="A14" s="408" t="s">
        <v>658</v>
      </c>
      <c r="B14" s="408" t="s">
        <v>659</v>
      </c>
      <c r="C14" s="668">
        <v>30710650.32</v>
      </c>
      <c r="D14" s="657">
        <v>30650003.109999999</v>
      </c>
      <c r="E14" s="657">
        <v>0</v>
      </c>
      <c r="F14" s="657">
        <v>0</v>
      </c>
      <c r="G14" s="657">
        <v>0</v>
      </c>
      <c r="H14" s="657">
        <v>0</v>
      </c>
      <c r="I14" s="657">
        <v>0</v>
      </c>
      <c r="J14" s="657">
        <v>0</v>
      </c>
      <c r="K14" s="657">
        <v>0</v>
      </c>
      <c r="L14" s="657">
        <v>60647.21</v>
      </c>
      <c r="M14" s="657">
        <v>0</v>
      </c>
      <c r="N14" s="657">
        <v>0</v>
      </c>
      <c r="O14" s="657">
        <v>0</v>
      </c>
      <c r="P14" s="657">
        <v>0</v>
      </c>
      <c r="Q14" s="657">
        <v>0</v>
      </c>
      <c r="R14" s="657">
        <v>0</v>
      </c>
      <c r="S14" s="657">
        <v>0</v>
      </c>
      <c r="T14" s="657">
        <v>0</v>
      </c>
      <c r="U14" s="399"/>
    </row>
    <row r="15" spans="1:21">
      <c r="A15" s="409">
        <v>1.2</v>
      </c>
      <c r="B15" s="409" t="s">
        <v>660</v>
      </c>
      <c r="C15" s="659">
        <v>8464844.818400003</v>
      </c>
      <c r="D15" s="657">
        <v>3023974.3573999996</v>
      </c>
      <c r="E15" s="657">
        <v>0</v>
      </c>
      <c r="F15" s="657">
        <v>1680.8355999999999</v>
      </c>
      <c r="G15" s="657">
        <v>1424251.5389999996</v>
      </c>
      <c r="H15" s="657">
        <v>14077.594999999999</v>
      </c>
      <c r="I15" s="657">
        <v>0</v>
      </c>
      <c r="J15" s="657">
        <v>0</v>
      </c>
      <c r="K15" s="657">
        <v>0</v>
      </c>
      <c r="L15" s="657">
        <v>4016618.9219999989</v>
      </c>
      <c r="M15" s="657">
        <v>241336.31599999999</v>
      </c>
      <c r="N15" s="657">
        <v>0</v>
      </c>
      <c r="O15" s="657">
        <v>44019.57</v>
      </c>
      <c r="P15" s="657">
        <v>3556.0299999999993</v>
      </c>
      <c r="Q15" s="657">
        <v>151.5</v>
      </c>
      <c r="R15" s="657">
        <v>554168.25200000009</v>
      </c>
      <c r="S15" s="657">
        <v>142747.98000000001</v>
      </c>
      <c r="T15" s="657">
        <v>0</v>
      </c>
      <c r="U15" s="399"/>
    </row>
    <row r="16" spans="1:21">
      <c r="A16" s="441">
        <v>1.3</v>
      </c>
      <c r="B16" s="409" t="s">
        <v>708</v>
      </c>
      <c r="C16" s="675"/>
      <c r="D16" s="675"/>
      <c r="E16" s="675"/>
      <c r="F16" s="675"/>
      <c r="G16" s="675"/>
      <c r="H16" s="675"/>
      <c r="I16" s="675"/>
      <c r="J16" s="675"/>
      <c r="K16" s="675"/>
      <c r="L16" s="675"/>
      <c r="M16" s="675"/>
      <c r="N16" s="675"/>
      <c r="O16" s="675"/>
      <c r="P16" s="675"/>
      <c r="Q16" s="675"/>
      <c r="R16" s="675"/>
      <c r="S16" s="675"/>
      <c r="T16" s="675"/>
      <c r="U16" s="399"/>
    </row>
    <row r="17" spans="1:21">
      <c r="A17" s="412" t="s">
        <v>661</v>
      </c>
      <c r="B17" s="410" t="s">
        <v>662</v>
      </c>
      <c r="C17" s="669">
        <v>173381674.56361383</v>
      </c>
      <c r="D17" s="657">
        <v>147543925.91984624</v>
      </c>
      <c r="E17" s="657">
        <v>0</v>
      </c>
      <c r="F17" s="657">
        <v>84041.78</v>
      </c>
      <c r="G17" s="657">
        <v>14238182.323767619</v>
      </c>
      <c r="H17" s="657">
        <v>140775.95000000001</v>
      </c>
      <c r="I17" s="657">
        <v>0</v>
      </c>
      <c r="J17" s="657">
        <v>0</v>
      </c>
      <c r="K17" s="657">
        <v>0</v>
      </c>
      <c r="L17" s="657">
        <v>11599566.320000002</v>
      </c>
      <c r="M17" s="657">
        <v>796785.99999999988</v>
      </c>
      <c r="N17" s="657">
        <v>0</v>
      </c>
      <c r="O17" s="657">
        <v>44019.57</v>
      </c>
      <c r="P17" s="657">
        <v>3556.0299999999993</v>
      </c>
      <c r="Q17" s="657">
        <v>151.5</v>
      </c>
      <c r="R17" s="657">
        <v>1798262.18</v>
      </c>
      <c r="S17" s="657">
        <v>142747.98000000001</v>
      </c>
      <c r="T17" s="657">
        <v>0</v>
      </c>
      <c r="U17" s="399"/>
    </row>
    <row r="18" spans="1:21">
      <c r="A18" s="411" t="s">
        <v>663</v>
      </c>
      <c r="B18" s="411" t="s">
        <v>664</v>
      </c>
      <c r="C18" s="670">
        <v>98242243.044955119</v>
      </c>
      <c r="D18" s="657">
        <v>82703888.454955131</v>
      </c>
      <c r="E18" s="657">
        <v>0</v>
      </c>
      <c r="F18" s="657">
        <v>0</v>
      </c>
      <c r="G18" s="657">
        <v>4398762.8100000005</v>
      </c>
      <c r="H18" s="657">
        <v>140775.95000000001</v>
      </c>
      <c r="I18" s="657">
        <v>0</v>
      </c>
      <c r="J18" s="657">
        <v>0</v>
      </c>
      <c r="K18" s="657">
        <v>0</v>
      </c>
      <c r="L18" s="657">
        <v>11139591.780000001</v>
      </c>
      <c r="M18" s="657">
        <v>796785.99999999988</v>
      </c>
      <c r="N18" s="657">
        <v>0</v>
      </c>
      <c r="O18" s="657">
        <v>44019.57</v>
      </c>
      <c r="P18" s="657">
        <v>0</v>
      </c>
      <c r="Q18" s="657">
        <v>0</v>
      </c>
      <c r="R18" s="657">
        <v>1777277.04</v>
      </c>
      <c r="S18" s="657">
        <v>0</v>
      </c>
      <c r="T18" s="657">
        <v>0</v>
      </c>
      <c r="U18" s="399"/>
    </row>
    <row r="19" spans="1:21">
      <c r="A19" s="412" t="s">
        <v>665</v>
      </c>
      <c r="B19" s="412" t="s">
        <v>666</v>
      </c>
      <c r="C19" s="671">
        <v>160335950.37551472</v>
      </c>
      <c r="D19" s="657">
        <v>128130485.51566912</v>
      </c>
      <c r="E19" s="657">
        <v>0</v>
      </c>
      <c r="F19" s="657">
        <v>0</v>
      </c>
      <c r="G19" s="657">
        <v>10956261.456444059</v>
      </c>
      <c r="H19" s="657">
        <v>1361934.1468000002</v>
      </c>
      <c r="I19" s="657">
        <v>0</v>
      </c>
      <c r="J19" s="657">
        <v>0</v>
      </c>
      <c r="K19" s="657">
        <v>0</v>
      </c>
      <c r="L19" s="657">
        <v>21249203.403401621</v>
      </c>
      <c r="M19" s="657">
        <v>4717050.8699999992</v>
      </c>
      <c r="N19" s="657">
        <v>0</v>
      </c>
      <c r="O19" s="657">
        <v>286997.23</v>
      </c>
      <c r="P19" s="657">
        <v>0</v>
      </c>
      <c r="Q19" s="657">
        <v>39666.18</v>
      </c>
      <c r="R19" s="657">
        <v>3975324.3999999994</v>
      </c>
      <c r="S19" s="657">
        <v>0</v>
      </c>
      <c r="T19" s="657">
        <v>0</v>
      </c>
      <c r="U19" s="399"/>
    </row>
    <row r="20" spans="1:21">
      <c r="A20" s="411" t="s">
        <v>667</v>
      </c>
      <c r="B20" s="411" t="s">
        <v>664</v>
      </c>
      <c r="C20" s="670">
        <v>109599469.46648826</v>
      </c>
      <c r="D20" s="657">
        <v>86319533.78129074</v>
      </c>
      <c r="E20" s="657">
        <v>0</v>
      </c>
      <c r="F20" s="657">
        <v>0</v>
      </c>
      <c r="G20" s="657">
        <v>5127167.592477533</v>
      </c>
      <c r="H20" s="657">
        <v>1361934.1468000002</v>
      </c>
      <c r="I20" s="657">
        <v>0</v>
      </c>
      <c r="J20" s="657">
        <v>0</v>
      </c>
      <c r="K20" s="657">
        <v>0</v>
      </c>
      <c r="L20" s="657">
        <v>18152768.092720002</v>
      </c>
      <c r="M20" s="657">
        <v>4016073.36</v>
      </c>
      <c r="N20" s="657">
        <v>0</v>
      </c>
      <c r="O20" s="657">
        <v>286997.23</v>
      </c>
      <c r="P20" s="657">
        <v>0</v>
      </c>
      <c r="Q20" s="657">
        <v>0</v>
      </c>
      <c r="R20" s="657">
        <v>2198047.3599999989</v>
      </c>
      <c r="S20" s="657">
        <v>0</v>
      </c>
      <c r="T20" s="657">
        <v>0</v>
      </c>
      <c r="U20" s="399"/>
    </row>
    <row r="21" spans="1:21">
      <c r="A21" s="413">
        <v>1.4</v>
      </c>
      <c r="B21" s="414" t="s">
        <v>668</v>
      </c>
      <c r="C21" s="672"/>
      <c r="D21" s="657"/>
      <c r="E21" s="657"/>
      <c r="F21" s="657"/>
      <c r="G21" s="657"/>
      <c r="H21" s="657"/>
      <c r="I21" s="657"/>
      <c r="J21" s="657"/>
      <c r="K21" s="657"/>
      <c r="L21" s="657"/>
      <c r="M21" s="657"/>
      <c r="N21" s="657"/>
      <c r="O21" s="657"/>
      <c r="P21" s="657"/>
      <c r="Q21" s="657"/>
      <c r="R21" s="657"/>
      <c r="S21" s="657"/>
      <c r="T21" s="657"/>
      <c r="U21" s="399"/>
    </row>
    <row r="22" spans="1:21">
      <c r="A22" s="413">
        <v>1.5</v>
      </c>
      <c r="B22" s="414" t="s">
        <v>669</v>
      </c>
      <c r="C22" s="672"/>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28515625" defaultRowHeight="12.75"/>
  <cols>
    <col min="1" max="1" width="11.7109375" style="396" bestFit="1" customWidth="1"/>
    <col min="2" max="2" width="93.42578125" style="396"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44469</v>
      </c>
      <c r="F2" s="396"/>
      <c r="G2" s="396"/>
      <c r="J2" s="396"/>
      <c r="K2" s="396"/>
      <c r="L2" s="396"/>
      <c r="M2" s="396"/>
      <c r="N2" s="396"/>
    </row>
    <row r="3" spans="1:15">
      <c r="A3" s="389" t="s">
        <v>670</v>
      </c>
      <c r="F3" s="396"/>
      <c r="G3" s="396"/>
      <c r="J3" s="396"/>
      <c r="K3" s="396"/>
      <c r="L3" s="396"/>
      <c r="M3" s="396"/>
      <c r="N3" s="396"/>
    </row>
    <row r="4" spans="1:15">
      <c r="F4" s="396"/>
      <c r="G4" s="396"/>
      <c r="J4" s="396"/>
      <c r="K4" s="396"/>
      <c r="L4" s="396"/>
      <c r="M4" s="396"/>
      <c r="N4" s="396"/>
    </row>
    <row r="5" spans="1:15" ht="46.5" customHeight="1">
      <c r="A5" s="760" t="s">
        <v>696</v>
      </c>
      <c r="B5" s="761"/>
      <c r="C5" s="805" t="s">
        <v>671</v>
      </c>
      <c r="D5" s="806"/>
      <c r="E5" s="806"/>
      <c r="F5" s="806"/>
      <c r="G5" s="806"/>
      <c r="H5" s="807"/>
      <c r="I5" s="805" t="s">
        <v>672</v>
      </c>
      <c r="J5" s="808"/>
      <c r="K5" s="808"/>
      <c r="L5" s="808"/>
      <c r="M5" s="808"/>
      <c r="N5" s="809"/>
      <c r="O5" s="810" t="s">
        <v>673</v>
      </c>
    </row>
    <row r="6" spans="1:15" ht="75" customHeight="1">
      <c r="A6" s="764"/>
      <c r="B6" s="765"/>
      <c r="C6" s="415"/>
      <c r="D6" s="416" t="s">
        <v>674</v>
      </c>
      <c r="E6" s="416" t="s">
        <v>675</v>
      </c>
      <c r="F6" s="416" t="s">
        <v>676</v>
      </c>
      <c r="G6" s="416" t="s">
        <v>677</v>
      </c>
      <c r="H6" s="416" t="s">
        <v>678</v>
      </c>
      <c r="I6" s="421"/>
      <c r="J6" s="416" t="s">
        <v>674</v>
      </c>
      <c r="K6" s="416" t="s">
        <v>675</v>
      </c>
      <c r="L6" s="416" t="s">
        <v>676</v>
      </c>
      <c r="M6" s="416" t="s">
        <v>677</v>
      </c>
      <c r="N6" s="416" t="s">
        <v>678</v>
      </c>
      <c r="O6" s="811"/>
    </row>
    <row r="7" spans="1:15" ht="39">
      <c r="A7" s="393">
        <v>1</v>
      </c>
      <c r="B7" s="397" t="s">
        <v>699</v>
      </c>
      <c r="C7" s="661">
        <v>12774522.949999999</v>
      </c>
      <c r="D7" s="657">
        <v>12767370.16</v>
      </c>
      <c r="E7" s="657">
        <v>0</v>
      </c>
      <c r="F7" s="662">
        <v>0</v>
      </c>
      <c r="G7" s="662">
        <v>3324.96</v>
      </c>
      <c r="H7" s="657">
        <v>3827.83</v>
      </c>
      <c r="I7" s="657">
        <v>260837.7132</v>
      </c>
      <c r="J7" s="662">
        <v>255347.4032</v>
      </c>
      <c r="K7" s="662">
        <v>0</v>
      </c>
      <c r="L7" s="662">
        <v>0</v>
      </c>
      <c r="M7" s="662">
        <v>1662.48</v>
      </c>
      <c r="N7" s="662">
        <v>3827.83</v>
      </c>
      <c r="O7" s="657"/>
    </row>
    <row r="8" spans="1:15">
      <c r="A8" s="393">
        <v>2</v>
      </c>
      <c r="B8" s="397" t="s">
        <v>569</v>
      </c>
      <c r="C8" s="661">
        <v>40329373.250000007</v>
      </c>
      <c r="D8" s="657">
        <v>40221013.430000007</v>
      </c>
      <c r="E8" s="657">
        <v>105254.3</v>
      </c>
      <c r="F8" s="663">
        <v>0</v>
      </c>
      <c r="G8" s="663">
        <v>3105.52</v>
      </c>
      <c r="H8" s="657">
        <v>0</v>
      </c>
      <c r="I8" s="657">
        <v>747875.64100000006</v>
      </c>
      <c r="J8" s="663">
        <v>735797.451</v>
      </c>
      <c r="K8" s="663">
        <v>10525.43</v>
      </c>
      <c r="L8" s="663">
        <v>0</v>
      </c>
      <c r="M8" s="663">
        <v>1552.76</v>
      </c>
      <c r="N8" s="663">
        <v>0</v>
      </c>
      <c r="O8" s="657"/>
    </row>
    <row r="9" spans="1:15">
      <c r="A9" s="393">
        <v>3</v>
      </c>
      <c r="B9" s="397" t="s">
        <v>570</v>
      </c>
      <c r="C9" s="661">
        <v>0</v>
      </c>
      <c r="D9" s="657">
        <v>0</v>
      </c>
      <c r="E9" s="657">
        <v>0</v>
      </c>
      <c r="F9" s="664">
        <v>0</v>
      </c>
      <c r="G9" s="664">
        <v>0</v>
      </c>
      <c r="H9" s="657">
        <v>0</v>
      </c>
      <c r="I9" s="657">
        <v>0</v>
      </c>
      <c r="J9" s="664">
        <v>0</v>
      </c>
      <c r="K9" s="664">
        <v>0</v>
      </c>
      <c r="L9" s="664">
        <v>0</v>
      </c>
      <c r="M9" s="664">
        <v>0</v>
      </c>
      <c r="N9" s="664">
        <v>0</v>
      </c>
      <c r="O9" s="657"/>
    </row>
    <row r="10" spans="1:15">
      <c r="A10" s="393">
        <v>4</v>
      </c>
      <c r="B10" s="397" t="s">
        <v>700</v>
      </c>
      <c r="C10" s="661">
        <v>21697684.259999998</v>
      </c>
      <c r="D10" s="657">
        <v>21092656.93</v>
      </c>
      <c r="E10" s="657">
        <v>0</v>
      </c>
      <c r="F10" s="664">
        <v>605013.63</v>
      </c>
      <c r="G10" s="664">
        <v>0</v>
      </c>
      <c r="H10" s="657">
        <v>13.7</v>
      </c>
      <c r="I10" s="657">
        <v>603370.92760000005</v>
      </c>
      <c r="J10" s="664">
        <v>421853.13859999995</v>
      </c>
      <c r="K10" s="664">
        <v>0</v>
      </c>
      <c r="L10" s="664">
        <v>181504.08900000001</v>
      </c>
      <c r="M10" s="664">
        <v>0</v>
      </c>
      <c r="N10" s="664">
        <v>13.7</v>
      </c>
      <c r="O10" s="657"/>
    </row>
    <row r="11" spans="1:15">
      <c r="A11" s="393">
        <v>5</v>
      </c>
      <c r="B11" s="397" t="s">
        <v>571</v>
      </c>
      <c r="C11" s="661">
        <v>13644927.560000001</v>
      </c>
      <c r="D11" s="657">
        <v>13644927.560000001</v>
      </c>
      <c r="E11" s="657">
        <v>0</v>
      </c>
      <c r="F11" s="664">
        <v>0</v>
      </c>
      <c r="G11" s="664">
        <v>0</v>
      </c>
      <c r="H11" s="657">
        <v>0</v>
      </c>
      <c r="I11" s="657">
        <v>272898.55120000005</v>
      </c>
      <c r="J11" s="664">
        <v>272898.55120000005</v>
      </c>
      <c r="K11" s="664">
        <v>0</v>
      </c>
      <c r="L11" s="664">
        <v>0</v>
      </c>
      <c r="M11" s="664">
        <v>0</v>
      </c>
      <c r="N11" s="664">
        <v>0</v>
      </c>
      <c r="O11" s="657"/>
    </row>
    <row r="12" spans="1:15">
      <c r="A12" s="393">
        <v>6</v>
      </c>
      <c r="B12" s="397" t="s">
        <v>572</v>
      </c>
      <c r="C12" s="661">
        <v>1382372.03</v>
      </c>
      <c r="D12" s="657">
        <v>1307469.01</v>
      </c>
      <c r="E12" s="657">
        <v>17401.96</v>
      </c>
      <c r="F12" s="664">
        <v>27928.42</v>
      </c>
      <c r="G12" s="664">
        <v>11502.580000000002</v>
      </c>
      <c r="H12" s="657">
        <v>18070.060000000001</v>
      </c>
      <c r="I12" s="657">
        <v>60089.4522</v>
      </c>
      <c r="J12" s="664">
        <v>26149.380200000003</v>
      </c>
      <c r="K12" s="664">
        <v>1740.1959999999997</v>
      </c>
      <c r="L12" s="664">
        <v>8378.5259999999998</v>
      </c>
      <c r="M12" s="664">
        <v>5751.2900000000009</v>
      </c>
      <c r="N12" s="664">
        <v>18070.060000000001</v>
      </c>
      <c r="O12" s="657"/>
    </row>
    <row r="13" spans="1:15">
      <c r="A13" s="393">
        <v>7</v>
      </c>
      <c r="B13" s="397" t="s">
        <v>573</v>
      </c>
      <c r="C13" s="661">
        <v>19016138.34</v>
      </c>
      <c r="D13" s="657">
        <v>19016138.34</v>
      </c>
      <c r="E13" s="657">
        <v>0</v>
      </c>
      <c r="F13" s="664">
        <v>0</v>
      </c>
      <c r="G13" s="664">
        <v>0</v>
      </c>
      <c r="H13" s="657">
        <v>0</v>
      </c>
      <c r="I13" s="657">
        <v>380322.76679999998</v>
      </c>
      <c r="J13" s="664">
        <v>380322.76679999998</v>
      </c>
      <c r="K13" s="664">
        <v>0</v>
      </c>
      <c r="L13" s="664">
        <v>0</v>
      </c>
      <c r="M13" s="664">
        <v>0</v>
      </c>
      <c r="N13" s="664">
        <v>0</v>
      </c>
      <c r="O13" s="657"/>
    </row>
    <row r="14" spans="1:15">
      <c r="A14" s="393">
        <v>8</v>
      </c>
      <c r="B14" s="397" t="s">
        <v>574</v>
      </c>
      <c r="C14" s="661">
        <v>14644995.1</v>
      </c>
      <c r="D14" s="657">
        <v>13727773.210000001</v>
      </c>
      <c r="E14" s="657">
        <v>0</v>
      </c>
      <c r="F14" s="664">
        <v>689474.92999999993</v>
      </c>
      <c r="G14" s="664">
        <v>0</v>
      </c>
      <c r="H14" s="657">
        <v>227746.96</v>
      </c>
      <c r="I14" s="657">
        <v>709144.90319999983</v>
      </c>
      <c r="J14" s="664">
        <v>274555.46420000005</v>
      </c>
      <c r="K14" s="664">
        <v>0</v>
      </c>
      <c r="L14" s="664">
        <v>206842.47899999996</v>
      </c>
      <c r="M14" s="664">
        <v>0</v>
      </c>
      <c r="N14" s="664">
        <v>227746.96</v>
      </c>
      <c r="O14" s="657"/>
    </row>
    <row r="15" spans="1:15">
      <c r="A15" s="393">
        <v>9</v>
      </c>
      <c r="B15" s="397" t="s">
        <v>575</v>
      </c>
      <c r="C15" s="661">
        <v>6284247.0700000003</v>
      </c>
      <c r="D15" s="657">
        <v>6284247.0700000003</v>
      </c>
      <c r="E15" s="657">
        <v>0</v>
      </c>
      <c r="F15" s="664">
        <v>0</v>
      </c>
      <c r="G15" s="664">
        <v>0</v>
      </c>
      <c r="H15" s="657">
        <v>0</v>
      </c>
      <c r="I15" s="657">
        <v>125684.94140000001</v>
      </c>
      <c r="J15" s="664">
        <v>125684.94140000001</v>
      </c>
      <c r="K15" s="664">
        <v>0</v>
      </c>
      <c r="L15" s="664">
        <v>0</v>
      </c>
      <c r="M15" s="664">
        <v>0</v>
      </c>
      <c r="N15" s="664">
        <v>0</v>
      </c>
      <c r="O15" s="657"/>
    </row>
    <row r="16" spans="1:15">
      <c r="A16" s="393">
        <v>10</v>
      </c>
      <c r="B16" s="397" t="s">
        <v>576</v>
      </c>
      <c r="C16" s="661">
        <v>6672760.21</v>
      </c>
      <c r="D16" s="657">
        <v>4895483.17</v>
      </c>
      <c r="E16" s="657">
        <v>0</v>
      </c>
      <c r="F16" s="664">
        <v>1777277.04</v>
      </c>
      <c r="G16" s="664">
        <v>0</v>
      </c>
      <c r="H16" s="657">
        <v>0</v>
      </c>
      <c r="I16" s="657">
        <v>631092.77540000004</v>
      </c>
      <c r="J16" s="664">
        <v>97909.663400000005</v>
      </c>
      <c r="K16" s="664">
        <v>0</v>
      </c>
      <c r="L16" s="664">
        <v>533183.11200000008</v>
      </c>
      <c r="M16" s="664">
        <v>0</v>
      </c>
      <c r="N16" s="664">
        <v>0</v>
      </c>
      <c r="O16" s="657"/>
    </row>
    <row r="17" spans="1:15">
      <c r="A17" s="393">
        <v>11</v>
      </c>
      <c r="B17" s="397" t="s">
        <v>577</v>
      </c>
      <c r="C17" s="661">
        <v>13871963.49</v>
      </c>
      <c r="D17" s="657">
        <v>4001097.5999999996</v>
      </c>
      <c r="E17" s="657">
        <v>9843752.5800000001</v>
      </c>
      <c r="F17" s="664">
        <v>1307.8699999999999</v>
      </c>
      <c r="G17" s="664">
        <v>5252.99</v>
      </c>
      <c r="H17" s="657">
        <v>20552.45</v>
      </c>
      <c r="I17" s="657">
        <v>1087968.5160000001</v>
      </c>
      <c r="J17" s="664">
        <v>80021.952000000005</v>
      </c>
      <c r="K17" s="664">
        <v>984375.25799999991</v>
      </c>
      <c r="L17" s="664">
        <v>392.36099999999999</v>
      </c>
      <c r="M17" s="664">
        <v>2626.4949999999999</v>
      </c>
      <c r="N17" s="664">
        <v>20552.45</v>
      </c>
      <c r="O17" s="657"/>
    </row>
    <row r="18" spans="1:15">
      <c r="A18" s="393">
        <v>12</v>
      </c>
      <c r="B18" s="397" t="s">
        <v>578</v>
      </c>
      <c r="C18" s="661">
        <v>4792970.3100000005</v>
      </c>
      <c r="D18" s="657">
        <v>4264939.55</v>
      </c>
      <c r="E18" s="657">
        <v>282724.36</v>
      </c>
      <c r="F18" s="664">
        <v>95808.49</v>
      </c>
      <c r="G18" s="664">
        <v>0</v>
      </c>
      <c r="H18" s="657">
        <v>149497.91</v>
      </c>
      <c r="I18" s="657">
        <v>291811.68399999995</v>
      </c>
      <c r="J18" s="664">
        <v>85298.790999999997</v>
      </c>
      <c r="K18" s="664">
        <v>28272.436000000002</v>
      </c>
      <c r="L18" s="664">
        <v>28742.546999999999</v>
      </c>
      <c r="M18" s="664">
        <v>0</v>
      </c>
      <c r="N18" s="664">
        <v>149497.91</v>
      </c>
      <c r="O18" s="657"/>
    </row>
    <row r="19" spans="1:15">
      <c r="A19" s="393">
        <v>13</v>
      </c>
      <c r="B19" s="397" t="s">
        <v>579</v>
      </c>
      <c r="C19" s="661">
        <v>3402781.12</v>
      </c>
      <c r="D19" s="657">
        <v>286211.12</v>
      </c>
      <c r="E19" s="657">
        <v>3068370.51</v>
      </c>
      <c r="F19" s="664">
        <v>22185.59</v>
      </c>
      <c r="G19" s="664">
        <v>2927.03</v>
      </c>
      <c r="H19" s="657">
        <v>23086.870000000003</v>
      </c>
      <c r="I19" s="657">
        <v>343767.33539999998</v>
      </c>
      <c r="J19" s="664">
        <v>5724.2224000000006</v>
      </c>
      <c r="K19" s="664">
        <v>306837.05099999998</v>
      </c>
      <c r="L19" s="664">
        <v>6655.6770000000006</v>
      </c>
      <c r="M19" s="664">
        <v>1463.5150000000001</v>
      </c>
      <c r="N19" s="664">
        <v>23086.870000000003</v>
      </c>
      <c r="O19" s="657"/>
    </row>
    <row r="20" spans="1:15">
      <c r="A20" s="393">
        <v>14</v>
      </c>
      <c r="B20" s="397" t="s">
        <v>580</v>
      </c>
      <c r="C20" s="661">
        <v>16261724.610000001</v>
      </c>
      <c r="D20" s="657">
        <v>8597468.9900000002</v>
      </c>
      <c r="E20" s="657">
        <v>0</v>
      </c>
      <c r="F20" s="664">
        <v>7538279.3300000001</v>
      </c>
      <c r="G20" s="664">
        <v>10176.65</v>
      </c>
      <c r="H20" s="657">
        <v>115799.64000000001</v>
      </c>
      <c r="I20" s="657">
        <v>2554321.1437999997</v>
      </c>
      <c r="J20" s="664">
        <v>171949.3798</v>
      </c>
      <c r="K20" s="664">
        <v>0</v>
      </c>
      <c r="L20" s="664">
        <v>2261483.7990000001</v>
      </c>
      <c r="M20" s="664">
        <v>5088.3249999999998</v>
      </c>
      <c r="N20" s="664">
        <v>115799.64000000001</v>
      </c>
      <c r="O20" s="657"/>
    </row>
    <row r="21" spans="1:15">
      <c r="A21" s="393">
        <v>15</v>
      </c>
      <c r="B21" s="397" t="s">
        <v>581</v>
      </c>
      <c r="C21" s="661">
        <v>2106007.33</v>
      </c>
      <c r="D21" s="657">
        <v>2105544.2400000002</v>
      </c>
      <c r="E21" s="657">
        <v>0</v>
      </c>
      <c r="F21" s="664">
        <v>0</v>
      </c>
      <c r="G21" s="664">
        <v>0</v>
      </c>
      <c r="H21" s="657">
        <v>463.09</v>
      </c>
      <c r="I21" s="657">
        <v>42573.974800000004</v>
      </c>
      <c r="J21" s="664">
        <v>42110.8848</v>
      </c>
      <c r="K21" s="664">
        <v>0</v>
      </c>
      <c r="L21" s="664">
        <v>0</v>
      </c>
      <c r="M21" s="664">
        <v>0</v>
      </c>
      <c r="N21" s="664">
        <v>463.09</v>
      </c>
      <c r="O21" s="657"/>
    </row>
    <row r="22" spans="1:15">
      <c r="A22" s="393">
        <v>16</v>
      </c>
      <c r="B22" s="397" t="s">
        <v>582</v>
      </c>
      <c r="C22" s="661">
        <v>0</v>
      </c>
      <c r="D22" s="657">
        <v>0</v>
      </c>
      <c r="E22" s="657">
        <v>0</v>
      </c>
      <c r="F22" s="664">
        <v>0</v>
      </c>
      <c r="G22" s="664">
        <v>0</v>
      </c>
      <c r="H22" s="657">
        <v>0</v>
      </c>
      <c r="I22" s="657">
        <v>0</v>
      </c>
      <c r="J22" s="664">
        <v>0</v>
      </c>
      <c r="K22" s="664">
        <v>0</v>
      </c>
      <c r="L22" s="664">
        <v>0</v>
      </c>
      <c r="M22" s="664">
        <v>0</v>
      </c>
      <c r="N22" s="664">
        <v>0</v>
      </c>
      <c r="O22" s="657"/>
    </row>
    <row r="23" spans="1:15">
      <c r="A23" s="393">
        <v>17</v>
      </c>
      <c r="B23" s="397" t="s">
        <v>703</v>
      </c>
      <c r="C23" s="661">
        <v>0</v>
      </c>
      <c r="D23" s="657">
        <v>0</v>
      </c>
      <c r="E23" s="657">
        <v>0</v>
      </c>
      <c r="F23" s="664">
        <v>0</v>
      </c>
      <c r="G23" s="664">
        <v>0</v>
      </c>
      <c r="H23" s="657">
        <v>0</v>
      </c>
      <c r="I23" s="657">
        <v>0</v>
      </c>
      <c r="J23" s="664">
        <v>0</v>
      </c>
      <c r="K23" s="664">
        <v>0</v>
      </c>
      <c r="L23" s="664">
        <v>0</v>
      </c>
      <c r="M23" s="664">
        <v>0</v>
      </c>
      <c r="N23" s="664">
        <v>0</v>
      </c>
      <c r="O23" s="657"/>
    </row>
    <row r="24" spans="1:15">
      <c r="A24" s="393">
        <v>18</v>
      </c>
      <c r="B24" s="397" t="s">
        <v>583</v>
      </c>
      <c r="C24" s="661">
        <v>35192142.270000003</v>
      </c>
      <c r="D24" s="657">
        <v>35192142.270000003</v>
      </c>
      <c r="E24" s="657">
        <v>0</v>
      </c>
      <c r="F24" s="664">
        <v>0</v>
      </c>
      <c r="G24" s="664">
        <v>0</v>
      </c>
      <c r="H24" s="657">
        <v>0</v>
      </c>
      <c r="I24" s="657">
        <v>703842.84539999987</v>
      </c>
      <c r="J24" s="664">
        <v>703842.84539999987</v>
      </c>
      <c r="K24" s="664">
        <v>0</v>
      </c>
      <c r="L24" s="664">
        <v>0</v>
      </c>
      <c r="M24" s="664">
        <v>0</v>
      </c>
      <c r="N24" s="664">
        <v>0</v>
      </c>
      <c r="O24" s="657"/>
    </row>
    <row r="25" spans="1:15">
      <c r="A25" s="393">
        <v>19</v>
      </c>
      <c r="B25" s="397" t="s">
        <v>584</v>
      </c>
      <c r="C25" s="661">
        <v>0</v>
      </c>
      <c r="D25" s="657">
        <v>0</v>
      </c>
      <c r="E25" s="657">
        <v>0</v>
      </c>
      <c r="F25" s="664">
        <v>0</v>
      </c>
      <c r="G25" s="664">
        <v>0</v>
      </c>
      <c r="H25" s="657">
        <v>0</v>
      </c>
      <c r="I25" s="657">
        <v>0</v>
      </c>
      <c r="J25" s="664">
        <v>0</v>
      </c>
      <c r="K25" s="664">
        <v>0</v>
      </c>
      <c r="L25" s="664">
        <v>0</v>
      </c>
      <c r="M25" s="664">
        <v>0</v>
      </c>
      <c r="N25" s="664">
        <v>0</v>
      </c>
      <c r="O25" s="657"/>
    </row>
    <row r="26" spans="1:15">
      <c r="A26" s="393">
        <v>20</v>
      </c>
      <c r="B26" s="397" t="s">
        <v>702</v>
      </c>
      <c r="C26" s="661">
        <v>8215411.5800000001</v>
      </c>
      <c r="D26" s="657">
        <v>8169535.71</v>
      </c>
      <c r="E26" s="657">
        <v>352.96</v>
      </c>
      <c r="F26" s="664">
        <v>2190.59</v>
      </c>
      <c r="G26" s="664">
        <v>7908.3600000000006</v>
      </c>
      <c r="H26" s="657">
        <v>35423.96</v>
      </c>
      <c r="I26" s="657">
        <v>203461.3272</v>
      </c>
      <c r="J26" s="664">
        <v>163390.71419999999</v>
      </c>
      <c r="K26" s="664">
        <v>35.295999999999999</v>
      </c>
      <c r="L26" s="664">
        <v>657.17700000000002</v>
      </c>
      <c r="M26" s="664">
        <v>3954.1800000000003</v>
      </c>
      <c r="N26" s="664">
        <v>35423.96</v>
      </c>
      <c r="O26" s="657"/>
    </row>
    <row r="27" spans="1:15">
      <c r="A27" s="393">
        <v>21</v>
      </c>
      <c r="B27" s="397" t="s">
        <v>585</v>
      </c>
      <c r="C27" s="661">
        <v>57891.5</v>
      </c>
      <c r="D27" s="657">
        <v>57891.5</v>
      </c>
      <c r="E27" s="657">
        <v>0</v>
      </c>
      <c r="F27" s="664">
        <v>0</v>
      </c>
      <c r="G27" s="664">
        <v>0</v>
      </c>
      <c r="H27" s="657">
        <v>0</v>
      </c>
      <c r="I27" s="657">
        <v>1157.83</v>
      </c>
      <c r="J27" s="664">
        <v>1157.83</v>
      </c>
      <c r="K27" s="664">
        <v>0</v>
      </c>
      <c r="L27" s="664">
        <v>0</v>
      </c>
      <c r="M27" s="664">
        <v>0</v>
      </c>
      <c r="N27" s="664">
        <v>0</v>
      </c>
      <c r="O27" s="657"/>
    </row>
    <row r="28" spans="1:15">
      <c r="A28" s="393">
        <v>22</v>
      </c>
      <c r="B28" s="397" t="s">
        <v>586</v>
      </c>
      <c r="C28" s="661">
        <v>0</v>
      </c>
      <c r="D28" s="657">
        <v>0</v>
      </c>
      <c r="E28" s="657">
        <v>0</v>
      </c>
      <c r="F28" s="664">
        <v>0</v>
      </c>
      <c r="G28" s="664">
        <v>0</v>
      </c>
      <c r="H28" s="657">
        <v>0</v>
      </c>
      <c r="I28" s="657">
        <v>0</v>
      </c>
      <c r="J28" s="664">
        <v>0</v>
      </c>
      <c r="K28" s="664">
        <v>0</v>
      </c>
      <c r="L28" s="664">
        <v>0</v>
      </c>
      <c r="M28" s="664">
        <v>0</v>
      </c>
      <c r="N28" s="664">
        <v>0</v>
      </c>
      <c r="O28" s="657"/>
    </row>
    <row r="29" spans="1:15">
      <c r="A29" s="393">
        <v>23</v>
      </c>
      <c r="B29" s="397" t="s">
        <v>587</v>
      </c>
      <c r="C29" s="661">
        <v>15370864.459999997</v>
      </c>
      <c r="D29" s="657">
        <v>14482587.029999997</v>
      </c>
      <c r="E29" s="657">
        <v>718425.83000000007</v>
      </c>
      <c r="F29" s="664">
        <v>59680.92</v>
      </c>
      <c r="G29" s="664">
        <v>0</v>
      </c>
      <c r="H29" s="657">
        <v>110170.68000000001</v>
      </c>
      <c r="I29" s="657">
        <v>489569.27959999995</v>
      </c>
      <c r="J29" s="664">
        <v>289651.74060000002</v>
      </c>
      <c r="K29" s="664">
        <v>71842.582999999999</v>
      </c>
      <c r="L29" s="664">
        <v>17904.275999999998</v>
      </c>
      <c r="M29" s="664">
        <v>0</v>
      </c>
      <c r="N29" s="664">
        <v>110170.68000000001</v>
      </c>
      <c r="O29" s="657"/>
    </row>
    <row r="30" spans="1:15">
      <c r="A30" s="393">
        <v>24</v>
      </c>
      <c r="B30" s="397" t="s">
        <v>701</v>
      </c>
      <c r="C30" s="661">
        <v>0</v>
      </c>
      <c r="D30" s="657">
        <v>0</v>
      </c>
      <c r="E30" s="657">
        <v>0</v>
      </c>
      <c r="F30" s="664">
        <v>0</v>
      </c>
      <c r="G30" s="664">
        <v>0</v>
      </c>
      <c r="H30" s="657">
        <v>0</v>
      </c>
      <c r="I30" s="657">
        <v>0</v>
      </c>
      <c r="J30" s="664">
        <v>0</v>
      </c>
      <c r="K30" s="664">
        <v>0</v>
      </c>
      <c r="L30" s="664">
        <v>0</v>
      </c>
      <c r="M30" s="664">
        <v>0</v>
      </c>
      <c r="N30" s="664">
        <v>0</v>
      </c>
      <c r="O30" s="657"/>
    </row>
    <row r="31" spans="1:15">
      <c r="A31" s="393">
        <v>25</v>
      </c>
      <c r="B31" s="397" t="s">
        <v>588</v>
      </c>
      <c r="C31" s="661">
        <v>760313.39999999979</v>
      </c>
      <c r="D31" s="657">
        <v>316057.79000000004</v>
      </c>
      <c r="E31" s="657">
        <v>206891.36</v>
      </c>
      <c r="F31" s="664">
        <v>0</v>
      </c>
      <c r="G31" s="664">
        <v>1495.86</v>
      </c>
      <c r="H31" s="657">
        <v>235868.38999999998</v>
      </c>
      <c r="I31" s="657">
        <v>263626.61179999996</v>
      </c>
      <c r="J31" s="664">
        <v>6321.1557999999995</v>
      </c>
      <c r="K31" s="664">
        <v>20689.135999999999</v>
      </c>
      <c r="L31" s="664">
        <v>0</v>
      </c>
      <c r="M31" s="664">
        <v>747.93</v>
      </c>
      <c r="N31" s="664">
        <v>235868.38999999998</v>
      </c>
      <c r="O31" s="657"/>
    </row>
    <row r="32" spans="1:15">
      <c r="A32" s="393">
        <v>26</v>
      </c>
      <c r="B32" s="397" t="s">
        <v>698</v>
      </c>
      <c r="C32" s="661">
        <v>0</v>
      </c>
      <c r="D32" s="657">
        <v>0</v>
      </c>
      <c r="E32" s="657">
        <v>0</v>
      </c>
      <c r="F32" s="664">
        <v>0</v>
      </c>
      <c r="G32" s="664">
        <v>0</v>
      </c>
      <c r="H32" s="657">
        <v>0</v>
      </c>
      <c r="I32" s="657">
        <v>0</v>
      </c>
      <c r="J32" s="664">
        <v>0</v>
      </c>
      <c r="K32" s="664">
        <v>0</v>
      </c>
      <c r="L32" s="664">
        <v>0</v>
      </c>
      <c r="M32" s="664">
        <v>0</v>
      </c>
      <c r="N32" s="664">
        <v>0</v>
      </c>
      <c r="O32" s="657"/>
    </row>
    <row r="33" spans="1:15">
      <c r="A33" s="393">
        <v>27</v>
      </c>
      <c r="B33" s="417" t="s">
        <v>109</v>
      </c>
      <c r="C33" s="665">
        <f>SUM(C7:C32)</f>
        <v>236479090.84000009</v>
      </c>
      <c r="D33" s="665">
        <f t="shared" ref="D33:N33" si="0">SUM(D7:D32)</f>
        <v>210430554.68000007</v>
      </c>
      <c r="E33" s="665">
        <f t="shared" si="0"/>
        <v>14243173.859999999</v>
      </c>
      <c r="F33" s="665">
        <f t="shared" si="0"/>
        <v>10819146.810000001</v>
      </c>
      <c r="G33" s="665">
        <f t="shared" si="0"/>
        <v>45693.950000000004</v>
      </c>
      <c r="H33" s="665">
        <f t="shared" si="0"/>
        <v>940521.54</v>
      </c>
      <c r="I33" s="665">
        <f t="shared" si="0"/>
        <v>9773418.2199999988</v>
      </c>
      <c r="J33" s="665">
        <f t="shared" si="0"/>
        <v>4139988.2760000001</v>
      </c>
      <c r="K33" s="665">
        <f t="shared" si="0"/>
        <v>1424317.3859999999</v>
      </c>
      <c r="L33" s="665">
        <f t="shared" si="0"/>
        <v>3245744.0430000005</v>
      </c>
      <c r="M33" s="665">
        <f t="shared" si="0"/>
        <v>22846.975000000002</v>
      </c>
      <c r="N33" s="665">
        <f t="shared" si="0"/>
        <v>940521.54</v>
      </c>
      <c r="O33" s="665">
        <f>'18. Assets by Exposure classes'!G21</f>
        <v>1423935</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B1" sqref="B1:B2"/>
    </sheetView>
  </sheetViews>
  <sheetFormatPr defaultColWidth="8.7109375" defaultRowHeight="12"/>
  <cols>
    <col min="1" max="1" width="11.7109375" style="443" bestFit="1" customWidth="1"/>
    <col min="2" max="2" width="80.28515625" style="443" customWidth="1"/>
    <col min="3" max="3" width="17.28515625" style="443" bestFit="1" customWidth="1"/>
    <col min="4" max="5" width="22.28515625" style="443" bestFit="1" customWidth="1"/>
    <col min="6" max="6" width="20.28515625" style="443" bestFit="1" customWidth="1"/>
    <col min="7" max="7" width="20.85546875" style="443" bestFit="1" customWidth="1"/>
    <col min="8" max="8" width="23.28515625" style="443" bestFit="1" customWidth="1"/>
    <col min="9" max="9" width="22.28515625" style="443" customWidth="1"/>
    <col min="10" max="10" width="19.28515625" style="443" bestFit="1" customWidth="1"/>
    <col min="11" max="11" width="17.7109375"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44469</v>
      </c>
    </row>
    <row r="3" spans="1:11" s="396" customFormat="1" ht="12.75">
      <c r="A3" s="389" t="s">
        <v>679</v>
      </c>
    </row>
    <row r="4" spans="1:11">
      <c r="C4" s="444" t="s">
        <v>0</v>
      </c>
      <c r="D4" s="444" t="s">
        <v>1</v>
      </c>
      <c r="E4" s="444" t="s">
        <v>2</v>
      </c>
      <c r="F4" s="444" t="s">
        <v>3</v>
      </c>
      <c r="G4" s="444" t="s">
        <v>4</v>
      </c>
      <c r="H4" s="444" t="s">
        <v>5</v>
      </c>
      <c r="I4" s="444" t="s">
        <v>8</v>
      </c>
      <c r="J4" s="444" t="s">
        <v>9</v>
      </c>
      <c r="K4" s="444" t="s">
        <v>10</v>
      </c>
    </row>
    <row r="5" spans="1:11" ht="105" customHeight="1">
      <c r="A5" s="812" t="s">
        <v>680</v>
      </c>
      <c r="B5" s="813"/>
      <c r="C5" s="420" t="s">
        <v>681</v>
      </c>
      <c r="D5" s="420" t="s">
        <v>682</v>
      </c>
      <c r="E5" s="420" t="s">
        <v>683</v>
      </c>
      <c r="F5" s="445" t="s">
        <v>684</v>
      </c>
      <c r="G5" s="420" t="s">
        <v>685</v>
      </c>
      <c r="H5" s="420" t="s">
        <v>686</v>
      </c>
      <c r="I5" s="420" t="s">
        <v>687</v>
      </c>
      <c r="J5" s="420" t="s">
        <v>688</v>
      </c>
      <c r="K5" s="420" t="s">
        <v>689</v>
      </c>
    </row>
    <row r="6" spans="1:11" ht="12.75">
      <c r="A6" s="393">
        <v>1</v>
      </c>
      <c r="B6" s="393" t="s">
        <v>635</v>
      </c>
      <c r="C6" s="657">
        <v>3633019.46</v>
      </c>
      <c r="D6" s="657">
        <v>0</v>
      </c>
      <c r="E6" s="657">
        <v>0</v>
      </c>
      <c r="F6" s="657">
        <v>0</v>
      </c>
      <c r="G6" s="657">
        <v>97250690.816310048</v>
      </c>
      <c r="H6" s="657">
        <v>0</v>
      </c>
      <c r="I6" s="657">
        <v>23211806.974617638</v>
      </c>
      <c r="J6" s="657">
        <v>49290490.378918372</v>
      </c>
      <c r="K6" s="657">
        <v>63093083.210153878</v>
      </c>
    </row>
    <row r="7" spans="1:11" ht="12.75">
      <c r="A7" s="393">
        <v>2</v>
      </c>
      <c r="B7" s="393" t="s">
        <v>690</v>
      </c>
      <c r="C7" s="657">
        <v>0</v>
      </c>
      <c r="D7" s="657">
        <v>0</v>
      </c>
      <c r="E7" s="657">
        <v>0</v>
      </c>
      <c r="F7" s="657">
        <v>0</v>
      </c>
      <c r="G7" s="657">
        <v>0</v>
      </c>
      <c r="H7" s="657">
        <v>0</v>
      </c>
      <c r="I7" s="657">
        <v>0</v>
      </c>
      <c r="J7" s="657">
        <v>0</v>
      </c>
      <c r="K7" s="657">
        <v>17156804.658241455</v>
      </c>
    </row>
    <row r="8" spans="1:11" ht="12.75">
      <c r="A8" s="393">
        <v>3</v>
      </c>
      <c r="B8" s="393" t="s">
        <v>643</v>
      </c>
      <c r="C8" s="657">
        <v>433093.038</v>
      </c>
      <c r="D8" s="657"/>
      <c r="E8" s="657">
        <v>0</v>
      </c>
      <c r="F8" s="657">
        <v>0</v>
      </c>
      <c r="G8" s="657">
        <v>20155754.655689869</v>
      </c>
      <c r="H8" s="657">
        <v>0</v>
      </c>
      <c r="I8" s="657">
        <v>109318.86446399055</v>
      </c>
      <c r="J8" s="657">
        <v>3888711.1399999997</v>
      </c>
      <c r="K8" s="657">
        <v>87445028.134423137</v>
      </c>
    </row>
    <row r="9" spans="1:11" ht="12.75">
      <c r="A9" s="393">
        <v>4</v>
      </c>
      <c r="B9" s="418" t="s">
        <v>691</v>
      </c>
      <c r="C9" s="657">
        <v>0</v>
      </c>
      <c r="D9" s="657"/>
      <c r="E9" s="657">
        <v>0</v>
      </c>
      <c r="F9" s="657">
        <v>0</v>
      </c>
      <c r="G9" s="657">
        <v>11139591.780000001</v>
      </c>
      <c r="H9" s="657">
        <v>0</v>
      </c>
      <c r="I9" s="657">
        <v>65466.520681622438</v>
      </c>
      <c r="J9" s="657">
        <v>394508.0193183776</v>
      </c>
      <c r="K9" s="657">
        <v>205795.97999999998</v>
      </c>
    </row>
    <row r="10" spans="1:11" ht="12.75">
      <c r="A10" s="393">
        <v>5</v>
      </c>
      <c r="B10" s="418" t="s">
        <v>692</v>
      </c>
      <c r="C10" s="657"/>
      <c r="D10" s="657"/>
      <c r="E10" s="657"/>
      <c r="F10" s="657"/>
      <c r="G10" s="657"/>
      <c r="H10" s="657"/>
      <c r="I10" s="657"/>
      <c r="J10" s="657"/>
      <c r="K10" s="657"/>
    </row>
    <row r="11" spans="1:11" ht="12.75">
      <c r="A11" s="393">
        <v>6</v>
      </c>
      <c r="B11" s="418" t="s">
        <v>693</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0.855468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387" t="s">
        <v>30</v>
      </c>
      <c r="B1" s="450" t="str">
        <f>'Info '!C2</f>
        <v>JSC Isbank Georgia</v>
      </c>
    </row>
    <row r="2" spans="1:19">
      <c r="A2" s="388" t="s">
        <v>31</v>
      </c>
      <c r="B2" s="451">
        <f>'1. key ratios '!B2</f>
        <v>44469</v>
      </c>
    </row>
    <row r="3" spans="1:19">
      <c r="A3" s="389" t="s">
        <v>734</v>
      </c>
      <c r="B3" s="396"/>
    </row>
    <row r="4" spans="1:19">
      <c r="A4" s="389"/>
      <c r="B4" s="396"/>
    </row>
    <row r="5" spans="1:19">
      <c r="A5" s="815" t="s">
        <v>735</v>
      </c>
      <c r="B5" s="815"/>
      <c r="C5" s="816" t="s">
        <v>736</v>
      </c>
      <c r="D5" s="816"/>
      <c r="E5" s="816"/>
      <c r="F5" s="816"/>
      <c r="G5" s="816"/>
      <c r="H5" s="816"/>
      <c r="I5" s="816" t="s">
        <v>737</v>
      </c>
      <c r="J5" s="816"/>
      <c r="K5" s="816"/>
      <c r="L5" s="816"/>
      <c r="M5" s="816"/>
      <c r="N5" s="817"/>
      <c r="O5" s="814" t="s">
        <v>738</v>
      </c>
      <c r="P5" s="814" t="s">
        <v>739</v>
      </c>
      <c r="Q5" s="814" t="s">
        <v>740</v>
      </c>
      <c r="R5" s="814" t="s">
        <v>741</v>
      </c>
      <c r="S5" s="814" t="s">
        <v>742</v>
      </c>
    </row>
    <row r="6" spans="1:19" ht="24" customHeight="1">
      <c r="A6" s="815"/>
      <c r="B6" s="815"/>
      <c r="C6" s="698"/>
      <c r="D6" s="699" t="s">
        <v>674</v>
      </c>
      <c r="E6" s="699" t="s">
        <v>675</v>
      </c>
      <c r="F6" s="699" t="s">
        <v>676</v>
      </c>
      <c r="G6" s="699" t="s">
        <v>677</v>
      </c>
      <c r="H6" s="699" t="s">
        <v>678</v>
      </c>
      <c r="I6" s="698"/>
      <c r="J6" s="699" t="s">
        <v>674</v>
      </c>
      <c r="K6" s="699" t="s">
        <v>675</v>
      </c>
      <c r="L6" s="699" t="s">
        <v>676</v>
      </c>
      <c r="M6" s="699" t="s">
        <v>677</v>
      </c>
      <c r="N6" s="700" t="s">
        <v>678</v>
      </c>
      <c r="O6" s="814"/>
      <c r="P6" s="814"/>
      <c r="Q6" s="814"/>
      <c r="R6" s="814"/>
      <c r="S6" s="814"/>
    </row>
    <row r="7" spans="1:19">
      <c r="A7" s="681">
        <v>1</v>
      </c>
      <c r="B7" s="682" t="s">
        <v>743</v>
      </c>
      <c r="C7" s="694">
        <f>SUM(D7:H7)</f>
        <v>0</v>
      </c>
      <c r="D7" s="694">
        <v>0</v>
      </c>
      <c r="E7" s="694">
        <v>0</v>
      </c>
      <c r="F7" s="694">
        <v>0</v>
      </c>
      <c r="G7" s="694">
        <v>0</v>
      </c>
      <c r="H7" s="694">
        <v>0</v>
      </c>
      <c r="I7" s="694">
        <f>SUM(J7:N7)</f>
        <v>0</v>
      </c>
      <c r="J7" s="694">
        <v>0</v>
      </c>
      <c r="K7" s="694">
        <v>0</v>
      </c>
      <c r="L7" s="694">
        <v>0</v>
      </c>
      <c r="M7" s="694">
        <v>0</v>
      </c>
      <c r="N7" s="694">
        <v>0</v>
      </c>
      <c r="O7" s="695">
        <v>0</v>
      </c>
      <c r="P7" s="696">
        <v>0</v>
      </c>
      <c r="Q7" s="696">
        <v>0</v>
      </c>
      <c r="R7" s="696">
        <v>0</v>
      </c>
      <c r="S7" s="691">
        <v>0</v>
      </c>
    </row>
    <row r="8" spans="1:19">
      <c r="A8" s="681">
        <v>2</v>
      </c>
      <c r="B8" s="683" t="s">
        <v>744</v>
      </c>
      <c r="C8" s="694">
        <f t="shared" ref="C8:C18" si="0">SUM(D8:H8)</f>
        <v>3731233.9299999997</v>
      </c>
      <c r="D8" s="694">
        <v>3015122.63</v>
      </c>
      <c r="E8" s="694">
        <v>271830.48000000004</v>
      </c>
      <c r="F8" s="694">
        <v>40965.5</v>
      </c>
      <c r="G8" s="694">
        <v>45293.95</v>
      </c>
      <c r="H8" s="694">
        <v>358021.36999999982</v>
      </c>
      <c r="I8" s="694">
        <f t="shared" ref="I8:I18" si="1">SUM(J8:N8)</f>
        <v>480443.49559999979</v>
      </c>
      <c r="J8" s="694">
        <v>60302.452600000004</v>
      </c>
      <c r="K8" s="694">
        <v>27183.048000000003</v>
      </c>
      <c r="L8" s="694">
        <v>12289.650000000001</v>
      </c>
      <c r="M8" s="694">
        <v>22646.974999999999</v>
      </c>
      <c r="N8" s="694">
        <v>358021.36999999982</v>
      </c>
      <c r="O8" s="695">
        <v>161</v>
      </c>
      <c r="P8" s="696">
        <v>0.13506239213822452</v>
      </c>
      <c r="Q8" s="696">
        <v>0.1448576290905659</v>
      </c>
      <c r="R8" s="696">
        <v>0.1203577961933895</v>
      </c>
      <c r="S8" s="691">
        <v>44.648384397668188</v>
      </c>
    </row>
    <row r="9" spans="1:19">
      <c r="A9" s="681">
        <v>3</v>
      </c>
      <c r="B9" s="683" t="s">
        <v>745</v>
      </c>
      <c r="C9" s="694">
        <f t="shared" si="0"/>
        <v>0</v>
      </c>
      <c r="D9" s="694">
        <v>0</v>
      </c>
      <c r="E9" s="694">
        <v>0</v>
      </c>
      <c r="F9" s="694">
        <v>0</v>
      </c>
      <c r="G9" s="694">
        <v>0</v>
      </c>
      <c r="H9" s="694">
        <v>0</v>
      </c>
      <c r="I9" s="694">
        <f t="shared" si="1"/>
        <v>0</v>
      </c>
      <c r="J9" s="694">
        <v>0</v>
      </c>
      <c r="K9" s="694">
        <v>0</v>
      </c>
      <c r="L9" s="694">
        <v>0</v>
      </c>
      <c r="M9" s="694">
        <v>0</v>
      </c>
      <c r="N9" s="694">
        <v>0</v>
      </c>
      <c r="O9" s="695">
        <v>0</v>
      </c>
      <c r="P9" s="696">
        <v>0</v>
      </c>
      <c r="Q9" s="696">
        <v>0</v>
      </c>
      <c r="R9" s="696">
        <v>0</v>
      </c>
      <c r="S9" s="691">
        <v>0</v>
      </c>
    </row>
    <row r="10" spans="1:19">
      <c r="A10" s="681">
        <v>4</v>
      </c>
      <c r="B10" s="683" t="s">
        <v>746</v>
      </c>
      <c r="C10" s="694">
        <f t="shared" si="0"/>
        <v>0</v>
      </c>
      <c r="D10" s="694">
        <v>0</v>
      </c>
      <c r="E10" s="694">
        <v>0</v>
      </c>
      <c r="F10" s="694">
        <v>0</v>
      </c>
      <c r="G10" s="694">
        <v>0</v>
      </c>
      <c r="H10" s="694">
        <v>0</v>
      </c>
      <c r="I10" s="694">
        <f t="shared" si="1"/>
        <v>0</v>
      </c>
      <c r="J10" s="694">
        <v>0</v>
      </c>
      <c r="K10" s="694">
        <v>0</v>
      </c>
      <c r="L10" s="694">
        <v>0</v>
      </c>
      <c r="M10" s="694">
        <v>0</v>
      </c>
      <c r="N10" s="694">
        <v>0</v>
      </c>
      <c r="O10" s="695">
        <v>0</v>
      </c>
      <c r="P10" s="696">
        <v>0</v>
      </c>
      <c r="Q10" s="696">
        <v>0</v>
      </c>
      <c r="R10" s="696">
        <v>0</v>
      </c>
      <c r="S10" s="691">
        <v>0</v>
      </c>
    </row>
    <row r="11" spans="1:19">
      <c r="A11" s="681">
        <v>5</v>
      </c>
      <c r="B11" s="683" t="s">
        <v>747</v>
      </c>
      <c r="C11" s="694">
        <f t="shared" si="0"/>
        <v>39722.36</v>
      </c>
      <c r="D11" s="694">
        <v>33038.81</v>
      </c>
      <c r="E11" s="694">
        <v>352.96</v>
      </c>
      <c r="F11" s="694">
        <v>2190.59</v>
      </c>
      <c r="G11" s="694">
        <v>400</v>
      </c>
      <c r="H11" s="694">
        <v>3740</v>
      </c>
      <c r="I11" s="694">
        <f t="shared" si="1"/>
        <v>5293.2492000000002</v>
      </c>
      <c r="J11" s="694">
        <v>660.77620000000002</v>
      </c>
      <c r="K11" s="694">
        <v>35.295999999999999</v>
      </c>
      <c r="L11" s="694">
        <v>657.17700000000002</v>
      </c>
      <c r="M11" s="694">
        <v>200</v>
      </c>
      <c r="N11" s="694">
        <v>3740</v>
      </c>
      <c r="O11" s="695">
        <v>57</v>
      </c>
      <c r="P11" s="696">
        <v>0.14762686675957351</v>
      </c>
      <c r="Q11" s="696">
        <v>0.1608</v>
      </c>
      <c r="R11" s="696">
        <v>0.14626520428292783</v>
      </c>
      <c r="S11" s="691">
        <v>0</v>
      </c>
    </row>
    <row r="12" spans="1:19">
      <c r="A12" s="681">
        <v>6</v>
      </c>
      <c r="B12" s="683" t="s">
        <v>748</v>
      </c>
      <c r="C12" s="694">
        <f t="shared" si="0"/>
        <v>0</v>
      </c>
      <c r="D12" s="694">
        <v>0</v>
      </c>
      <c r="E12" s="694">
        <v>0</v>
      </c>
      <c r="F12" s="694">
        <v>0</v>
      </c>
      <c r="G12" s="694">
        <v>0</v>
      </c>
      <c r="H12" s="694">
        <v>0</v>
      </c>
      <c r="I12" s="694">
        <f t="shared" si="1"/>
        <v>0</v>
      </c>
      <c r="J12" s="694">
        <v>0</v>
      </c>
      <c r="K12" s="694">
        <v>0</v>
      </c>
      <c r="L12" s="694">
        <v>0</v>
      </c>
      <c r="M12" s="694">
        <v>0</v>
      </c>
      <c r="N12" s="694">
        <v>0</v>
      </c>
      <c r="O12" s="695">
        <v>0</v>
      </c>
      <c r="P12" s="696">
        <v>0</v>
      </c>
      <c r="Q12" s="696">
        <v>0</v>
      </c>
      <c r="R12" s="696">
        <v>0</v>
      </c>
      <c r="S12" s="691">
        <v>0</v>
      </c>
    </row>
    <row r="13" spans="1:19">
      <c r="A13" s="681">
        <v>7</v>
      </c>
      <c r="B13" s="683" t="s">
        <v>749</v>
      </c>
      <c r="C13" s="694">
        <f>SUM(C14:C16)</f>
        <v>3143006.02</v>
      </c>
      <c r="D13" s="694">
        <f t="shared" ref="D13:O13" si="2">SUM(D14:D16)</f>
        <v>1647767.22</v>
      </c>
      <c r="E13" s="694">
        <f t="shared" si="2"/>
        <v>539837.46</v>
      </c>
      <c r="F13" s="694">
        <f t="shared" si="2"/>
        <v>808416.27999999991</v>
      </c>
      <c r="G13" s="694">
        <f t="shared" si="2"/>
        <v>0</v>
      </c>
      <c r="H13" s="694">
        <f t="shared" si="2"/>
        <v>146985.06</v>
      </c>
      <c r="I13" s="694">
        <f t="shared" si="2"/>
        <v>476449.03440000006</v>
      </c>
      <c r="J13" s="694">
        <f t="shared" si="2"/>
        <v>32955.344400000002</v>
      </c>
      <c r="K13" s="694">
        <f t="shared" si="2"/>
        <v>53983.745999999999</v>
      </c>
      <c r="L13" s="694">
        <f t="shared" si="2"/>
        <v>242524.88400000002</v>
      </c>
      <c r="M13" s="694">
        <f t="shared" si="2"/>
        <v>0</v>
      </c>
      <c r="N13" s="694">
        <f t="shared" si="2"/>
        <v>146985.06</v>
      </c>
      <c r="O13" s="694">
        <f t="shared" si="2"/>
        <v>37</v>
      </c>
      <c r="P13" s="696">
        <v>0</v>
      </c>
      <c r="Q13" s="696">
        <v>0</v>
      </c>
      <c r="R13" s="696">
        <v>0.11089025773600009</v>
      </c>
      <c r="S13" s="691">
        <v>93.983124458917459</v>
      </c>
    </row>
    <row r="14" spans="1:19">
      <c r="A14" s="684">
        <v>7.1</v>
      </c>
      <c r="B14" s="685" t="s">
        <v>750</v>
      </c>
      <c r="C14" s="690">
        <f t="shared" si="0"/>
        <v>2729221.42</v>
      </c>
      <c r="D14" s="690">
        <v>1296668.18</v>
      </c>
      <c r="E14" s="690">
        <v>539837.46</v>
      </c>
      <c r="F14" s="690">
        <v>808416.27999999991</v>
      </c>
      <c r="G14" s="690">
        <v>0</v>
      </c>
      <c r="H14" s="690">
        <v>84299.5</v>
      </c>
      <c r="I14" s="690">
        <f t="shared" si="1"/>
        <v>406741.49360000005</v>
      </c>
      <c r="J14" s="690">
        <v>25933.363600000001</v>
      </c>
      <c r="K14" s="690">
        <v>53983.745999999999</v>
      </c>
      <c r="L14" s="690">
        <v>242524.88400000002</v>
      </c>
      <c r="M14" s="690">
        <v>0</v>
      </c>
      <c r="N14" s="690">
        <v>84299.5</v>
      </c>
      <c r="O14" s="691">
        <v>29</v>
      </c>
      <c r="P14" s="696">
        <v>0</v>
      </c>
      <c r="Q14" s="696">
        <v>0</v>
      </c>
      <c r="R14" s="696">
        <v>0.11101579835123816</v>
      </c>
      <c r="S14" s="691">
        <v>97.897209127328537</v>
      </c>
    </row>
    <row r="15" spans="1:19">
      <c r="A15" s="684">
        <v>7.2</v>
      </c>
      <c r="B15" s="685" t="s">
        <v>751</v>
      </c>
      <c r="C15" s="690">
        <f t="shared" si="0"/>
        <v>413784.6</v>
      </c>
      <c r="D15" s="690">
        <v>351099.04</v>
      </c>
      <c r="E15" s="690">
        <v>0</v>
      </c>
      <c r="F15" s="690">
        <v>0</v>
      </c>
      <c r="G15" s="690">
        <v>0</v>
      </c>
      <c r="H15" s="690">
        <v>62685.56</v>
      </c>
      <c r="I15" s="690">
        <f t="shared" si="1"/>
        <v>69707.540800000002</v>
      </c>
      <c r="J15" s="690">
        <v>7021.9807999999994</v>
      </c>
      <c r="K15" s="690">
        <v>0</v>
      </c>
      <c r="L15" s="690">
        <v>0</v>
      </c>
      <c r="M15" s="690">
        <v>0</v>
      </c>
      <c r="N15" s="690">
        <v>62685.56</v>
      </c>
      <c r="O15" s="691">
        <v>8</v>
      </c>
      <c r="P15" s="696">
        <v>0</v>
      </c>
      <c r="Q15" s="696">
        <v>0</v>
      </c>
      <c r="R15" s="696">
        <v>0.11006222272409365</v>
      </c>
      <c r="S15" s="691">
        <v>68.166784951064642</v>
      </c>
    </row>
    <row r="16" spans="1:19">
      <c r="A16" s="684">
        <v>7.3</v>
      </c>
      <c r="B16" s="685" t="s">
        <v>752</v>
      </c>
      <c r="C16" s="690">
        <f t="shared" si="0"/>
        <v>0</v>
      </c>
      <c r="D16" s="690">
        <v>0</v>
      </c>
      <c r="E16" s="690">
        <v>0</v>
      </c>
      <c r="F16" s="690">
        <v>0</v>
      </c>
      <c r="G16" s="690">
        <v>0</v>
      </c>
      <c r="H16" s="690">
        <v>0</v>
      </c>
      <c r="I16" s="690">
        <f t="shared" si="1"/>
        <v>0</v>
      </c>
      <c r="J16" s="690">
        <v>0</v>
      </c>
      <c r="K16" s="690">
        <v>0</v>
      </c>
      <c r="L16" s="690">
        <v>0</v>
      </c>
      <c r="M16" s="690">
        <v>0</v>
      </c>
      <c r="N16" s="690">
        <v>0</v>
      </c>
      <c r="O16" s="691">
        <v>0</v>
      </c>
      <c r="P16" s="696">
        <v>0</v>
      </c>
      <c r="Q16" s="696">
        <v>0</v>
      </c>
      <c r="R16" s="696">
        <v>0</v>
      </c>
      <c r="S16" s="691">
        <v>0</v>
      </c>
    </row>
    <row r="17" spans="1:19">
      <c r="A17" s="681">
        <v>8</v>
      </c>
      <c r="B17" s="683" t="s">
        <v>753</v>
      </c>
      <c r="C17" s="690">
        <f t="shared" si="0"/>
        <v>0</v>
      </c>
      <c r="D17" s="690">
        <v>0</v>
      </c>
      <c r="E17" s="690">
        <v>0</v>
      </c>
      <c r="F17" s="690">
        <v>0</v>
      </c>
      <c r="G17" s="690">
        <v>0</v>
      </c>
      <c r="H17" s="690">
        <v>0</v>
      </c>
      <c r="I17" s="690">
        <f t="shared" si="1"/>
        <v>0</v>
      </c>
      <c r="J17" s="690">
        <v>0</v>
      </c>
      <c r="K17" s="690">
        <v>0</v>
      </c>
      <c r="L17" s="690">
        <v>0</v>
      </c>
      <c r="M17" s="690">
        <v>0</v>
      </c>
      <c r="N17" s="690">
        <v>0</v>
      </c>
      <c r="O17" s="691">
        <v>0</v>
      </c>
      <c r="P17" s="696">
        <v>0</v>
      </c>
      <c r="Q17" s="696">
        <v>0</v>
      </c>
      <c r="R17" s="696">
        <v>0</v>
      </c>
      <c r="S17" s="691">
        <v>0</v>
      </c>
    </row>
    <row r="18" spans="1:19">
      <c r="A18" s="686">
        <v>9</v>
      </c>
      <c r="B18" s="687" t="s">
        <v>754</v>
      </c>
      <c r="C18" s="690">
        <f t="shared" si="0"/>
        <v>0</v>
      </c>
      <c r="D18" s="692">
        <v>0</v>
      </c>
      <c r="E18" s="692">
        <v>0</v>
      </c>
      <c r="F18" s="692">
        <v>0</v>
      </c>
      <c r="G18" s="692">
        <v>0</v>
      </c>
      <c r="H18" s="692">
        <v>0</v>
      </c>
      <c r="I18" s="690">
        <f t="shared" si="1"/>
        <v>0</v>
      </c>
      <c r="J18" s="692">
        <v>0</v>
      </c>
      <c r="K18" s="692">
        <v>0</v>
      </c>
      <c r="L18" s="692">
        <v>0</v>
      </c>
      <c r="M18" s="692">
        <v>0</v>
      </c>
      <c r="N18" s="692">
        <v>0</v>
      </c>
      <c r="O18" s="693">
        <v>0</v>
      </c>
      <c r="P18" s="697">
        <v>0</v>
      </c>
      <c r="Q18" s="697">
        <v>0</v>
      </c>
      <c r="R18" s="697">
        <v>0</v>
      </c>
      <c r="S18" s="693">
        <v>0</v>
      </c>
    </row>
    <row r="19" spans="1:19">
      <c r="A19" s="688">
        <v>10</v>
      </c>
      <c r="B19" s="689" t="s">
        <v>755</v>
      </c>
      <c r="C19" s="694">
        <f>SUM(C7:C13,C17+C18)</f>
        <v>6913962.3099999996</v>
      </c>
      <c r="D19" s="694">
        <f t="shared" ref="D19:O19" si="3">SUM(D7:D13,D17+D18)</f>
        <v>4695928.66</v>
      </c>
      <c r="E19" s="694">
        <f t="shared" si="3"/>
        <v>812020.9</v>
      </c>
      <c r="F19" s="694">
        <f t="shared" si="3"/>
        <v>851572.36999999988</v>
      </c>
      <c r="G19" s="694">
        <f t="shared" si="3"/>
        <v>45693.95</v>
      </c>
      <c r="H19" s="694">
        <f t="shared" si="3"/>
        <v>508746.42999999982</v>
      </c>
      <c r="I19" s="694">
        <f t="shared" si="3"/>
        <v>962185.77919999987</v>
      </c>
      <c r="J19" s="694">
        <f t="shared" si="3"/>
        <v>93918.573200000013</v>
      </c>
      <c r="K19" s="694">
        <f t="shared" si="3"/>
        <v>81202.09</v>
      </c>
      <c r="L19" s="694">
        <f t="shared" si="3"/>
        <v>255471.71100000001</v>
      </c>
      <c r="M19" s="694">
        <f t="shared" si="3"/>
        <v>22846.974999999999</v>
      </c>
      <c r="N19" s="694">
        <f t="shared" si="3"/>
        <v>508746.42999999982</v>
      </c>
      <c r="O19" s="694">
        <f t="shared" si="3"/>
        <v>255</v>
      </c>
      <c r="P19" s="696">
        <v>0.13627388019645015</v>
      </c>
      <c r="Q19" s="696">
        <v>0.14639481966626786</v>
      </c>
      <c r="R19" s="696">
        <v>0.11620280869312406</v>
      </c>
      <c r="S19" s="691">
        <v>66.86729528452581</v>
      </c>
    </row>
    <row r="20" spans="1:19" ht="25.5">
      <c r="A20" s="684">
        <v>10.1</v>
      </c>
      <c r="B20" s="685" t="s">
        <v>756</v>
      </c>
      <c r="C20" s="690"/>
      <c r="D20" s="690"/>
      <c r="E20" s="690"/>
      <c r="F20" s="690"/>
      <c r="G20" s="690"/>
      <c r="H20" s="690"/>
      <c r="I20" s="690"/>
      <c r="J20" s="690"/>
      <c r="K20" s="690"/>
      <c r="L20" s="690"/>
      <c r="M20" s="690"/>
      <c r="N20" s="690"/>
      <c r="O20" s="691"/>
      <c r="P20" s="691"/>
      <c r="Q20" s="691"/>
      <c r="R20" s="691"/>
      <c r="S20" s="691"/>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55.28515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28515625" style="5"/>
  </cols>
  <sheetData>
    <row r="1" spans="1:8">
      <c r="A1" s="449" t="s">
        <v>30</v>
      </c>
      <c r="B1" s="450" t="str">
        <f>'Info '!C2</f>
        <v>JSC Isbank Georgia</v>
      </c>
    </row>
    <row r="2" spans="1:8">
      <c r="A2" s="449" t="s">
        <v>31</v>
      </c>
      <c r="B2" s="451">
        <f>'1. key ratios '!B2</f>
        <v>44469</v>
      </c>
    </row>
    <row r="3" spans="1:8">
      <c r="A3" s="2"/>
    </row>
    <row r="4" spans="1:8" ht="15" thickBot="1">
      <c r="A4" s="23" t="s">
        <v>32</v>
      </c>
      <c r="B4" s="24" t="s">
        <v>33</v>
      </c>
      <c r="C4" s="23"/>
      <c r="D4" s="25"/>
      <c r="E4" s="25"/>
      <c r="F4" s="26"/>
      <c r="G4" s="26"/>
      <c r="H4" s="469" t="s">
        <v>73</v>
      </c>
    </row>
    <row r="5" spans="1:8">
      <c r="A5" s="27"/>
      <c r="B5" s="28"/>
      <c r="C5" s="705" t="s">
        <v>68</v>
      </c>
      <c r="D5" s="706"/>
      <c r="E5" s="707"/>
      <c r="F5" s="705" t="s">
        <v>72</v>
      </c>
      <c r="G5" s="706"/>
      <c r="H5" s="708"/>
    </row>
    <row r="6" spans="1:8">
      <c r="A6" s="29" t="s">
        <v>6</v>
      </c>
      <c r="B6" s="470" t="s">
        <v>34</v>
      </c>
      <c r="C6" s="471" t="s">
        <v>69</v>
      </c>
      <c r="D6" s="471" t="s">
        <v>70</v>
      </c>
      <c r="E6" s="471" t="s">
        <v>71</v>
      </c>
      <c r="F6" s="471" t="s">
        <v>69</v>
      </c>
      <c r="G6" s="471" t="s">
        <v>70</v>
      </c>
      <c r="H6" s="472" t="s">
        <v>71</v>
      </c>
    </row>
    <row r="7" spans="1:8">
      <c r="A7" s="29">
        <v>1</v>
      </c>
      <c r="B7" s="473" t="s">
        <v>35</v>
      </c>
      <c r="C7" s="474">
        <v>1401635.7000000002</v>
      </c>
      <c r="D7" s="474">
        <v>2851154.53</v>
      </c>
      <c r="E7" s="475">
        <f>C7+D7</f>
        <v>4252790.2300000004</v>
      </c>
      <c r="F7" s="476">
        <v>1442604.97</v>
      </c>
      <c r="G7" s="474">
        <v>2857892.29</v>
      </c>
      <c r="H7" s="477">
        <f>F7+G7</f>
        <v>4300497.26</v>
      </c>
    </row>
    <row r="8" spans="1:8">
      <c r="A8" s="29">
        <v>2</v>
      </c>
      <c r="B8" s="473" t="s">
        <v>36</v>
      </c>
      <c r="C8" s="474">
        <v>1081077.83</v>
      </c>
      <c r="D8" s="474">
        <v>46408947.799999997</v>
      </c>
      <c r="E8" s="475">
        <f t="shared" ref="E8:E19" si="0">C8+D8</f>
        <v>47490025.629999995</v>
      </c>
      <c r="F8" s="476">
        <v>842291.24</v>
      </c>
      <c r="G8" s="474">
        <v>39382020.25</v>
      </c>
      <c r="H8" s="477">
        <f t="shared" ref="H8:H40" si="1">F8+G8</f>
        <v>40224311.490000002</v>
      </c>
    </row>
    <row r="9" spans="1:8">
      <c r="A9" s="29">
        <v>3</v>
      </c>
      <c r="B9" s="473" t="s">
        <v>37</v>
      </c>
      <c r="C9" s="474">
        <v>25060101.43</v>
      </c>
      <c r="D9" s="474">
        <v>43342108.778904997</v>
      </c>
      <c r="E9" s="475">
        <f t="shared" si="0"/>
        <v>68402210.208904997</v>
      </c>
      <c r="F9" s="476">
        <v>7799126.4000000004</v>
      </c>
      <c r="G9" s="474">
        <v>43381216.586078003</v>
      </c>
      <c r="H9" s="477">
        <f t="shared" si="1"/>
        <v>51180342.986078002</v>
      </c>
    </row>
    <row r="10" spans="1:8">
      <c r="A10" s="29">
        <v>4</v>
      </c>
      <c r="B10" s="473" t="s">
        <v>38</v>
      </c>
      <c r="C10" s="474">
        <v>0</v>
      </c>
      <c r="D10" s="474">
        <v>0</v>
      </c>
      <c r="E10" s="475">
        <f t="shared" si="0"/>
        <v>0</v>
      </c>
      <c r="F10" s="476">
        <v>0</v>
      </c>
      <c r="G10" s="474">
        <v>0</v>
      </c>
      <c r="H10" s="477">
        <f t="shared" si="1"/>
        <v>0</v>
      </c>
    </row>
    <row r="11" spans="1:8">
      <c r="A11" s="29">
        <v>5</v>
      </c>
      <c r="B11" s="473" t="s">
        <v>39</v>
      </c>
      <c r="C11" s="474">
        <v>20229912.156374224</v>
      </c>
      <c r="D11" s="474">
        <v>13503804.743215412</v>
      </c>
      <c r="E11" s="475">
        <f t="shared" si="0"/>
        <v>33733716.899589635</v>
      </c>
      <c r="F11" s="476">
        <v>18261827.22255116</v>
      </c>
      <c r="G11" s="474">
        <v>10279016.313380601</v>
      </c>
      <c r="H11" s="477">
        <f t="shared" si="1"/>
        <v>28540843.535931759</v>
      </c>
    </row>
    <row r="12" spans="1:8">
      <c r="A12" s="29">
        <v>6.1</v>
      </c>
      <c r="B12" s="478" t="s">
        <v>40</v>
      </c>
      <c r="C12" s="474">
        <v>71668521.460000008</v>
      </c>
      <c r="D12" s="474">
        <v>164810569.38</v>
      </c>
      <c r="E12" s="475">
        <f t="shared" si="0"/>
        <v>236479090.84</v>
      </c>
      <c r="F12" s="476">
        <v>69329934.969999999</v>
      </c>
      <c r="G12" s="474">
        <v>135549336.55000001</v>
      </c>
      <c r="H12" s="477">
        <f t="shared" si="1"/>
        <v>204879271.52000001</v>
      </c>
    </row>
    <row r="13" spans="1:8">
      <c r="A13" s="29">
        <v>6.2</v>
      </c>
      <c r="B13" s="478" t="s">
        <v>41</v>
      </c>
      <c r="C13" s="479">
        <v>-4637151.4815999996</v>
      </c>
      <c r="D13" s="479">
        <v>-6560201.7383999992</v>
      </c>
      <c r="E13" s="480">
        <f t="shared" si="0"/>
        <v>-11197353.219999999</v>
      </c>
      <c r="F13" s="481">
        <v>-7367707.7200000007</v>
      </c>
      <c r="G13" s="479">
        <v>-4238718.1390000014</v>
      </c>
      <c r="H13" s="482">
        <f t="shared" si="1"/>
        <v>-11606425.859000001</v>
      </c>
    </row>
    <row r="14" spans="1:8">
      <c r="A14" s="29">
        <v>6</v>
      </c>
      <c r="B14" s="473" t="s">
        <v>42</v>
      </c>
      <c r="C14" s="475">
        <f>C12+C13</f>
        <v>67031369.978400007</v>
      </c>
      <c r="D14" s="475">
        <f>D12+D13</f>
        <v>158250367.64159998</v>
      </c>
      <c r="E14" s="475">
        <f t="shared" si="0"/>
        <v>225281737.62</v>
      </c>
      <c r="F14" s="475">
        <f>F12+F13</f>
        <v>61962227.25</v>
      </c>
      <c r="G14" s="475">
        <f>G12+G13</f>
        <v>131310618.41100001</v>
      </c>
      <c r="H14" s="477">
        <f t="shared" si="1"/>
        <v>193272845.66100001</v>
      </c>
    </row>
    <row r="15" spans="1:8">
      <c r="A15" s="29">
        <v>7</v>
      </c>
      <c r="B15" s="473" t="s">
        <v>43</v>
      </c>
      <c r="C15" s="474">
        <v>992889.73999999964</v>
      </c>
      <c r="D15" s="474">
        <v>865943.30860400014</v>
      </c>
      <c r="E15" s="475">
        <f t="shared" si="0"/>
        <v>1858833.0486039999</v>
      </c>
      <c r="F15" s="476">
        <v>1032157.5700000003</v>
      </c>
      <c r="G15" s="474">
        <v>1195642.4696520001</v>
      </c>
      <c r="H15" s="477">
        <f t="shared" si="1"/>
        <v>2227800.0396520002</v>
      </c>
    </row>
    <row r="16" spans="1:8">
      <c r="A16" s="29">
        <v>8</v>
      </c>
      <c r="B16" s="473" t="s">
        <v>199</v>
      </c>
      <c r="C16" s="474">
        <v>735525.39</v>
      </c>
      <c r="D16" s="474">
        <v>0</v>
      </c>
      <c r="E16" s="475">
        <f t="shared" si="0"/>
        <v>735525.39</v>
      </c>
      <c r="F16" s="476">
        <v>1102533.52</v>
      </c>
      <c r="G16" s="474">
        <v>0</v>
      </c>
      <c r="H16" s="477">
        <f t="shared" si="1"/>
        <v>1102533.52</v>
      </c>
    </row>
    <row r="17" spans="1:8">
      <c r="A17" s="29">
        <v>9</v>
      </c>
      <c r="B17" s="473" t="s">
        <v>44</v>
      </c>
      <c r="C17" s="474">
        <v>0</v>
      </c>
      <c r="D17" s="474">
        <v>0</v>
      </c>
      <c r="E17" s="475">
        <f t="shared" si="0"/>
        <v>0</v>
      </c>
      <c r="F17" s="476">
        <v>0</v>
      </c>
      <c r="G17" s="474">
        <v>0</v>
      </c>
      <c r="H17" s="477">
        <f t="shared" si="1"/>
        <v>0</v>
      </c>
    </row>
    <row r="18" spans="1:8">
      <c r="A18" s="29">
        <v>10</v>
      </c>
      <c r="B18" s="473" t="s">
        <v>45</v>
      </c>
      <c r="C18" s="474">
        <v>7866511.1100000003</v>
      </c>
      <c r="D18" s="474">
        <v>0</v>
      </c>
      <c r="E18" s="475">
        <f t="shared" si="0"/>
        <v>7866511.1100000003</v>
      </c>
      <c r="F18" s="476">
        <v>855014.79</v>
      </c>
      <c r="G18" s="474">
        <v>0</v>
      </c>
      <c r="H18" s="477">
        <f t="shared" si="1"/>
        <v>855014.79</v>
      </c>
    </row>
    <row r="19" spans="1:8">
      <c r="A19" s="29">
        <v>11</v>
      </c>
      <c r="B19" s="473" t="s">
        <v>46</v>
      </c>
      <c r="C19" s="474">
        <v>3419988.1342466073</v>
      </c>
      <c r="D19" s="474">
        <v>336785.02999999997</v>
      </c>
      <c r="E19" s="475">
        <f t="shared" si="0"/>
        <v>3756773.1642466071</v>
      </c>
      <c r="F19" s="476">
        <v>2396238.6517006131</v>
      </c>
      <c r="G19" s="474">
        <v>869204.49</v>
      </c>
      <c r="H19" s="477">
        <f t="shared" si="1"/>
        <v>3265443.1417006133</v>
      </c>
    </row>
    <row r="20" spans="1:8">
      <c r="A20" s="29">
        <v>12</v>
      </c>
      <c r="B20" s="483" t="s">
        <v>47</v>
      </c>
      <c r="C20" s="475">
        <f>SUM(C7:C11)+SUM(C14:C19)</f>
        <v>127819011.46902083</v>
      </c>
      <c r="D20" s="475">
        <f>SUM(D7:D11)+SUM(D14:D19)</f>
        <v>265559111.83232439</v>
      </c>
      <c r="E20" s="475">
        <f>C20+D20</f>
        <v>393378123.30134523</v>
      </c>
      <c r="F20" s="475">
        <f>SUM(F7:F11)+SUM(F14:F19)</f>
        <v>95694021.614251763</v>
      </c>
      <c r="G20" s="475">
        <f>SUM(G7:G11)+SUM(G14:G19)</f>
        <v>229275610.81011063</v>
      </c>
      <c r="H20" s="477">
        <f t="shared" si="1"/>
        <v>324969632.42436242</v>
      </c>
    </row>
    <row r="21" spans="1:8">
      <c r="A21" s="29"/>
      <c r="B21" s="470" t="s">
        <v>48</v>
      </c>
      <c r="C21" s="484"/>
      <c r="D21" s="484"/>
      <c r="E21" s="484"/>
      <c r="F21" s="485"/>
      <c r="G21" s="484"/>
      <c r="H21" s="486"/>
    </row>
    <row r="22" spans="1:8">
      <c r="A22" s="29">
        <v>13</v>
      </c>
      <c r="B22" s="473" t="s">
        <v>49</v>
      </c>
      <c r="C22" s="474">
        <v>0</v>
      </c>
      <c r="D22" s="474">
        <v>102298137.01000001</v>
      </c>
      <c r="E22" s="475">
        <f>C22+D22</f>
        <v>102298137.01000001</v>
      </c>
      <c r="F22" s="476">
        <v>0</v>
      </c>
      <c r="G22" s="474">
        <v>175197233.96000001</v>
      </c>
      <c r="H22" s="477">
        <f t="shared" si="1"/>
        <v>175197233.96000001</v>
      </c>
    </row>
    <row r="23" spans="1:8">
      <c r="A23" s="29">
        <v>14</v>
      </c>
      <c r="B23" s="473" t="s">
        <v>50</v>
      </c>
      <c r="C23" s="474">
        <v>22430911.800000001</v>
      </c>
      <c r="D23" s="474">
        <v>48644981.260000005</v>
      </c>
      <c r="E23" s="475">
        <f t="shared" ref="E23:E40" si="2">C23+D23</f>
        <v>71075893.060000002</v>
      </c>
      <c r="F23" s="476">
        <v>9470184.9499999955</v>
      </c>
      <c r="G23" s="474">
        <v>16114509.66</v>
      </c>
      <c r="H23" s="477">
        <f t="shared" si="1"/>
        <v>25584694.609999996</v>
      </c>
    </row>
    <row r="24" spans="1:8">
      <c r="A24" s="29">
        <v>15</v>
      </c>
      <c r="B24" s="473" t="s">
        <v>51</v>
      </c>
      <c r="C24" s="474">
        <v>0</v>
      </c>
      <c r="D24" s="474">
        <v>0</v>
      </c>
      <c r="E24" s="475">
        <f t="shared" si="2"/>
        <v>0</v>
      </c>
      <c r="F24" s="476">
        <v>0</v>
      </c>
      <c r="G24" s="474">
        <v>0</v>
      </c>
      <c r="H24" s="477">
        <f t="shared" si="1"/>
        <v>0</v>
      </c>
    </row>
    <row r="25" spans="1:8">
      <c r="A25" s="29">
        <v>16</v>
      </c>
      <c r="B25" s="473" t="s">
        <v>52</v>
      </c>
      <c r="C25" s="474">
        <v>1777115.53</v>
      </c>
      <c r="D25" s="474">
        <v>72348711.280000001</v>
      </c>
      <c r="E25" s="475">
        <f t="shared" si="2"/>
        <v>74125826.810000002</v>
      </c>
      <c r="F25" s="476">
        <v>703848.19</v>
      </c>
      <c r="G25" s="474">
        <v>22435594.399999999</v>
      </c>
      <c r="H25" s="477">
        <f t="shared" si="1"/>
        <v>23139442.59</v>
      </c>
    </row>
    <row r="26" spans="1:8">
      <c r="A26" s="29">
        <v>17</v>
      </c>
      <c r="B26" s="473" t="s">
        <v>53</v>
      </c>
      <c r="C26" s="484"/>
      <c r="D26" s="484"/>
      <c r="E26" s="475">
        <f t="shared" si="2"/>
        <v>0</v>
      </c>
      <c r="F26" s="485"/>
      <c r="G26" s="484"/>
      <c r="H26" s="477">
        <f t="shared" si="1"/>
        <v>0</v>
      </c>
    </row>
    <row r="27" spans="1:8">
      <c r="A27" s="29">
        <v>18</v>
      </c>
      <c r="B27" s="473" t="s">
        <v>54</v>
      </c>
      <c r="C27" s="474">
        <v>0</v>
      </c>
      <c r="D27" s="474">
        <v>40943377.743079998</v>
      </c>
      <c r="E27" s="475">
        <f t="shared" si="2"/>
        <v>40943377.743079998</v>
      </c>
      <c r="F27" s="476">
        <v>0</v>
      </c>
      <c r="G27" s="474">
        <v>15343066.644748</v>
      </c>
      <c r="H27" s="477">
        <f t="shared" si="1"/>
        <v>15343066.644748</v>
      </c>
    </row>
    <row r="28" spans="1:8">
      <c r="A28" s="29">
        <v>19</v>
      </c>
      <c r="B28" s="473" t="s">
        <v>55</v>
      </c>
      <c r="C28" s="474">
        <v>52855.880000000012</v>
      </c>
      <c r="D28" s="474">
        <v>1303621.2</v>
      </c>
      <c r="E28" s="475">
        <f t="shared" si="2"/>
        <v>1356477.08</v>
      </c>
      <c r="F28" s="476">
        <v>9678.7400000000016</v>
      </c>
      <c r="G28" s="474">
        <v>1660785.1839020001</v>
      </c>
      <c r="H28" s="477">
        <f t="shared" si="1"/>
        <v>1670463.9239020001</v>
      </c>
    </row>
    <row r="29" spans="1:8">
      <c r="A29" s="29">
        <v>20</v>
      </c>
      <c r="B29" s="473" t="s">
        <v>56</v>
      </c>
      <c r="C29" s="474">
        <v>2549664.7829999998</v>
      </c>
      <c r="D29" s="474">
        <v>9095758.6904000007</v>
      </c>
      <c r="E29" s="475">
        <f t="shared" si="2"/>
        <v>11645423.4734</v>
      </c>
      <c r="F29" s="476">
        <v>426998.95780000009</v>
      </c>
      <c r="G29" s="474">
        <v>2741556.8052000003</v>
      </c>
      <c r="H29" s="477">
        <f t="shared" si="1"/>
        <v>3168555.7630000003</v>
      </c>
    </row>
    <row r="30" spans="1:8">
      <c r="A30" s="29">
        <v>21</v>
      </c>
      <c r="B30" s="473" t="s">
        <v>57</v>
      </c>
      <c r="C30" s="474">
        <v>0</v>
      </c>
      <c r="D30" s="474">
        <v>0</v>
      </c>
      <c r="E30" s="475">
        <f t="shared" si="2"/>
        <v>0</v>
      </c>
      <c r="F30" s="476">
        <v>0</v>
      </c>
      <c r="G30" s="474">
        <v>0</v>
      </c>
      <c r="H30" s="477">
        <f t="shared" si="1"/>
        <v>0</v>
      </c>
    </row>
    <row r="31" spans="1:8">
      <c r="A31" s="29">
        <v>22</v>
      </c>
      <c r="B31" s="483" t="s">
        <v>58</v>
      </c>
      <c r="C31" s="475">
        <f>SUM(C22:C30)</f>
        <v>26810547.993000001</v>
      </c>
      <c r="D31" s="475">
        <f>SUM(D22:D30)</f>
        <v>274634587.18347996</v>
      </c>
      <c r="E31" s="475">
        <f>C31+D31</f>
        <v>301445135.17647994</v>
      </c>
      <c r="F31" s="475">
        <f>SUM(F22:F30)</f>
        <v>10610710.837799996</v>
      </c>
      <c r="G31" s="475">
        <f>SUM(G22:G30)</f>
        <v>233492746.65385002</v>
      </c>
      <c r="H31" s="477">
        <f t="shared" si="1"/>
        <v>244103457.49165002</v>
      </c>
    </row>
    <row r="32" spans="1:8">
      <c r="A32" s="29"/>
      <c r="B32" s="470" t="s">
        <v>59</v>
      </c>
      <c r="C32" s="484"/>
      <c r="D32" s="484"/>
      <c r="E32" s="474"/>
      <c r="F32" s="485"/>
      <c r="G32" s="484"/>
      <c r="H32" s="486"/>
    </row>
    <row r="33" spans="1:8">
      <c r="A33" s="29">
        <v>23</v>
      </c>
      <c r="B33" s="473" t="s">
        <v>60</v>
      </c>
      <c r="C33" s="474">
        <v>69161600</v>
      </c>
      <c r="D33" s="484">
        <v>0</v>
      </c>
      <c r="E33" s="475">
        <f t="shared" si="2"/>
        <v>69161600</v>
      </c>
      <c r="F33" s="476">
        <v>69161600</v>
      </c>
      <c r="G33" s="484">
        <v>0</v>
      </c>
      <c r="H33" s="477">
        <f t="shared" si="1"/>
        <v>69161600</v>
      </c>
    </row>
    <row r="34" spans="1:8">
      <c r="A34" s="29">
        <v>24</v>
      </c>
      <c r="B34" s="473" t="s">
        <v>61</v>
      </c>
      <c r="C34" s="474">
        <v>0</v>
      </c>
      <c r="D34" s="484">
        <v>0</v>
      </c>
      <c r="E34" s="475">
        <f t="shared" si="2"/>
        <v>0</v>
      </c>
      <c r="F34" s="476">
        <v>0</v>
      </c>
      <c r="G34" s="484">
        <v>0</v>
      </c>
      <c r="H34" s="477">
        <f t="shared" si="1"/>
        <v>0</v>
      </c>
    </row>
    <row r="35" spans="1:8">
      <c r="A35" s="29">
        <v>25</v>
      </c>
      <c r="B35" s="487" t="s">
        <v>62</v>
      </c>
      <c r="C35" s="474">
        <v>0</v>
      </c>
      <c r="D35" s="484">
        <v>0</v>
      </c>
      <c r="E35" s="475">
        <f t="shared" si="2"/>
        <v>0</v>
      </c>
      <c r="F35" s="476">
        <v>0</v>
      </c>
      <c r="G35" s="484">
        <v>0</v>
      </c>
      <c r="H35" s="477">
        <f t="shared" si="1"/>
        <v>0</v>
      </c>
    </row>
    <row r="36" spans="1:8">
      <c r="A36" s="29">
        <v>26</v>
      </c>
      <c r="B36" s="473" t="s">
        <v>63</v>
      </c>
      <c r="C36" s="474">
        <v>0</v>
      </c>
      <c r="D36" s="484">
        <v>0</v>
      </c>
      <c r="E36" s="475">
        <f t="shared" si="2"/>
        <v>0</v>
      </c>
      <c r="F36" s="476">
        <v>0</v>
      </c>
      <c r="G36" s="484">
        <v>0</v>
      </c>
      <c r="H36" s="477">
        <f t="shared" si="1"/>
        <v>0</v>
      </c>
    </row>
    <row r="37" spans="1:8">
      <c r="A37" s="29">
        <v>27</v>
      </c>
      <c r="B37" s="473" t="s">
        <v>64</v>
      </c>
      <c r="C37" s="474">
        <v>0</v>
      </c>
      <c r="D37" s="484">
        <v>0</v>
      </c>
      <c r="E37" s="475">
        <f t="shared" si="2"/>
        <v>0</v>
      </c>
      <c r="F37" s="476">
        <v>0</v>
      </c>
      <c r="G37" s="484">
        <v>0</v>
      </c>
      <c r="H37" s="477">
        <f t="shared" si="1"/>
        <v>0</v>
      </c>
    </row>
    <row r="38" spans="1:8">
      <c r="A38" s="29">
        <v>28</v>
      </c>
      <c r="B38" s="473" t="s">
        <v>65</v>
      </c>
      <c r="C38" s="474">
        <v>22771387.950918108</v>
      </c>
      <c r="D38" s="484">
        <v>0</v>
      </c>
      <c r="E38" s="475">
        <f t="shared" si="2"/>
        <v>22771387.950918108</v>
      </c>
      <c r="F38" s="476">
        <v>11704574.79151996</v>
      </c>
      <c r="G38" s="484">
        <v>0</v>
      </c>
      <c r="H38" s="477">
        <f t="shared" si="1"/>
        <v>11704574.79151996</v>
      </c>
    </row>
    <row r="39" spans="1:8">
      <c r="A39" s="29">
        <v>29</v>
      </c>
      <c r="B39" s="473" t="s">
        <v>66</v>
      </c>
      <c r="C39" s="474">
        <v>0</v>
      </c>
      <c r="D39" s="484">
        <v>0</v>
      </c>
      <c r="E39" s="475">
        <f t="shared" si="2"/>
        <v>0</v>
      </c>
      <c r="F39" s="476">
        <v>0</v>
      </c>
      <c r="G39" s="484">
        <v>0</v>
      </c>
      <c r="H39" s="477">
        <f t="shared" si="1"/>
        <v>0</v>
      </c>
    </row>
    <row r="40" spans="1:8">
      <c r="A40" s="29">
        <v>30</v>
      </c>
      <c r="B40" s="488" t="s">
        <v>266</v>
      </c>
      <c r="C40" s="489">
        <v>91932987.950918108</v>
      </c>
      <c r="D40" s="484">
        <v>0</v>
      </c>
      <c r="E40" s="475">
        <f t="shared" si="2"/>
        <v>91932987.950918108</v>
      </c>
      <c r="F40" s="489">
        <v>80866174.791519955</v>
      </c>
      <c r="G40" s="484">
        <v>0</v>
      </c>
      <c r="H40" s="477">
        <f t="shared" si="1"/>
        <v>80866174.791519955</v>
      </c>
    </row>
    <row r="41" spans="1:8" ht="15" thickBot="1">
      <c r="A41" s="30">
        <v>31</v>
      </c>
      <c r="B41" s="31" t="s">
        <v>67</v>
      </c>
      <c r="C41" s="490">
        <f>C31+C40</f>
        <v>118743535.94391811</v>
      </c>
      <c r="D41" s="490">
        <f>D31+D40</f>
        <v>274634587.18347996</v>
      </c>
      <c r="E41" s="490">
        <f>C41+D41</f>
        <v>393378123.12739807</v>
      </c>
      <c r="F41" s="490">
        <f>F31+F40</f>
        <v>91476885.629319951</v>
      </c>
      <c r="G41" s="490">
        <f>G31+G40</f>
        <v>233492746.65385002</v>
      </c>
      <c r="H41" s="491">
        <f>F41+G41</f>
        <v>324969632.28316998</v>
      </c>
    </row>
    <row r="43" spans="1:8">
      <c r="B43" s="32"/>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44469</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92" t="s">
        <v>73</v>
      </c>
    </row>
    <row r="5" spans="1:8">
      <c r="A5" s="36" t="s">
        <v>6</v>
      </c>
      <c r="B5" s="37"/>
      <c r="C5" s="705" t="s">
        <v>68</v>
      </c>
      <c r="D5" s="706"/>
      <c r="E5" s="707"/>
      <c r="F5" s="705" t="s">
        <v>72</v>
      </c>
      <c r="G5" s="706"/>
      <c r="H5" s="708"/>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25.5">
      <c r="A8" s="39">
        <v>1</v>
      </c>
      <c r="B8" s="498" t="s">
        <v>193</v>
      </c>
      <c r="C8" s="499">
        <v>423267.39</v>
      </c>
      <c r="D8" s="499">
        <v>15574.3</v>
      </c>
      <c r="E8" s="480">
        <f t="shared" ref="E8:E22" si="0">C8+D8</f>
        <v>438841.69</v>
      </c>
      <c r="F8" s="500">
        <v>276227.87</v>
      </c>
      <c r="G8" s="500">
        <v>0</v>
      </c>
      <c r="H8" s="482">
        <f t="shared" ref="H8:H22" si="1">F8+G8</f>
        <v>276227.87</v>
      </c>
    </row>
    <row r="9" spans="1:8">
      <c r="A9" s="39">
        <v>2</v>
      </c>
      <c r="B9" s="498" t="s">
        <v>192</v>
      </c>
      <c r="C9" s="501">
        <f>C10+C11+C12+C13+C14+C15+C16+C17+C18</f>
        <v>12250289.049999997</v>
      </c>
      <c r="D9" s="501">
        <f>D10+D11+D12+D13+D14+D15+D16+D17+D18</f>
        <v>1001943.7000000001</v>
      </c>
      <c r="E9" s="480">
        <f t="shared" si="0"/>
        <v>13252232.749999996</v>
      </c>
      <c r="F9" s="501">
        <f>F10+F11+F12+F13+F14+F15+F16+F17+F18</f>
        <v>10217960.15</v>
      </c>
      <c r="G9" s="501">
        <f>G10+G11+G12+G13+G14+G15+G16+G17+G18</f>
        <v>505505.33999999997</v>
      </c>
      <c r="H9" s="482">
        <f t="shared" si="1"/>
        <v>10723465.49</v>
      </c>
    </row>
    <row r="10" spans="1:8">
      <c r="A10" s="39">
        <v>2.1</v>
      </c>
      <c r="B10" s="502" t="s">
        <v>191</v>
      </c>
      <c r="C10" s="500">
        <v>0</v>
      </c>
      <c r="D10" s="500">
        <v>241458.99</v>
      </c>
      <c r="E10" s="480">
        <f t="shared" si="0"/>
        <v>241458.99</v>
      </c>
      <c r="F10" s="500">
        <v>0</v>
      </c>
      <c r="G10" s="500">
        <v>69469.86</v>
      </c>
      <c r="H10" s="482">
        <f t="shared" si="1"/>
        <v>69469.86</v>
      </c>
    </row>
    <row r="11" spans="1:8">
      <c r="A11" s="39">
        <v>2.2000000000000002</v>
      </c>
      <c r="B11" s="502" t="s">
        <v>190</v>
      </c>
      <c r="C11" s="500">
        <v>11565019.559999997</v>
      </c>
      <c r="D11" s="500">
        <v>0</v>
      </c>
      <c r="E11" s="480">
        <f t="shared" si="0"/>
        <v>11565019.559999997</v>
      </c>
      <c r="F11" s="500">
        <v>9460819.7800000012</v>
      </c>
      <c r="G11" s="500">
        <v>0</v>
      </c>
      <c r="H11" s="482">
        <f t="shared" si="1"/>
        <v>9460819.7800000012</v>
      </c>
    </row>
    <row r="12" spans="1:8">
      <c r="A12" s="39">
        <v>2.2999999999999998</v>
      </c>
      <c r="B12" s="502" t="s">
        <v>189</v>
      </c>
      <c r="C12" s="500"/>
      <c r="D12" s="500"/>
      <c r="E12" s="480">
        <f t="shared" si="0"/>
        <v>0</v>
      </c>
      <c r="F12" s="500"/>
      <c r="G12" s="500"/>
      <c r="H12" s="482">
        <f t="shared" si="1"/>
        <v>0</v>
      </c>
    </row>
    <row r="13" spans="1:8">
      <c r="A13" s="39">
        <v>2.4</v>
      </c>
      <c r="B13" s="502" t="s">
        <v>188</v>
      </c>
      <c r="C13" s="500"/>
      <c r="D13" s="500"/>
      <c r="E13" s="480">
        <f t="shared" si="0"/>
        <v>0</v>
      </c>
      <c r="F13" s="500"/>
      <c r="G13" s="500"/>
      <c r="H13" s="482">
        <f t="shared" si="1"/>
        <v>0</v>
      </c>
    </row>
    <row r="14" spans="1:8">
      <c r="A14" s="39">
        <v>2.5</v>
      </c>
      <c r="B14" s="502" t="s">
        <v>187</v>
      </c>
      <c r="C14" s="500"/>
      <c r="D14" s="500"/>
      <c r="E14" s="480">
        <f t="shared" si="0"/>
        <v>0</v>
      </c>
      <c r="F14" s="500"/>
      <c r="G14" s="500"/>
      <c r="H14" s="482">
        <f t="shared" si="1"/>
        <v>0</v>
      </c>
    </row>
    <row r="15" spans="1:8">
      <c r="A15" s="39">
        <v>2.6</v>
      </c>
      <c r="B15" s="502" t="s">
        <v>186</v>
      </c>
      <c r="C15" s="500"/>
      <c r="D15" s="500"/>
      <c r="E15" s="480">
        <f t="shared" si="0"/>
        <v>0</v>
      </c>
      <c r="F15" s="500"/>
      <c r="G15" s="500"/>
      <c r="H15" s="482">
        <f t="shared" si="1"/>
        <v>0</v>
      </c>
    </row>
    <row r="16" spans="1:8">
      <c r="A16" s="39">
        <v>2.7</v>
      </c>
      <c r="B16" s="502" t="s">
        <v>185</v>
      </c>
      <c r="C16" s="500"/>
      <c r="D16" s="500"/>
      <c r="E16" s="480">
        <f t="shared" si="0"/>
        <v>0</v>
      </c>
      <c r="F16" s="500"/>
      <c r="G16" s="500"/>
      <c r="H16" s="482">
        <f t="shared" si="1"/>
        <v>0</v>
      </c>
    </row>
    <row r="17" spans="1:8">
      <c r="A17" s="39">
        <v>2.8</v>
      </c>
      <c r="B17" s="502" t="s">
        <v>184</v>
      </c>
      <c r="C17" s="500">
        <v>685269.49000000011</v>
      </c>
      <c r="D17" s="500">
        <v>760484.71000000008</v>
      </c>
      <c r="E17" s="480">
        <f t="shared" si="0"/>
        <v>1445754.2000000002</v>
      </c>
      <c r="F17" s="500">
        <v>757140.37</v>
      </c>
      <c r="G17" s="500">
        <v>436035.48</v>
      </c>
      <c r="H17" s="482">
        <f t="shared" si="1"/>
        <v>1193175.8500000001</v>
      </c>
    </row>
    <row r="18" spans="1:8">
      <c r="A18" s="39">
        <v>2.9</v>
      </c>
      <c r="B18" s="502" t="s">
        <v>183</v>
      </c>
      <c r="C18" s="500">
        <v>0</v>
      </c>
      <c r="D18" s="500">
        <v>0</v>
      </c>
      <c r="E18" s="480">
        <f t="shared" si="0"/>
        <v>0</v>
      </c>
      <c r="F18" s="500">
        <v>0</v>
      </c>
      <c r="G18" s="500">
        <v>0</v>
      </c>
      <c r="H18" s="482">
        <f t="shared" si="1"/>
        <v>0</v>
      </c>
    </row>
    <row r="19" spans="1:8">
      <c r="A19" s="39">
        <v>3</v>
      </c>
      <c r="B19" s="498" t="s">
        <v>182</v>
      </c>
      <c r="C19" s="500">
        <v>0</v>
      </c>
      <c r="D19" s="500">
        <v>0</v>
      </c>
      <c r="E19" s="480">
        <f t="shared" si="0"/>
        <v>0</v>
      </c>
      <c r="F19" s="500">
        <v>0</v>
      </c>
      <c r="G19" s="500">
        <v>0</v>
      </c>
      <c r="H19" s="482">
        <f t="shared" si="1"/>
        <v>0</v>
      </c>
    </row>
    <row r="20" spans="1:8">
      <c r="A20" s="39">
        <v>4</v>
      </c>
      <c r="B20" s="498" t="s">
        <v>181</v>
      </c>
      <c r="C20" s="500">
        <v>1943994.002720501</v>
      </c>
      <c r="D20" s="500">
        <v>329591.05048548954</v>
      </c>
      <c r="E20" s="480">
        <f t="shared" si="0"/>
        <v>2273585.0532059907</v>
      </c>
      <c r="F20" s="500">
        <v>2080900.8731814693</v>
      </c>
      <c r="G20" s="500">
        <v>365846.10847974621</v>
      </c>
      <c r="H20" s="482">
        <f t="shared" si="1"/>
        <v>2446746.9816612154</v>
      </c>
    </row>
    <row r="21" spans="1:8">
      <c r="A21" s="39">
        <v>5</v>
      </c>
      <c r="B21" s="498" t="s">
        <v>180</v>
      </c>
      <c r="C21" s="500">
        <v>0</v>
      </c>
      <c r="D21" s="500"/>
      <c r="E21" s="480">
        <f t="shared" si="0"/>
        <v>0</v>
      </c>
      <c r="F21" s="500">
        <v>0</v>
      </c>
      <c r="G21" s="500"/>
      <c r="H21" s="482">
        <f t="shared" si="1"/>
        <v>0</v>
      </c>
    </row>
    <row r="22" spans="1:8">
      <c r="A22" s="39">
        <v>6</v>
      </c>
      <c r="B22" s="503" t="s">
        <v>179</v>
      </c>
      <c r="C22" s="501">
        <f>C8+C9+C19+C20+C21</f>
        <v>14617550.442720499</v>
      </c>
      <c r="D22" s="501">
        <f>D8+D9+D19+D20+D21</f>
        <v>1347109.0504854897</v>
      </c>
      <c r="E22" s="480">
        <f t="shared" si="0"/>
        <v>15964659.493205989</v>
      </c>
      <c r="F22" s="501">
        <f>F8+F9+F19+F20+F21</f>
        <v>12575088.893181469</v>
      </c>
      <c r="G22" s="501">
        <f>G8+G9+G19+G20+G21</f>
        <v>871351.44847974624</v>
      </c>
      <c r="H22" s="482">
        <f t="shared" si="1"/>
        <v>13446440.341661215</v>
      </c>
    </row>
    <row r="23" spans="1:8">
      <c r="A23" s="39"/>
      <c r="B23" s="182" t="s">
        <v>178</v>
      </c>
      <c r="C23" s="500"/>
      <c r="D23" s="500"/>
      <c r="E23" s="479"/>
      <c r="F23" s="500"/>
      <c r="G23" s="500"/>
      <c r="H23" s="504"/>
    </row>
    <row r="24" spans="1:8">
      <c r="A24" s="39">
        <v>7</v>
      </c>
      <c r="B24" s="498" t="s">
        <v>177</v>
      </c>
      <c r="C24" s="500">
        <v>263134.42000000004</v>
      </c>
      <c r="D24" s="500">
        <v>0</v>
      </c>
      <c r="E24" s="480">
        <f t="shared" ref="E24:E31" si="2">C24+D24</f>
        <v>263134.42000000004</v>
      </c>
      <c r="F24" s="500">
        <v>83763.240000000005</v>
      </c>
      <c r="G24" s="500">
        <v>0</v>
      </c>
      <c r="H24" s="482">
        <f t="shared" ref="H24:H31" si="3">F24+G24</f>
        <v>83763.240000000005</v>
      </c>
    </row>
    <row r="25" spans="1:8">
      <c r="A25" s="39">
        <v>8</v>
      </c>
      <c r="B25" s="498" t="s">
        <v>176</v>
      </c>
      <c r="C25" s="500">
        <v>470770.27966000012</v>
      </c>
      <c r="D25" s="500">
        <v>374219.58034000004</v>
      </c>
      <c r="E25" s="480">
        <f t="shared" si="2"/>
        <v>844989.8600000001</v>
      </c>
      <c r="F25" s="500">
        <v>503821.44000000024</v>
      </c>
      <c r="G25" s="500">
        <v>0</v>
      </c>
      <c r="H25" s="482">
        <f t="shared" si="3"/>
        <v>503821.44000000024</v>
      </c>
    </row>
    <row r="26" spans="1:8">
      <c r="A26" s="39">
        <v>9</v>
      </c>
      <c r="B26" s="498" t="s">
        <v>175</v>
      </c>
      <c r="C26" s="500">
        <v>24879.26</v>
      </c>
      <c r="D26" s="500">
        <v>1008640.81</v>
      </c>
      <c r="E26" s="480">
        <f t="shared" si="2"/>
        <v>1033520.0700000001</v>
      </c>
      <c r="F26" s="500">
        <v>45475.97</v>
      </c>
      <c r="G26" s="500">
        <v>1529247.4300000002</v>
      </c>
      <c r="H26" s="482">
        <f t="shared" si="3"/>
        <v>1574723.4000000001</v>
      </c>
    </row>
    <row r="27" spans="1:8">
      <c r="A27" s="39">
        <v>10</v>
      </c>
      <c r="B27" s="498" t="s">
        <v>174</v>
      </c>
      <c r="C27" s="500"/>
      <c r="D27" s="500"/>
      <c r="E27" s="480">
        <f t="shared" si="2"/>
        <v>0</v>
      </c>
      <c r="F27" s="500">
        <v>0</v>
      </c>
      <c r="G27" s="500">
        <v>0</v>
      </c>
      <c r="H27" s="482">
        <f t="shared" si="3"/>
        <v>0</v>
      </c>
    </row>
    <row r="28" spans="1:8">
      <c r="A28" s="39">
        <v>11</v>
      </c>
      <c r="B28" s="498" t="s">
        <v>173</v>
      </c>
      <c r="C28" s="500">
        <v>24836.65</v>
      </c>
      <c r="D28" s="500">
        <v>1187288.6500000001</v>
      </c>
      <c r="E28" s="480">
        <f t="shared" si="2"/>
        <v>1212125.3</v>
      </c>
      <c r="F28" s="500">
        <v>208201.93</v>
      </c>
      <c r="G28" s="500">
        <v>578068.56999999995</v>
      </c>
      <c r="H28" s="482">
        <f t="shared" si="3"/>
        <v>786270.5</v>
      </c>
    </row>
    <row r="29" spans="1:8">
      <c r="A29" s="39">
        <v>12</v>
      </c>
      <c r="B29" s="498" t="s">
        <v>172</v>
      </c>
      <c r="C29" s="500"/>
      <c r="D29" s="500"/>
      <c r="E29" s="480">
        <f t="shared" si="2"/>
        <v>0</v>
      </c>
      <c r="F29" s="500"/>
      <c r="G29" s="500"/>
      <c r="H29" s="482">
        <f t="shared" si="3"/>
        <v>0</v>
      </c>
    </row>
    <row r="30" spans="1:8">
      <c r="A30" s="39">
        <v>13</v>
      </c>
      <c r="B30" s="505" t="s">
        <v>171</v>
      </c>
      <c r="C30" s="501">
        <f>C24+C25+C26+C27+C28+C29</f>
        <v>783620.60966000019</v>
      </c>
      <c r="D30" s="501">
        <f>D24+D25+D26+D27+D28+D29</f>
        <v>2570149.0403400003</v>
      </c>
      <c r="E30" s="480">
        <f t="shared" si="2"/>
        <v>3353769.6500000004</v>
      </c>
      <c r="F30" s="501">
        <f>F24+F25+F26+F27+F28+F29</f>
        <v>841262.58000000031</v>
      </c>
      <c r="G30" s="501">
        <f>G24+G25+G26+G27+G28+G29</f>
        <v>2107316</v>
      </c>
      <c r="H30" s="482">
        <f t="shared" si="3"/>
        <v>2948578.58</v>
      </c>
    </row>
    <row r="31" spans="1:8">
      <c r="A31" s="39">
        <v>14</v>
      </c>
      <c r="B31" s="505" t="s">
        <v>170</v>
      </c>
      <c r="C31" s="501">
        <f>C22-C30</f>
        <v>13833929.833060499</v>
      </c>
      <c r="D31" s="501">
        <f>D22-D30</f>
        <v>-1223039.9898545106</v>
      </c>
      <c r="E31" s="480">
        <f t="shared" si="2"/>
        <v>12610889.843205988</v>
      </c>
      <c r="F31" s="501">
        <f>F22-F30</f>
        <v>11733826.313181469</v>
      </c>
      <c r="G31" s="501">
        <f>G22-G30</f>
        <v>-1235964.5515202538</v>
      </c>
      <c r="H31" s="482">
        <f t="shared" si="3"/>
        <v>10497861.761661215</v>
      </c>
    </row>
    <row r="32" spans="1:8">
      <c r="A32" s="39"/>
      <c r="B32" s="506"/>
      <c r="C32" s="507"/>
      <c r="D32" s="507"/>
      <c r="E32" s="507"/>
      <c r="F32" s="507"/>
      <c r="G32" s="507"/>
      <c r="H32" s="508"/>
    </row>
    <row r="33" spans="1:8">
      <c r="A33" s="39"/>
      <c r="B33" s="506" t="s">
        <v>169</v>
      </c>
      <c r="C33" s="500"/>
      <c r="D33" s="500"/>
      <c r="E33" s="479"/>
      <c r="F33" s="500"/>
      <c r="G33" s="500"/>
      <c r="H33" s="504"/>
    </row>
    <row r="34" spans="1:8">
      <c r="A34" s="39">
        <v>15</v>
      </c>
      <c r="B34" s="509" t="s">
        <v>168</v>
      </c>
      <c r="C34" s="510">
        <f>C35-C36</f>
        <v>-79518.469999999972</v>
      </c>
      <c r="D34" s="510">
        <f>D35-D36</f>
        <v>0</v>
      </c>
      <c r="E34" s="480">
        <f t="shared" ref="E34:E45" si="4">C34+D34</f>
        <v>-79518.469999999972</v>
      </c>
      <c r="F34" s="510">
        <f>F35-F36</f>
        <v>313809.42000000016</v>
      </c>
      <c r="G34" s="510">
        <f>G35-G36</f>
        <v>0</v>
      </c>
      <c r="H34" s="482">
        <f t="shared" ref="H34:H45" si="5">F34+G34</f>
        <v>313809.42000000016</v>
      </c>
    </row>
    <row r="35" spans="1:8">
      <c r="A35" s="39">
        <v>15.1</v>
      </c>
      <c r="B35" s="502" t="s">
        <v>167</v>
      </c>
      <c r="C35" s="500">
        <v>1076563.9300000002</v>
      </c>
      <c r="D35" s="500"/>
      <c r="E35" s="480">
        <f t="shared" si="4"/>
        <v>1076563.9300000002</v>
      </c>
      <c r="F35" s="500">
        <v>823784.43</v>
      </c>
      <c r="G35" s="500"/>
      <c r="H35" s="482">
        <f t="shared" si="5"/>
        <v>823784.43</v>
      </c>
    </row>
    <row r="36" spans="1:8">
      <c r="A36" s="39">
        <v>15.2</v>
      </c>
      <c r="B36" s="502" t="s">
        <v>166</v>
      </c>
      <c r="C36" s="500">
        <v>1156082.4000000001</v>
      </c>
      <c r="D36" s="500"/>
      <c r="E36" s="480">
        <f t="shared" si="4"/>
        <v>1156082.4000000001</v>
      </c>
      <c r="F36" s="500">
        <v>509975.00999999989</v>
      </c>
      <c r="G36" s="500"/>
      <c r="H36" s="482">
        <f t="shared" si="5"/>
        <v>509975.00999999989</v>
      </c>
    </row>
    <row r="37" spans="1:8">
      <c r="A37" s="39">
        <v>16</v>
      </c>
      <c r="B37" s="498" t="s">
        <v>165</v>
      </c>
      <c r="C37" s="500">
        <v>0</v>
      </c>
      <c r="D37" s="500"/>
      <c r="E37" s="480">
        <f t="shared" si="4"/>
        <v>0</v>
      </c>
      <c r="F37" s="500">
        <v>0</v>
      </c>
      <c r="G37" s="500"/>
      <c r="H37" s="482">
        <f t="shared" si="5"/>
        <v>0</v>
      </c>
    </row>
    <row r="38" spans="1:8">
      <c r="A38" s="39">
        <v>17</v>
      </c>
      <c r="B38" s="498" t="s">
        <v>164</v>
      </c>
      <c r="C38" s="500">
        <v>0</v>
      </c>
      <c r="D38" s="500"/>
      <c r="E38" s="480">
        <f t="shared" si="4"/>
        <v>0</v>
      </c>
      <c r="F38" s="500">
        <v>0</v>
      </c>
      <c r="G38" s="500"/>
      <c r="H38" s="482">
        <f t="shared" si="5"/>
        <v>0</v>
      </c>
    </row>
    <row r="39" spans="1:8">
      <c r="A39" s="39">
        <v>18</v>
      </c>
      <c r="B39" s="498" t="s">
        <v>163</v>
      </c>
      <c r="C39" s="500">
        <v>0</v>
      </c>
      <c r="D39" s="500"/>
      <c r="E39" s="480">
        <f t="shared" si="4"/>
        <v>0</v>
      </c>
      <c r="F39" s="500">
        <v>0</v>
      </c>
      <c r="G39" s="500"/>
      <c r="H39" s="482">
        <f t="shared" si="5"/>
        <v>0</v>
      </c>
    </row>
    <row r="40" spans="1:8">
      <c r="A40" s="39">
        <v>19</v>
      </c>
      <c r="B40" s="498" t="s">
        <v>162</v>
      </c>
      <c r="C40" s="500">
        <v>2175784.1000000006</v>
      </c>
      <c r="D40" s="500"/>
      <c r="E40" s="480">
        <f t="shared" si="4"/>
        <v>2175784.1000000006</v>
      </c>
      <c r="F40" s="500">
        <v>763586.9299999997</v>
      </c>
      <c r="G40" s="500"/>
      <c r="H40" s="482">
        <f t="shared" si="5"/>
        <v>763586.9299999997</v>
      </c>
    </row>
    <row r="41" spans="1:8">
      <c r="A41" s="39">
        <v>20</v>
      </c>
      <c r="B41" s="498" t="s">
        <v>161</v>
      </c>
      <c r="C41" s="500">
        <v>-1162065.0500000059</v>
      </c>
      <c r="D41" s="500"/>
      <c r="E41" s="480">
        <f t="shared" si="4"/>
        <v>-1162065.0500000059</v>
      </c>
      <c r="F41" s="500">
        <v>-299540.62000000081</v>
      </c>
      <c r="G41" s="500"/>
      <c r="H41" s="482">
        <f t="shared" si="5"/>
        <v>-299540.62000000081</v>
      </c>
    </row>
    <row r="42" spans="1:8">
      <c r="A42" s="39">
        <v>21</v>
      </c>
      <c r="B42" s="498" t="s">
        <v>160</v>
      </c>
      <c r="C42" s="500">
        <v>0</v>
      </c>
      <c r="D42" s="500"/>
      <c r="E42" s="480">
        <f t="shared" si="4"/>
        <v>0</v>
      </c>
      <c r="F42" s="500">
        <v>0</v>
      </c>
      <c r="G42" s="500"/>
      <c r="H42" s="482">
        <f t="shared" si="5"/>
        <v>0</v>
      </c>
    </row>
    <row r="43" spans="1:8">
      <c r="A43" s="39">
        <v>22</v>
      </c>
      <c r="B43" s="498" t="s">
        <v>159</v>
      </c>
      <c r="C43" s="500">
        <v>1857419.7999999998</v>
      </c>
      <c r="D43" s="500"/>
      <c r="E43" s="480">
        <f t="shared" si="4"/>
        <v>1857419.7999999998</v>
      </c>
      <c r="F43" s="500">
        <v>1621406.51</v>
      </c>
      <c r="G43" s="500"/>
      <c r="H43" s="482">
        <f t="shared" si="5"/>
        <v>1621406.51</v>
      </c>
    </row>
    <row r="44" spans="1:8">
      <c r="A44" s="39">
        <v>23</v>
      </c>
      <c r="B44" s="498" t="s">
        <v>158</v>
      </c>
      <c r="C44" s="500">
        <v>0</v>
      </c>
      <c r="D44" s="500"/>
      <c r="E44" s="480">
        <f t="shared" si="4"/>
        <v>0</v>
      </c>
      <c r="F44" s="500">
        <v>0</v>
      </c>
      <c r="G44" s="500"/>
      <c r="H44" s="482">
        <f t="shared" si="5"/>
        <v>0</v>
      </c>
    </row>
    <row r="45" spans="1:8">
      <c r="A45" s="39">
        <v>24</v>
      </c>
      <c r="B45" s="505" t="s">
        <v>273</v>
      </c>
      <c r="C45" s="501">
        <f>C34+C37+C38+C39+C40+C41+C42+C43+C44</f>
        <v>2791620.3799999943</v>
      </c>
      <c r="D45" s="501">
        <f>D34+D37+D38+D39+D40+D41+D42+D43+D44</f>
        <v>0</v>
      </c>
      <c r="E45" s="480">
        <f t="shared" si="4"/>
        <v>2791620.3799999943</v>
      </c>
      <c r="F45" s="501">
        <f>F34+F37+F38+F39+F40+F41+F42+F43+F44</f>
        <v>2399262.2399999993</v>
      </c>
      <c r="G45" s="501">
        <f>G34+G37+G38+G39+G40+G41+G42+G43+G44</f>
        <v>0</v>
      </c>
      <c r="H45" s="482">
        <f t="shared" si="5"/>
        <v>2399262.2399999993</v>
      </c>
    </row>
    <row r="46" spans="1:8">
      <c r="A46" s="39"/>
      <c r="B46" s="182" t="s">
        <v>157</v>
      </c>
      <c r="C46" s="500"/>
      <c r="D46" s="500"/>
      <c r="E46" s="500"/>
      <c r="F46" s="500"/>
      <c r="G46" s="500"/>
      <c r="H46" s="511"/>
    </row>
    <row r="47" spans="1:8">
      <c r="A47" s="39">
        <v>25</v>
      </c>
      <c r="B47" s="498" t="s">
        <v>156</v>
      </c>
      <c r="C47" s="500">
        <v>0</v>
      </c>
      <c r="D47" s="500">
        <v>19882.490000000002</v>
      </c>
      <c r="E47" s="480">
        <f t="shared" ref="E47:E54" si="6">C47+D47</f>
        <v>19882.490000000002</v>
      </c>
      <c r="F47" s="500">
        <v>0</v>
      </c>
      <c r="G47" s="500"/>
      <c r="H47" s="482">
        <f t="shared" ref="H47:H54" si="7">F47+G47</f>
        <v>0</v>
      </c>
    </row>
    <row r="48" spans="1:8">
      <c r="A48" s="39">
        <v>26</v>
      </c>
      <c r="B48" s="498" t="s">
        <v>155</v>
      </c>
      <c r="C48" s="500">
        <v>77437.580000000016</v>
      </c>
      <c r="D48" s="500">
        <v>0</v>
      </c>
      <c r="E48" s="480">
        <f t="shared" si="6"/>
        <v>77437.580000000016</v>
      </c>
      <c r="F48" s="500">
        <v>44602.86</v>
      </c>
      <c r="G48" s="500"/>
      <c r="H48" s="482">
        <f t="shared" si="7"/>
        <v>44602.86</v>
      </c>
    </row>
    <row r="49" spans="1:8">
      <c r="A49" s="39">
        <v>27</v>
      </c>
      <c r="B49" s="498" t="s">
        <v>154</v>
      </c>
      <c r="C49" s="500">
        <v>3492353.7899999996</v>
      </c>
      <c r="D49" s="500"/>
      <c r="E49" s="480">
        <f t="shared" si="6"/>
        <v>3492353.7899999996</v>
      </c>
      <c r="F49" s="500">
        <v>3749596.97</v>
      </c>
      <c r="G49" s="500"/>
      <c r="H49" s="482">
        <f t="shared" si="7"/>
        <v>3749596.97</v>
      </c>
    </row>
    <row r="50" spans="1:8">
      <c r="A50" s="39">
        <v>28</v>
      </c>
      <c r="B50" s="498" t="s">
        <v>153</v>
      </c>
      <c r="C50" s="500">
        <v>44255.55</v>
      </c>
      <c r="D50" s="500">
        <v>0</v>
      </c>
      <c r="E50" s="480">
        <f t="shared" si="6"/>
        <v>44255.55</v>
      </c>
      <c r="F50" s="500">
        <v>36377.68</v>
      </c>
      <c r="G50" s="500"/>
      <c r="H50" s="482">
        <f t="shared" si="7"/>
        <v>36377.68</v>
      </c>
    </row>
    <row r="51" spans="1:8">
      <c r="A51" s="39">
        <v>29</v>
      </c>
      <c r="B51" s="498" t="s">
        <v>152</v>
      </c>
      <c r="C51" s="500">
        <v>495412.6</v>
      </c>
      <c r="D51" s="500">
        <v>0</v>
      </c>
      <c r="E51" s="480">
        <f t="shared" si="6"/>
        <v>495412.6</v>
      </c>
      <c r="F51" s="500">
        <v>379062.75</v>
      </c>
      <c r="G51" s="500"/>
      <c r="H51" s="482">
        <f t="shared" si="7"/>
        <v>379062.75</v>
      </c>
    </row>
    <row r="52" spans="1:8">
      <c r="A52" s="39">
        <v>30</v>
      </c>
      <c r="B52" s="498" t="s">
        <v>151</v>
      </c>
      <c r="C52" s="500">
        <v>1821471.9599999997</v>
      </c>
      <c r="D52" s="500"/>
      <c r="E52" s="480">
        <f t="shared" si="6"/>
        <v>1821471.9599999997</v>
      </c>
      <c r="F52" s="500">
        <v>1488015.6099999999</v>
      </c>
      <c r="G52" s="500"/>
      <c r="H52" s="482">
        <f t="shared" si="7"/>
        <v>1488015.6099999999</v>
      </c>
    </row>
    <row r="53" spans="1:8">
      <c r="A53" s="39">
        <v>31</v>
      </c>
      <c r="B53" s="505" t="s">
        <v>274</v>
      </c>
      <c r="C53" s="501">
        <f>C47+C48+C49+C50+C51+C52</f>
        <v>5930931.4799999995</v>
      </c>
      <c r="D53" s="501">
        <f>D47+D48+D49+D50+D51+D52</f>
        <v>19882.490000000002</v>
      </c>
      <c r="E53" s="480">
        <f t="shared" si="6"/>
        <v>5950813.9699999997</v>
      </c>
      <c r="F53" s="501">
        <f>F47+F48+F49+F50+F51+F52</f>
        <v>5697655.8699999992</v>
      </c>
      <c r="G53" s="501">
        <f>G47+G48+G49+G50+G51+G52</f>
        <v>0</v>
      </c>
      <c r="H53" s="482">
        <f t="shared" si="7"/>
        <v>5697655.8699999992</v>
      </c>
    </row>
    <row r="54" spans="1:8">
      <c r="A54" s="39">
        <v>32</v>
      </c>
      <c r="B54" s="505" t="s">
        <v>275</v>
      </c>
      <c r="C54" s="501">
        <f>C45-C53</f>
        <v>-3139311.1000000052</v>
      </c>
      <c r="D54" s="501">
        <f>D45-D53</f>
        <v>-19882.490000000002</v>
      </c>
      <c r="E54" s="480">
        <f t="shared" si="6"/>
        <v>-3159193.5900000054</v>
      </c>
      <c r="F54" s="501">
        <f>F45-F53</f>
        <v>-3298393.63</v>
      </c>
      <c r="G54" s="501">
        <f>G45-G53</f>
        <v>0</v>
      </c>
      <c r="H54" s="482">
        <f t="shared" si="7"/>
        <v>-3298393.63</v>
      </c>
    </row>
    <row r="55" spans="1:8">
      <c r="A55" s="39"/>
      <c r="B55" s="506"/>
      <c r="C55" s="507"/>
      <c r="D55" s="507"/>
      <c r="E55" s="507"/>
      <c r="F55" s="507"/>
      <c r="G55" s="507"/>
      <c r="H55" s="508"/>
    </row>
    <row r="56" spans="1:8">
      <c r="A56" s="39">
        <v>33</v>
      </c>
      <c r="B56" s="505" t="s">
        <v>150</v>
      </c>
      <c r="C56" s="501">
        <f>C31+C54</f>
        <v>10694618.733060494</v>
      </c>
      <c r="D56" s="501">
        <f>D31+D54</f>
        <v>-1242922.4798545106</v>
      </c>
      <c r="E56" s="480">
        <f>C56+D56</f>
        <v>9451696.253205983</v>
      </c>
      <c r="F56" s="501">
        <f>F31+F54</f>
        <v>8435432.6831814684</v>
      </c>
      <c r="G56" s="501">
        <f>G31+G54</f>
        <v>-1235964.5515202538</v>
      </c>
      <c r="H56" s="482">
        <f>F56+G56</f>
        <v>7199468.1316612149</v>
      </c>
    </row>
    <row r="57" spans="1:8">
      <c r="A57" s="39"/>
      <c r="B57" s="506"/>
      <c r="C57" s="507"/>
      <c r="D57" s="507"/>
      <c r="E57" s="507"/>
      <c r="F57" s="507"/>
      <c r="G57" s="507"/>
      <c r="H57" s="508"/>
    </row>
    <row r="58" spans="1:8">
      <c r="A58" s="39">
        <v>34</v>
      </c>
      <c r="B58" s="498" t="s">
        <v>149</v>
      </c>
      <c r="C58" s="500">
        <v>-425423.89656236971</v>
      </c>
      <c r="D58" s="500"/>
      <c r="E58" s="480">
        <f>C58+D58</f>
        <v>-425423.89656236971</v>
      </c>
      <c r="F58" s="500">
        <v>5812133.9705171045</v>
      </c>
      <c r="G58" s="500"/>
      <c r="H58" s="482">
        <f>F58+G58</f>
        <v>5812133.9705171045</v>
      </c>
    </row>
    <row r="59" spans="1:8" s="183" customFormat="1" ht="25.5">
      <c r="A59" s="39">
        <v>35</v>
      </c>
      <c r="B59" s="498" t="s">
        <v>148</v>
      </c>
      <c r="C59" s="500">
        <v>29434.816417449067</v>
      </c>
      <c r="D59" s="500"/>
      <c r="E59" s="512">
        <f>C59+D59</f>
        <v>29434.816417449067</v>
      </c>
      <c r="F59" s="513">
        <v>-34672.240780606662</v>
      </c>
      <c r="G59" s="513"/>
      <c r="H59" s="514">
        <f>F59+G59</f>
        <v>-34672.240780606662</v>
      </c>
    </row>
    <row r="60" spans="1:8">
      <c r="A60" s="39">
        <v>36</v>
      </c>
      <c r="B60" s="498" t="s">
        <v>147</v>
      </c>
      <c r="C60" s="500">
        <v>-231094.85229408002</v>
      </c>
      <c r="D60" s="500"/>
      <c r="E60" s="480">
        <f>C60+D60</f>
        <v>-231094.85229408002</v>
      </c>
      <c r="F60" s="500">
        <v>1074109.6284878401</v>
      </c>
      <c r="G60" s="500"/>
      <c r="H60" s="482">
        <f>F60+G60</f>
        <v>1074109.6284878401</v>
      </c>
    </row>
    <row r="61" spans="1:8">
      <c r="A61" s="39">
        <v>37</v>
      </c>
      <c r="B61" s="505" t="s">
        <v>146</v>
      </c>
      <c r="C61" s="501">
        <f>C58+C59+C60</f>
        <v>-627083.93243900058</v>
      </c>
      <c r="D61" s="501">
        <f>D58+D59+D60</f>
        <v>0</v>
      </c>
      <c r="E61" s="480">
        <f>C61+D61</f>
        <v>-627083.93243900058</v>
      </c>
      <c r="F61" s="501">
        <f>F58+F59+F60</f>
        <v>6851571.3582243379</v>
      </c>
      <c r="G61" s="501">
        <f>G58+G59+G60</f>
        <v>0</v>
      </c>
      <c r="H61" s="482">
        <f>F61+G61</f>
        <v>6851571.3582243379</v>
      </c>
    </row>
    <row r="62" spans="1:8">
      <c r="A62" s="39"/>
      <c r="B62" s="515"/>
      <c r="C62" s="500"/>
      <c r="D62" s="500"/>
      <c r="E62" s="500"/>
      <c r="F62" s="500"/>
      <c r="G62" s="500"/>
      <c r="H62" s="511"/>
    </row>
    <row r="63" spans="1:8">
      <c r="A63" s="39">
        <v>38</v>
      </c>
      <c r="B63" s="516" t="s">
        <v>145</v>
      </c>
      <c r="C63" s="501">
        <f>C56-C61</f>
        <v>11321702.665499495</v>
      </c>
      <c r="D63" s="501">
        <f>D56-D61</f>
        <v>-1242922.4798545106</v>
      </c>
      <c r="E63" s="480">
        <f>C63+D63</f>
        <v>10078780.185644984</v>
      </c>
      <c r="F63" s="501">
        <f>F56-F61</f>
        <v>1583861.3249571305</v>
      </c>
      <c r="G63" s="501">
        <f>G56-G61</f>
        <v>-1235964.5515202538</v>
      </c>
      <c r="H63" s="482">
        <f>F63+G63</f>
        <v>347896.77343687671</v>
      </c>
    </row>
    <row r="64" spans="1:8">
      <c r="A64" s="38">
        <v>39</v>
      </c>
      <c r="B64" s="498" t="s">
        <v>144</v>
      </c>
      <c r="C64" s="517">
        <v>1461819.54</v>
      </c>
      <c r="D64" s="517"/>
      <c r="E64" s="480">
        <f>C64+D64</f>
        <v>1461819.54</v>
      </c>
      <c r="F64" s="517"/>
      <c r="G64" s="517"/>
      <c r="H64" s="482">
        <f>F64+G64</f>
        <v>0</v>
      </c>
    </row>
    <row r="65" spans="1:8">
      <c r="A65" s="39">
        <v>40</v>
      </c>
      <c r="B65" s="505" t="s">
        <v>143</v>
      </c>
      <c r="C65" s="501">
        <f>C63-C64</f>
        <v>9859883.1254994944</v>
      </c>
      <c r="D65" s="501">
        <f>D63-D64</f>
        <v>-1242922.4798545106</v>
      </c>
      <c r="E65" s="480">
        <f>C65+D65</f>
        <v>8616960.6456449833</v>
      </c>
      <c r="F65" s="501">
        <f>F63-F64</f>
        <v>1583861.3249571305</v>
      </c>
      <c r="G65" s="501">
        <f>G63-G64</f>
        <v>-1235964.5515202538</v>
      </c>
      <c r="H65" s="482">
        <f>F65+G65</f>
        <v>347896.77343687671</v>
      </c>
    </row>
    <row r="66" spans="1:8">
      <c r="A66" s="38">
        <v>41</v>
      </c>
      <c r="B66" s="498" t="s">
        <v>142</v>
      </c>
      <c r="C66" s="517"/>
      <c r="D66" s="517"/>
      <c r="E66" s="480">
        <f>C66+D66</f>
        <v>0</v>
      </c>
      <c r="F66" s="517"/>
      <c r="G66" s="517"/>
      <c r="H66" s="482">
        <f>F66+G66</f>
        <v>0</v>
      </c>
    </row>
    <row r="67" spans="1:8" ht="13.5" thickBot="1">
      <c r="A67" s="40">
        <v>42</v>
      </c>
      <c r="B67" s="41" t="s">
        <v>141</v>
      </c>
      <c r="C67" s="518">
        <f>C65+C66</f>
        <v>9859883.1254994944</v>
      </c>
      <c r="D67" s="518">
        <f>D65+D66</f>
        <v>-1242922.4798545106</v>
      </c>
      <c r="E67" s="519">
        <f>C67+D67</f>
        <v>8616960.6456449833</v>
      </c>
      <c r="F67" s="518">
        <f>F65+F66</f>
        <v>1583861.3249571305</v>
      </c>
      <c r="G67" s="518">
        <f>G65+G66</f>
        <v>-1235964.5515202538</v>
      </c>
      <c r="H67" s="520">
        <f>F67+G67</f>
        <v>347896.77343687671</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5" sqref="B5:B6"/>
    </sheetView>
  </sheetViews>
  <sheetFormatPr defaultColWidth="9.28515625" defaultRowHeight="14.25"/>
  <cols>
    <col min="1" max="1" width="9.5703125" style="5" bestFit="1" customWidth="1"/>
    <col min="2" max="2" width="72.28515625" style="5" customWidth="1"/>
    <col min="3" max="8" width="12.7109375" style="5" customWidth="1"/>
    <col min="9" max="16384" width="9.28515625" style="5"/>
  </cols>
  <sheetData>
    <row r="1" spans="1:8">
      <c r="A1" s="449" t="s">
        <v>30</v>
      </c>
      <c r="B1" s="450" t="str">
        <f>'Info '!C2</f>
        <v>JSC Isbank Georgia</v>
      </c>
    </row>
    <row r="2" spans="1:8">
      <c r="A2" s="449" t="s">
        <v>31</v>
      </c>
      <c r="B2" s="451">
        <f>'1. key ratios '!B2</f>
        <v>44469</v>
      </c>
    </row>
    <row r="3" spans="1:8">
      <c r="A3" s="4"/>
    </row>
    <row r="4" spans="1:8" ht="15" thickBot="1">
      <c r="A4" s="4" t="s">
        <v>74</v>
      </c>
      <c r="B4" s="4"/>
      <c r="C4" s="521"/>
      <c r="D4" s="521"/>
      <c r="E4" s="521"/>
      <c r="F4" s="521"/>
      <c r="G4" s="522"/>
      <c r="H4" s="523" t="s">
        <v>73</v>
      </c>
    </row>
    <row r="5" spans="1:8">
      <c r="A5" s="709" t="s">
        <v>6</v>
      </c>
      <c r="B5" s="711" t="s">
        <v>340</v>
      </c>
      <c r="C5" s="705" t="s">
        <v>68</v>
      </c>
      <c r="D5" s="706"/>
      <c r="E5" s="707"/>
      <c r="F5" s="705" t="s">
        <v>72</v>
      </c>
      <c r="G5" s="706"/>
      <c r="H5" s="708"/>
    </row>
    <row r="6" spans="1:8">
      <c r="A6" s="710"/>
      <c r="B6" s="712"/>
      <c r="C6" s="471" t="s">
        <v>287</v>
      </c>
      <c r="D6" s="471" t="s">
        <v>122</v>
      </c>
      <c r="E6" s="471" t="s">
        <v>109</v>
      </c>
      <c r="F6" s="471" t="s">
        <v>287</v>
      </c>
      <c r="G6" s="471" t="s">
        <v>122</v>
      </c>
      <c r="H6" s="472" t="s">
        <v>109</v>
      </c>
    </row>
    <row r="7" spans="1:8" s="18" customFormat="1">
      <c r="A7" s="171">
        <v>1</v>
      </c>
      <c r="B7" s="524" t="s">
        <v>374</v>
      </c>
      <c r="C7" s="510">
        <f>SUM(C8:C11)</f>
        <v>26317870.669999998</v>
      </c>
      <c r="D7" s="510">
        <f>SUM(D8:D11)</f>
        <v>85714035.160000011</v>
      </c>
      <c r="E7" s="510">
        <f>C7+D7</f>
        <v>112031905.83000001</v>
      </c>
      <c r="F7" s="510">
        <f>SUM(F8:F11)</f>
        <v>30024328.839999996</v>
      </c>
      <c r="G7" s="510">
        <f>SUM(G8:G11)</f>
        <v>48560742.699999988</v>
      </c>
      <c r="H7" s="482">
        <f t="shared" ref="H7:H53" si="0">F7+G7</f>
        <v>78585071.539999992</v>
      </c>
    </row>
    <row r="8" spans="1:8" s="18" customFormat="1">
      <c r="A8" s="171">
        <v>1.1000000000000001</v>
      </c>
      <c r="B8" s="525" t="s">
        <v>305</v>
      </c>
      <c r="C8" s="526">
        <v>26283053.649999999</v>
      </c>
      <c r="D8" s="526">
        <v>85714035.160000011</v>
      </c>
      <c r="E8" s="510">
        <f t="shared" ref="E8:E53" si="1">C8+D8</f>
        <v>111997088.81</v>
      </c>
      <c r="F8" s="526">
        <v>29968020.259999998</v>
      </c>
      <c r="G8" s="526">
        <v>48544303.699999988</v>
      </c>
      <c r="H8" s="482">
        <f t="shared" si="0"/>
        <v>78512323.959999979</v>
      </c>
    </row>
    <row r="9" spans="1:8" s="18" customFormat="1">
      <c r="A9" s="171">
        <v>1.2</v>
      </c>
      <c r="B9" s="525" t="s">
        <v>306</v>
      </c>
      <c r="C9" s="526"/>
      <c r="D9" s="526"/>
      <c r="E9" s="510">
        <f t="shared" si="1"/>
        <v>0</v>
      </c>
      <c r="F9" s="526"/>
      <c r="G9" s="526"/>
      <c r="H9" s="482">
        <f t="shared" si="0"/>
        <v>0</v>
      </c>
    </row>
    <row r="10" spans="1:8" s="18" customFormat="1">
      <c r="A10" s="171">
        <v>1.3</v>
      </c>
      <c r="B10" s="525" t="s">
        <v>307</v>
      </c>
      <c r="C10" s="526">
        <v>34817.019999999997</v>
      </c>
      <c r="D10" s="526"/>
      <c r="E10" s="510">
        <f t="shared" si="1"/>
        <v>34817.019999999997</v>
      </c>
      <c r="F10" s="526">
        <v>56308.580000000009</v>
      </c>
      <c r="G10" s="526">
        <v>16439</v>
      </c>
      <c r="H10" s="482">
        <f t="shared" si="0"/>
        <v>72747.580000000016</v>
      </c>
    </row>
    <row r="11" spans="1:8" s="18" customFormat="1">
      <c r="A11" s="171">
        <v>1.4</v>
      </c>
      <c r="B11" s="525" t="s">
        <v>288</v>
      </c>
      <c r="C11" s="526"/>
      <c r="D11" s="526"/>
      <c r="E11" s="510">
        <f t="shared" si="1"/>
        <v>0</v>
      </c>
      <c r="F11" s="526"/>
      <c r="G11" s="526"/>
      <c r="H11" s="482">
        <f t="shared" si="0"/>
        <v>0</v>
      </c>
    </row>
    <row r="12" spans="1:8" s="18" customFormat="1" ht="29.25" customHeight="1">
      <c r="A12" s="171">
        <v>2</v>
      </c>
      <c r="B12" s="527" t="s">
        <v>309</v>
      </c>
      <c r="C12" s="510"/>
      <c r="D12" s="510"/>
      <c r="E12" s="510">
        <f t="shared" si="1"/>
        <v>0</v>
      </c>
      <c r="F12" s="510"/>
      <c r="G12" s="510"/>
      <c r="H12" s="482">
        <f t="shared" si="0"/>
        <v>0</v>
      </c>
    </row>
    <row r="13" spans="1:8" s="18" customFormat="1" ht="19.899999999999999" customHeight="1">
      <c r="A13" s="171">
        <v>3</v>
      </c>
      <c r="B13" s="527" t="s">
        <v>308</v>
      </c>
      <c r="C13" s="510">
        <f>SUM(C14:C15)</f>
        <v>0</v>
      </c>
      <c r="D13" s="510">
        <f>SUM(D14:D15)</f>
        <v>0</v>
      </c>
      <c r="E13" s="510">
        <f t="shared" si="1"/>
        <v>0</v>
      </c>
      <c r="F13" s="510">
        <f>SUM(F14:F15)</f>
        <v>0</v>
      </c>
      <c r="G13" s="510">
        <f>SUM(G14:G15)</f>
        <v>0</v>
      </c>
      <c r="H13" s="482">
        <f t="shared" si="0"/>
        <v>0</v>
      </c>
    </row>
    <row r="14" spans="1:8" s="18" customFormat="1">
      <c r="A14" s="171">
        <v>3.1</v>
      </c>
      <c r="B14" s="528" t="s">
        <v>289</v>
      </c>
      <c r="C14" s="526">
        <v>0</v>
      </c>
      <c r="D14" s="526"/>
      <c r="E14" s="510">
        <f t="shared" si="1"/>
        <v>0</v>
      </c>
      <c r="F14" s="526">
        <v>0</v>
      </c>
      <c r="G14" s="526"/>
      <c r="H14" s="482">
        <f t="shared" si="0"/>
        <v>0</v>
      </c>
    </row>
    <row r="15" spans="1:8" s="18" customFormat="1">
      <c r="A15" s="171">
        <v>3.2</v>
      </c>
      <c r="B15" s="528" t="s">
        <v>290</v>
      </c>
      <c r="C15" s="526"/>
      <c r="D15" s="526"/>
      <c r="E15" s="510">
        <f t="shared" si="1"/>
        <v>0</v>
      </c>
      <c r="F15" s="526"/>
      <c r="G15" s="526"/>
      <c r="H15" s="482">
        <f t="shared" si="0"/>
        <v>0</v>
      </c>
    </row>
    <row r="16" spans="1:8" s="18" customFormat="1">
      <c r="A16" s="171">
        <v>4</v>
      </c>
      <c r="B16" s="529" t="s">
        <v>319</v>
      </c>
      <c r="C16" s="510">
        <f>SUM(C17:C18)</f>
        <v>59940681.969999999</v>
      </c>
      <c r="D16" s="510">
        <f>SUM(D17:D18)</f>
        <v>124450596.982577</v>
      </c>
      <c r="E16" s="510">
        <f t="shared" si="1"/>
        <v>184391278.95257699</v>
      </c>
      <c r="F16" s="510">
        <f>SUM(F17:F18)</f>
        <v>50227301.199999996</v>
      </c>
      <c r="G16" s="510">
        <f>SUM(G17:G18)</f>
        <v>84643193.403629005</v>
      </c>
      <c r="H16" s="482">
        <f t="shared" si="0"/>
        <v>134870494.60362899</v>
      </c>
    </row>
    <row r="17" spans="1:8" s="18" customFormat="1">
      <c r="A17" s="171">
        <v>4.0999999999999996</v>
      </c>
      <c r="B17" s="528" t="s">
        <v>310</v>
      </c>
      <c r="C17" s="526">
        <v>36617519.969999999</v>
      </c>
      <c r="D17" s="526">
        <v>71044629.840000004</v>
      </c>
      <c r="E17" s="510">
        <f t="shared" si="1"/>
        <v>107662149.81</v>
      </c>
      <c r="F17" s="526">
        <v>26991446.829999998</v>
      </c>
      <c r="G17" s="526">
        <v>58138025.950000003</v>
      </c>
      <c r="H17" s="482">
        <f t="shared" si="0"/>
        <v>85129472.780000001</v>
      </c>
    </row>
    <row r="18" spans="1:8" s="18" customFormat="1">
      <c r="A18" s="171">
        <v>4.2</v>
      </c>
      <c r="B18" s="528" t="s">
        <v>304</v>
      </c>
      <c r="C18" s="526">
        <v>23323162</v>
      </c>
      <c r="D18" s="526">
        <v>53405967.142576993</v>
      </c>
      <c r="E18" s="510">
        <f t="shared" si="1"/>
        <v>76729129.142576993</v>
      </c>
      <c r="F18" s="526">
        <v>23235854.369999997</v>
      </c>
      <c r="G18" s="526">
        <v>26505167.453629002</v>
      </c>
      <c r="H18" s="482">
        <f t="shared" si="0"/>
        <v>49741021.823628999</v>
      </c>
    </row>
    <row r="19" spans="1:8" s="18" customFormat="1">
      <c r="A19" s="171">
        <v>5</v>
      </c>
      <c r="B19" s="527" t="s">
        <v>318</v>
      </c>
      <c r="C19" s="510">
        <f>C20+C21+C22+SUM(C28:C31)</f>
        <v>238277.16</v>
      </c>
      <c r="D19" s="510">
        <f>D20+D21+D22+SUM(D28:D31)</f>
        <v>295451122.61100048</v>
      </c>
      <c r="E19" s="510">
        <f t="shared" si="1"/>
        <v>295689399.7710005</v>
      </c>
      <c r="F19" s="510">
        <f>F20+F21+F22+SUM(F28:F31)</f>
        <v>118216.9</v>
      </c>
      <c r="G19" s="510">
        <f>G20+G21+G22+SUM(G28:G31)</f>
        <v>308749941.70461482</v>
      </c>
      <c r="H19" s="482">
        <f t="shared" si="0"/>
        <v>308868158.60461479</v>
      </c>
    </row>
    <row r="20" spans="1:8" s="18" customFormat="1">
      <c r="A20" s="171">
        <v>5.0999999999999996</v>
      </c>
      <c r="B20" s="530" t="s">
        <v>293</v>
      </c>
      <c r="C20" s="526">
        <v>238277.16</v>
      </c>
      <c r="D20" s="526">
        <v>5075849.8250679988</v>
      </c>
      <c r="E20" s="510">
        <f t="shared" si="1"/>
        <v>5314126.985067999</v>
      </c>
      <c r="F20" s="526">
        <v>118216.9</v>
      </c>
      <c r="G20" s="526">
        <v>1984458.7736460001</v>
      </c>
      <c r="H20" s="482">
        <f t="shared" si="0"/>
        <v>2102675.6736460002</v>
      </c>
    </row>
    <row r="21" spans="1:8" s="18" customFormat="1">
      <c r="A21" s="171">
        <v>5.2</v>
      </c>
      <c r="B21" s="530" t="s">
        <v>292</v>
      </c>
      <c r="C21" s="526"/>
      <c r="D21" s="526"/>
      <c r="E21" s="510">
        <f t="shared" si="1"/>
        <v>0</v>
      </c>
      <c r="F21" s="526"/>
      <c r="G21" s="526"/>
      <c r="H21" s="482">
        <f t="shared" si="0"/>
        <v>0</v>
      </c>
    </row>
    <row r="22" spans="1:8" s="18" customFormat="1">
      <c r="A22" s="171">
        <v>5.3</v>
      </c>
      <c r="B22" s="530" t="s">
        <v>291</v>
      </c>
      <c r="C22" s="531">
        <f>SUM(C23:C27)</f>
        <v>0</v>
      </c>
      <c r="D22" s="531">
        <f>SUM(D23:D27)</f>
        <v>255104716.62185085</v>
      </c>
      <c r="E22" s="510">
        <f t="shared" si="1"/>
        <v>255104716.62185085</v>
      </c>
      <c r="F22" s="531">
        <f>SUM(F23:F27)</f>
        <v>0</v>
      </c>
      <c r="G22" s="531">
        <f>SUM(G23:G27)</f>
        <v>246060271.25310424</v>
      </c>
      <c r="H22" s="482">
        <f t="shared" si="0"/>
        <v>246060271.25310424</v>
      </c>
    </row>
    <row r="23" spans="1:8" s="18" customFormat="1">
      <c r="A23" s="171" t="s">
        <v>15</v>
      </c>
      <c r="B23" s="532" t="s">
        <v>75</v>
      </c>
      <c r="C23" s="526"/>
      <c r="D23" s="526">
        <v>37234964.512949452</v>
      </c>
      <c r="E23" s="510">
        <f t="shared" si="1"/>
        <v>37234964.512949452</v>
      </c>
      <c r="F23" s="526"/>
      <c r="G23" s="526">
        <v>35914841.518736884</v>
      </c>
      <c r="H23" s="482">
        <f t="shared" si="0"/>
        <v>35914841.518736884</v>
      </c>
    </row>
    <row r="24" spans="1:8" s="18" customFormat="1">
      <c r="A24" s="171" t="s">
        <v>16</v>
      </c>
      <c r="B24" s="532" t="s">
        <v>76</v>
      </c>
      <c r="C24" s="526"/>
      <c r="D24" s="526">
        <v>184104882.7345123</v>
      </c>
      <c r="E24" s="510">
        <f t="shared" si="1"/>
        <v>184104882.7345123</v>
      </c>
      <c r="F24" s="526"/>
      <c r="G24" s="526">
        <v>177577655.10790566</v>
      </c>
      <c r="H24" s="482">
        <f t="shared" si="0"/>
        <v>177577655.10790566</v>
      </c>
    </row>
    <row r="25" spans="1:8" s="18" customFormat="1">
      <c r="A25" s="171" t="s">
        <v>17</v>
      </c>
      <c r="B25" s="532" t="s">
        <v>77</v>
      </c>
      <c r="C25" s="526"/>
      <c r="D25" s="526">
        <v>183742.81976832051</v>
      </c>
      <c r="E25" s="510">
        <f t="shared" si="1"/>
        <v>183742.81976832051</v>
      </c>
      <c r="F25" s="526"/>
      <c r="G25" s="526">
        <v>177228.42866924318</v>
      </c>
      <c r="H25" s="482">
        <f t="shared" si="0"/>
        <v>177228.42866924318</v>
      </c>
    </row>
    <row r="26" spans="1:8" s="18" customFormat="1">
      <c r="A26" s="171" t="s">
        <v>18</v>
      </c>
      <c r="B26" s="532" t="s">
        <v>78</v>
      </c>
      <c r="C26" s="526"/>
      <c r="D26" s="526">
        <v>33581126.55462081</v>
      </c>
      <c r="E26" s="510">
        <f t="shared" si="1"/>
        <v>33581126.55462081</v>
      </c>
      <c r="F26" s="526"/>
      <c r="G26" s="526">
        <v>32390546.197792482</v>
      </c>
      <c r="H26" s="482">
        <f t="shared" si="0"/>
        <v>32390546.197792482</v>
      </c>
    </row>
    <row r="27" spans="1:8" s="18" customFormat="1">
      <c r="A27" s="171" t="s">
        <v>19</v>
      </c>
      <c r="B27" s="532" t="s">
        <v>79</v>
      </c>
      <c r="C27" s="526"/>
      <c r="D27" s="526">
        <v>0</v>
      </c>
      <c r="E27" s="510">
        <f t="shared" si="1"/>
        <v>0</v>
      </c>
      <c r="F27" s="526"/>
      <c r="G27" s="526">
        <v>0</v>
      </c>
      <c r="H27" s="482">
        <f t="shared" si="0"/>
        <v>0</v>
      </c>
    </row>
    <row r="28" spans="1:8" s="18" customFormat="1">
      <c r="A28" s="171">
        <v>5.4</v>
      </c>
      <c r="B28" s="530" t="s">
        <v>294</v>
      </c>
      <c r="C28" s="526"/>
      <c r="D28" s="526">
        <v>20929397.060081623</v>
      </c>
      <c r="E28" s="510">
        <f t="shared" si="1"/>
        <v>20929397.060081623</v>
      </c>
      <c r="F28" s="526"/>
      <c r="G28" s="526">
        <v>11624717.812929193</v>
      </c>
      <c r="H28" s="482">
        <f t="shared" si="0"/>
        <v>11624717.812929193</v>
      </c>
    </row>
    <row r="29" spans="1:8" s="18" customFormat="1">
      <c r="A29" s="171">
        <v>5.5</v>
      </c>
      <c r="B29" s="530" t="s">
        <v>295</v>
      </c>
      <c r="C29" s="526"/>
      <c r="D29" s="526">
        <v>0</v>
      </c>
      <c r="E29" s="510">
        <f t="shared" si="1"/>
        <v>0</v>
      </c>
      <c r="F29" s="526"/>
      <c r="G29" s="526">
        <v>0</v>
      </c>
      <c r="H29" s="482">
        <f t="shared" si="0"/>
        <v>0</v>
      </c>
    </row>
    <row r="30" spans="1:8" s="18" customFormat="1">
      <c r="A30" s="171">
        <v>5.6</v>
      </c>
      <c r="B30" s="530" t="s">
        <v>296</v>
      </c>
      <c r="C30" s="526"/>
      <c r="D30" s="526">
        <v>0</v>
      </c>
      <c r="E30" s="510">
        <f t="shared" si="1"/>
        <v>0</v>
      </c>
      <c r="F30" s="526"/>
      <c r="G30" s="526">
        <v>0</v>
      </c>
      <c r="H30" s="482">
        <f t="shared" si="0"/>
        <v>0</v>
      </c>
    </row>
    <row r="31" spans="1:8" s="18" customFormat="1">
      <c r="A31" s="171">
        <v>5.7</v>
      </c>
      <c r="B31" s="530" t="s">
        <v>79</v>
      </c>
      <c r="C31" s="526"/>
      <c r="D31" s="526">
        <v>14341159.104</v>
      </c>
      <c r="E31" s="510">
        <f t="shared" si="1"/>
        <v>14341159.104</v>
      </c>
      <c r="F31" s="526"/>
      <c r="G31" s="526">
        <v>49080493.864935376</v>
      </c>
      <c r="H31" s="482">
        <f t="shared" si="0"/>
        <v>49080493.864935376</v>
      </c>
    </row>
    <row r="32" spans="1:8" s="18" customFormat="1">
      <c r="A32" s="171">
        <v>6</v>
      </c>
      <c r="B32" s="527" t="s">
        <v>324</v>
      </c>
      <c r="C32" s="510">
        <f>SUM(C33:C39)</f>
        <v>0</v>
      </c>
      <c r="D32" s="510">
        <f>SUM(D33:D39)</f>
        <v>0</v>
      </c>
      <c r="E32" s="510">
        <f t="shared" si="1"/>
        <v>0</v>
      </c>
      <c r="F32" s="510">
        <f>SUM(F33:F39)</f>
        <v>0</v>
      </c>
      <c r="G32" s="510">
        <f>SUM(G33:G39)</f>
        <v>0</v>
      </c>
      <c r="H32" s="482">
        <f t="shared" si="0"/>
        <v>0</v>
      </c>
    </row>
    <row r="33" spans="1:8" s="18" customFormat="1">
      <c r="A33" s="171">
        <v>6.1</v>
      </c>
      <c r="B33" s="533" t="s">
        <v>314</v>
      </c>
      <c r="C33" s="526"/>
      <c r="D33" s="526"/>
      <c r="E33" s="510">
        <f t="shared" si="1"/>
        <v>0</v>
      </c>
      <c r="F33" s="526"/>
      <c r="G33" s="526"/>
      <c r="H33" s="482">
        <f t="shared" si="0"/>
        <v>0</v>
      </c>
    </row>
    <row r="34" spans="1:8" s="18" customFormat="1">
      <c r="A34" s="171">
        <v>6.2</v>
      </c>
      <c r="B34" s="533" t="s">
        <v>315</v>
      </c>
      <c r="C34" s="526"/>
      <c r="D34" s="526"/>
      <c r="E34" s="510">
        <f t="shared" si="1"/>
        <v>0</v>
      </c>
      <c r="F34" s="526"/>
      <c r="G34" s="526">
        <v>0</v>
      </c>
      <c r="H34" s="482">
        <f t="shared" si="0"/>
        <v>0</v>
      </c>
    </row>
    <row r="35" spans="1:8" s="18" customFormat="1">
      <c r="A35" s="171">
        <v>6.3</v>
      </c>
      <c r="B35" s="533" t="s">
        <v>311</v>
      </c>
      <c r="C35" s="526"/>
      <c r="D35" s="526"/>
      <c r="E35" s="510">
        <f t="shared" si="1"/>
        <v>0</v>
      </c>
      <c r="F35" s="526"/>
      <c r="G35" s="526"/>
      <c r="H35" s="482">
        <f t="shared" si="0"/>
        <v>0</v>
      </c>
    </row>
    <row r="36" spans="1:8" s="18" customFormat="1">
      <c r="A36" s="171">
        <v>6.4</v>
      </c>
      <c r="B36" s="533" t="s">
        <v>312</v>
      </c>
      <c r="C36" s="526"/>
      <c r="D36" s="526"/>
      <c r="E36" s="510">
        <f t="shared" si="1"/>
        <v>0</v>
      </c>
      <c r="F36" s="526"/>
      <c r="G36" s="526"/>
      <c r="H36" s="482">
        <f t="shared" si="0"/>
        <v>0</v>
      </c>
    </row>
    <row r="37" spans="1:8" s="18" customFormat="1">
      <c r="A37" s="171">
        <v>6.5</v>
      </c>
      <c r="B37" s="533" t="s">
        <v>313</v>
      </c>
      <c r="C37" s="526"/>
      <c r="D37" s="526"/>
      <c r="E37" s="510">
        <f t="shared" si="1"/>
        <v>0</v>
      </c>
      <c r="F37" s="526"/>
      <c r="G37" s="526"/>
      <c r="H37" s="482">
        <f t="shared" si="0"/>
        <v>0</v>
      </c>
    </row>
    <row r="38" spans="1:8" s="18" customFormat="1">
      <c r="A38" s="171">
        <v>6.6</v>
      </c>
      <c r="B38" s="533" t="s">
        <v>316</v>
      </c>
      <c r="C38" s="526"/>
      <c r="D38" s="526"/>
      <c r="E38" s="510">
        <f t="shared" si="1"/>
        <v>0</v>
      </c>
      <c r="F38" s="526"/>
      <c r="G38" s="526"/>
      <c r="H38" s="482">
        <f t="shared" si="0"/>
        <v>0</v>
      </c>
    </row>
    <row r="39" spans="1:8" s="18" customFormat="1">
      <c r="A39" s="171">
        <v>6.7</v>
      </c>
      <c r="B39" s="533" t="s">
        <v>317</v>
      </c>
      <c r="C39" s="526"/>
      <c r="D39" s="526"/>
      <c r="E39" s="510">
        <f t="shared" si="1"/>
        <v>0</v>
      </c>
      <c r="F39" s="526"/>
      <c r="G39" s="526"/>
      <c r="H39" s="482">
        <f t="shared" si="0"/>
        <v>0</v>
      </c>
    </row>
    <row r="40" spans="1:8" s="18" customFormat="1">
      <c r="A40" s="171">
        <v>7</v>
      </c>
      <c r="B40" s="527" t="s">
        <v>320</v>
      </c>
      <c r="C40" s="510">
        <f>SUM(C41:C44)</f>
        <v>72661.86000000003</v>
      </c>
      <c r="D40" s="510">
        <f>SUM(D41:D44)</f>
        <v>2708.08</v>
      </c>
      <c r="E40" s="510">
        <f t="shared" si="1"/>
        <v>75369.940000000031</v>
      </c>
      <c r="F40" s="510">
        <f>SUM(F41:F44)</f>
        <v>187154.44999999987</v>
      </c>
      <c r="G40" s="510">
        <f>SUM(G41:G44)</f>
        <v>12927.2</v>
      </c>
      <c r="H40" s="482">
        <f t="shared" si="0"/>
        <v>200081.64999999988</v>
      </c>
    </row>
    <row r="41" spans="1:8" s="18" customFormat="1">
      <c r="A41" s="171">
        <v>7.1</v>
      </c>
      <c r="B41" s="534" t="s">
        <v>321</v>
      </c>
      <c r="C41" s="526"/>
      <c r="D41" s="526"/>
      <c r="E41" s="510">
        <f t="shared" si="1"/>
        <v>0</v>
      </c>
      <c r="F41" s="526"/>
      <c r="G41" s="526"/>
      <c r="H41" s="482">
        <f t="shared" si="0"/>
        <v>0</v>
      </c>
    </row>
    <row r="42" spans="1:8" s="18" customFormat="1" ht="25.5">
      <c r="A42" s="171">
        <v>7.2</v>
      </c>
      <c r="B42" s="534" t="s">
        <v>322</v>
      </c>
      <c r="C42" s="526"/>
      <c r="D42" s="526"/>
      <c r="E42" s="510">
        <f t="shared" si="1"/>
        <v>0</v>
      </c>
      <c r="F42" s="526"/>
      <c r="G42" s="526"/>
      <c r="H42" s="482">
        <f t="shared" si="0"/>
        <v>0</v>
      </c>
    </row>
    <row r="43" spans="1:8" s="18" customFormat="1" ht="25.5">
      <c r="A43" s="171">
        <v>7.3</v>
      </c>
      <c r="B43" s="534" t="s">
        <v>325</v>
      </c>
      <c r="C43" s="526"/>
      <c r="D43" s="526"/>
      <c r="E43" s="510">
        <f t="shared" si="1"/>
        <v>0</v>
      </c>
      <c r="F43" s="526"/>
      <c r="G43" s="526"/>
      <c r="H43" s="482">
        <f t="shared" si="0"/>
        <v>0</v>
      </c>
    </row>
    <row r="44" spans="1:8" s="18" customFormat="1" ht="25.5">
      <c r="A44" s="171">
        <v>7.4</v>
      </c>
      <c r="B44" s="534" t="s">
        <v>326</v>
      </c>
      <c r="C44" s="526">
        <v>72661.86000000003</v>
      </c>
      <c r="D44" s="526">
        <v>2708.08</v>
      </c>
      <c r="E44" s="510">
        <f t="shared" si="1"/>
        <v>75369.940000000031</v>
      </c>
      <c r="F44" s="526">
        <v>187154.44999999987</v>
      </c>
      <c r="G44" s="526">
        <v>12927.2</v>
      </c>
      <c r="H44" s="482">
        <f t="shared" si="0"/>
        <v>200081.64999999988</v>
      </c>
    </row>
    <row r="45" spans="1:8" s="18" customFormat="1">
      <c r="A45" s="171">
        <v>8</v>
      </c>
      <c r="B45" s="527" t="s">
        <v>303</v>
      </c>
      <c r="C45" s="510">
        <f>SUM(C46:C52)</f>
        <v>0</v>
      </c>
      <c r="D45" s="510">
        <f>SUM(D46:D52)</f>
        <v>172744.92</v>
      </c>
      <c r="E45" s="510">
        <f t="shared" si="1"/>
        <v>172744.92</v>
      </c>
      <c r="F45" s="510">
        <f>SUM(F46:F52)</f>
        <v>984024</v>
      </c>
      <c r="G45" s="510">
        <f>SUM(G46:G52)</f>
        <v>378601.23</v>
      </c>
      <c r="H45" s="482">
        <f t="shared" si="0"/>
        <v>1362625.23</v>
      </c>
    </row>
    <row r="46" spans="1:8" s="18" customFormat="1">
      <c r="A46" s="171">
        <v>8.1</v>
      </c>
      <c r="B46" s="528" t="s">
        <v>327</v>
      </c>
      <c r="C46" s="526"/>
      <c r="D46" s="526"/>
      <c r="E46" s="510">
        <f t="shared" si="1"/>
        <v>0</v>
      </c>
      <c r="F46" s="526"/>
      <c r="G46" s="526"/>
      <c r="H46" s="482">
        <f t="shared" si="0"/>
        <v>0</v>
      </c>
    </row>
    <row r="47" spans="1:8" s="18" customFormat="1">
      <c r="A47" s="171">
        <v>8.1999999999999993</v>
      </c>
      <c r="B47" s="528" t="s">
        <v>328</v>
      </c>
      <c r="C47" s="526">
        <v>0</v>
      </c>
      <c r="D47" s="526">
        <v>172744.92</v>
      </c>
      <c r="E47" s="510">
        <f t="shared" si="1"/>
        <v>172744.92</v>
      </c>
      <c r="F47" s="526">
        <v>787699.20000000007</v>
      </c>
      <c r="G47" s="526">
        <v>216343.56</v>
      </c>
      <c r="H47" s="482">
        <f t="shared" si="0"/>
        <v>1004042.76</v>
      </c>
    </row>
    <row r="48" spans="1:8" s="18" customFormat="1">
      <c r="A48" s="171">
        <v>8.3000000000000007</v>
      </c>
      <c r="B48" s="528" t="s">
        <v>329</v>
      </c>
      <c r="C48" s="526"/>
      <c r="D48" s="526"/>
      <c r="E48" s="510">
        <f t="shared" si="1"/>
        <v>0</v>
      </c>
      <c r="F48" s="526">
        <v>196324.8</v>
      </c>
      <c r="G48" s="526">
        <v>162257.66999999998</v>
      </c>
      <c r="H48" s="482">
        <f t="shared" si="0"/>
        <v>358582.47</v>
      </c>
    </row>
    <row r="49" spans="1:8" s="18" customFormat="1">
      <c r="A49" s="171">
        <v>8.4</v>
      </c>
      <c r="B49" s="528" t="s">
        <v>330</v>
      </c>
      <c r="C49" s="526"/>
      <c r="D49" s="526"/>
      <c r="E49" s="510">
        <f t="shared" si="1"/>
        <v>0</v>
      </c>
      <c r="F49" s="526">
        <v>0</v>
      </c>
      <c r="G49" s="526">
        <v>0</v>
      </c>
      <c r="H49" s="482">
        <f t="shared" si="0"/>
        <v>0</v>
      </c>
    </row>
    <row r="50" spans="1:8" s="18" customFormat="1">
      <c r="A50" s="171">
        <v>8.5</v>
      </c>
      <c r="B50" s="528" t="s">
        <v>331</v>
      </c>
      <c r="C50" s="526"/>
      <c r="D50" s="526"/>
      <c r="E50" s="510">
        <f t="shared" si="1"/>
        <v>0</v>
      </c>
      <c r="F50" s="526"/>
      <c r="G50" s="526"/>
      <c r="H50" s="482">
        <f t="shared" si="0"/>
        <v>0</v>
      </c>
    </row>
    <row r="51" spans="1:8" s="18" customFormat="1">
      <c r="A51" s="171">
        <v>8.6</v>
      </c>
      <c r="B51" s="528" t="s">
        <v>332</v>
      </c>
      <c r="C51" s="526"/>
      <c r="D51" s="526"/>
      <c r="E51" s="510">
        <f t="shared" si="1"/>
        <v>0</v>
      </c>
      <c r="F51" s="526"/>
      <c r="G51" s="526"/>
      <c r="H51" s="482">
        <f t="shared" si="0"/>
        <v>0</v>
      </c>
    </row>
    <row r="52" spans="1:8" s="18" customFormat="1">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3.5703125" style="4"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44469</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3Q-2021</v>
      </c>
      <c r="D5" s="540" t="str">
        <f>IF(INT(MONTH($B$2))=3, "4"&amp;"Q"&amp;"-"&amp;YEAR($B$2)-1, IF(INT(MONTH($B$2))=6, "1"&amp;"Q"&amp;"-"&amp;YEAR($B$2), IF(INT(MONTH($B$2))=9, "2"&amp;"Q"&amp;"-"&amp;YEAR($B$2),IF(INT(MONTH($B$2))=12, "3"&amp;"Q"&amp;"-"&amp;YEAR($B$2), 0))))</f>
        <v>2Q-2021</v>
      </c>
      <c r="E5" s="540" t="str">
        <f>IF(INT(MONTH($B$2))=3, "3"&amp;"Q"&amp;"-"&amp;YEAR($B$2)-1, IF(INT(MONTH($B$2))=6, "4"&amp;"Q"&amp;"-"&amp;YEAR($B$2)-1, IF(INT(MONTH($B$2))=9, "1"&amp;"Q"&amp;"-"&amp;YEAR($B$2),IF(INT(MONTH($B$2))=12, "2"&amp;"Q"&amp;"-"&amp;YEAR($B$2), 0))))</f>
        <v>1Q-2021</v>
      </c>
      <c r="F5" s="540" t="str">
        <f>IF(INT(MONTH($B$2))=3, "2"&amp;"Q"&amp;"-"&amp;YEAR($B$2)-1, IF(INT(MONTH($B$2))=6, "3"&amp;"Q"&amp;"-"&amp;YEAR($B$2)-1, IF(INT(MONTH($B$2))=9, "4"&amp;"Q"&amp;"-"&amp;YEAR($B$2)-1,IF(INT(MONTH($B$2))=12, "1"&amp;"Q"&amp;"-"&amp;YEAR($B$2), 0))))</f>
        <v>4Q-2020</v>
      </c>
      <c r="G5" s="541" t="str">
        <f>IF(INT(MONTH($B$2))=3, "1"&amp;"Q"&amp;"-"&amp;YEAR($B$2)-1, IF(INT(MONTH($B$2))=6, "2"&amp;"Q"&amp;"-"&amp;YEAR($B$2)-1, IF(INT(MONTH($B$2))=9, "3"&amp;"Q"&amp;"-"&amp;YEAR($B$2)-1,IF(INT(MONTH($B$2))=12, "4"&amp;"Q"&amp;"-"&amp;YEAR($B$2)-1, 0))))</f>
        <v>3Q-2020</v>
      </c>
    </row>
    <row r="6" spans="1:8" ht="15" customHeight="1">
      <c r="A6" s="43">
        <v>1</v>
      </c>
      <c r="B6" s="542" t="s">
        <v>301</v>
      </c>
      <c r="C6" s="536">
        <f>C7+C9+C10</f>
        <v>397919983.40389544</v>
      </c>
      <c r="D6" s="536">
        <f>D7+D9+D10</f>
        <v>367280315.32480073</v>
      </c>
      <c r="E6" s="536">
        <f t="shared" ref="E6:G6" si="0">E7+E9+E10</f>
        <v>356753760.03299773</v>
      </c>
      <c r="F6" s="536">
        <f t="shared" si="0"/>
        <v>353849825.01550949</v>
      </c>
      <c r="G6" s="543">
        <f t="shared" si="0"/>
        <v>334866146.72064102</v>
      </c>
    </row>
    <row r="7" spans="1:8" ht="15" customHeight="1">
      <c r="A7" s="43">
        <v>1.1000000000000001</v>
      </c>
      <c r="B7" s="542" t="s">
        <v>481</v>
      </c>
      <c r="C7" s="537">
        <v>340438684.19689542</v>
      </c>
      <c r="D7" s="537">
        <v>308857744.80980074</v>
      </c>
      <c r="E7" s="537">
        <v>312081819.75799775</v>
      </c>
      <c r="F7" s="537">
        <v>309116063.40300947</v>
      </c>
      <c r="G7" s="544">
        <v>287914598.33314103</v>
      </c>
    </row>
    <row r="8" spans="1:8">
      <c r="A8" s="43" t="s">
        <v>14</v>
      </c>
      <c r="B8" s="542" t="s">
        <v>197</v>
      </c>
      <c r="C8" s="537"/>
      <c r="D8" s="537"/>
      <c r="E8" s="537"/>
      <c r="F8" s="537"/>
      <c r="G8" s="544"/>
    </row>
    <row r="9" spans="1:8" ht="15" customHeight="1">
      <c r="A9" s="43">
        <v>1.2</v>
      </c>
      <c r="B9" s="545" t="s">
        <v>196</v>
      </c>
      <c r="C9" s="537">
        <v>57481299.20700001</v>
      </c>
      <c r="D9" s="537">
        <v>58422570.515000001</v>
      </c>
      <c r="E9" s="537">
        <v>44671940.274999999</v>
      </c>
      <c r="F9" s="537">
        <v>44733761.612499997</v>
      </c>
      <c r="G9" s="544">
        <v>46951548.387499973</v>
      </c>
    </row>
    <row r="10" spans="1:8" ht="15" customHeight="1">
      <c r="A10" s="43">
        <v>1.3</v>
      </c>
      <c r="B10" s="542" t="s">
        <v>28</v>
      </c>
      <c r="C10" s="537">
        <v>0</v>
      </c>
      <c r="D10" s="537">
        <v>0</v>
      </c>
      <c r="E10" s="537">
        <v>0</v>
      </c>
      <c r="F10" s="537">
        <v>0</v>
      </c>
      <c r="G10" s="544">
        <v>0</v>
      </c>
    </row>
    <row r="11" spans="1:8" ht="15" customHeight="1">
      <c r="A11" s="43">
        <v>2</v>
      </c>
      <c r="B11" s="542" t="s">
        <v>298</v>
      </c>
      <c r="C11" s="538">
        <v>3375041.0049316972</v>
      </c>
      <c r="D11" s="538">
        <v>784603.3461370474</v>
      </c>
      <c r="E11" s="538">
        <v>3836489.7190561523</v>
      </c>
      <c r="F11" s="538">
        <v>1464177.9683145941</v>
      </c>
      <c r="G11" s="546">
        <v>254931.44905463999</v>
      </c>
    </row>
    <row r="12" spans="1:8" ht="15" customHeight="1">
      <c r="A12" s="43">
        <v>3</v>
      </c>
      <c r="B12" s="542" t="s">
        <v>299</v>
      </c>
      <c r="C12" s="537">
        <v>26883909.351648834</v>
      </c>
      <c r="D12" s="537">
        <v>26883909.351648834</v>
      </c>
      <c r="E12" s="537">
        <v>26883909.351648834</v>
      </c>
      <c r="F12" s="537">
        <v>26883909.351648834</v>
      </c>
      <c r="G12" s="544">
        <v>22160683.935528707</v>
      </c>
    </row>
    <row r="13" spans="1:8" ht="15" customHeight="1" thickBot="1">
      <c r="A13" s="44">
        <v>4</v>
      </c>
      <c r="B13" s="45" t="s">
        <v>300</v>
      </c>
      <c r="C13" s="539">
        <f>C6+C11+C12</f>
        <v>428178933.76047593</v>
      </c>
      <c r="D13" s="539">
        <f>D6+D11+D12</f>
        <v>394948828.02258658</v>
      </c>
      <c r="E13" s="539">
        <f t="shared" ref="E13:G13" si="1">E6+E11+E12</f>
        <v>387474159.10370266</v>
      </c>
      <c r="F13" s="539">
        <f t="shared" si="1"/>
        <v>382197912.33547288</v>
      </c>
      <c r="G13" s="547">
        <f t="shared" si="1"/>
        <v>357281762.10522437</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44469</v>
      </c>
    </row>
    <row r="4" spans="1:8" ht="28.15" customHeight="1" thickBot="1">
      <c r="A4" s="50" t="s">
        <v>80</v>
      </c>
      <c r="B4" s="51" t="s">
        <v>267</v>
      </c>
      <c r="C4" s="52"/>
    </row>
    <row r="5" spans="1:8">
      <c r="A5" s="53"/>
      <c r="B5" s="333" t="s">
        <v>81</v>
      </c>
      <c r="C5" s="334" t="s">
        <v>495</v>
      </c>
    </row>
    <row r="6" spans="1:8">
      <c r="A6" s="54">
        <v>1</v>
      </c>
      <c r="B6" s="55" t="s">
        <v>711</v>
      </c>
      <c r="C6" s="56" t="s">
        <v>719</v>
      </c>
    </row>
    <row r="7" spans="1:8">
      <c r="A7" s="54">
        <v>2</v>
      </c>
      <c r="B7" s="55" t="s">
        <v>714</v>
      </c>
      <c r="C7" s="56" t="s">
        <v>720</v>
      </c>
    </row>
    <row r="8" spans="1:8">
      <c r="A8" s="54">
        <v>3</v>
      </c>
      <c r="B8" s="55" t="s">
        <v>715</v>
      </c>
      <c r="C8" s="56" t="s">
        <v>721</v>
      </c>
    </row>
    <row r="9" spans="1:8">
      <c r="A9" s="54">
        <v>4</v>
      </c>
      <c r="B9" s="55" t="s">
        <v>716</v>
      </c>
      <c r="C9" s="56" t="s">
        <v>721</v>
      </c>
    </row>
    <row r="10" spans="1:8">
      <c r="A10" s="54">
        <v>5</v>
      </c>
      <c r="B10" s="55" t="s">
        <v>717</v>
      </c>
      <c r="C10" s="56" t="s">
        <v>720</v>
      </c>
    </row>
    <row r="11" spans="1:8">
      <c r="A11" s="54">
        <v>6</v>
      </c>
      <c r="B11" s="55" t="s">
        <v>718</v>
      </c>
      <c r="C11" s="56" t="s">
        <v>720</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496</v>
      </c>
    </row>
    <row r="18" spans="1:3">
      <c r="A18" s="54">
        <v>1</v>
      </c>
      <c r="B18" s="55" t="s">
        <v>712</v>
      </c>
      <c r="C18" s="58" t="s">
        <v>724</v>
      </c>
    </row>
    <row r="19" spans="1:3">
      <c r="A19" s="54">
        <v>2</v>
      </c>
      <c r="B19" s="55" t="s">
        <v>722</v>
      </c>
      <c r="C19" s="58" t="s">
        <v>725</v>
      </c>
    </row>
    <row r="20" spans="1:3">
      <c r="A20" s="54">
        <v>3</v>
      </c>
      <c r="B20" s="55" t="s">
        <v>723</v>
      </c>
      <c r="C20" s="58" t="s">
        <v>726</v>
      </c>
    </row>
    <row r="21" spans="1:3">
      <c r="A21" s="54">
        <v>4</v>
      </c>
      <c r="B21" s="55"/>
      <c r="C21" s="58"/>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3" t="s">
        <v>83</v>
      </c>
      <c r="C29" s="714"/>
    </row>
    <row r="30" spans="1:3">
      <c r="A30" s="54">
        <v>1</v>
      </c>
      <c r="B30" s="55" t="s">
        <v>727</v>
      </c>
      <c r="C30" s="549">
        <v>1</v>
      </c>
    </row>
    <row r="31" spans="1:3" ht="15.75" customHeight="1">
      <c r="A31" s="54"/>
      <c r="B31" s="55"/>
      <c r="C31" s="56"/>
    </row>
    <row r="32" spans="1:3" ht="29.25" customHeight="1">
      <c r="A32" s="54"/>
      <c r="B32" s="713" t="s">
        <v>84</v>
      </c>
      <c r="C32" s="714"/>
    </row>
    <row r="33" spans="1:3">
      <c r="A33" s="54">
        <v>1</v>
      </c>
      <c r="B33" s="55" t="s">
        <v>728</v>
      </c>
      <c r="C33" s="550">
        <v>0.37080000000000002</v>
      </c>
    </row>
    <row r="34" spans="1:3" ht="15" thickBot="1">
      <c r="A34" s="60">
        <v>2</v>
      </c>
      <c r="B34" s="61" t="s">
        <v>729</v>
      </c>
      <c r="C34" s="551">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44469</v>
      </c>
    </row>
    <row r="3" spans="1:7" s="62" customFormat="1" ht="15.75" customHeight="1">
      <c r="A3" s="234"/>
    </row>
    <row r="4" spans="1:7" s="62" customFormat="1" ht="15.75" customHeight="1" thickBot="1">
      <c r="A4" s="235" t="s">
        <v>202</v>
      </c>
      <c r="B4" s="719" t="s">
        <v>347</v>
      </c>
      <c r="C4" s="720"/>
      <c r="D4" s="720"/>
      <c r="E4" s="720"/>
    </row>
    <row r="5" spans="1:7" s="66" customFormat="1" ht="17.649999999999999" customHeight="1">
      <c r="A5" s="184"/>
      <c r="B5" s="185"/>
      <c r="C5" s="64" t="s">
        <v>0</v>
      </c>
      <c r="D5" s="64" t="s">
        <v>1</v>
      </c>
      <c r="E5" s="65" t="s">
        <v>2</v>
      </c>
    </row>
    <row r="6" spans="1:7" s="18" customFormat="1" ht="14.65" customHeight="1">
      <c r="A6" s="236"/>
      <c r="B6" s="715" t="s">
        <v>354</v>
      </c>
      <c r="C6" s="715" t="s">
        <v>93</v>
      </c>
      <c r="D6" s="717" t="s">
        <v>201</v>
      </c>
      <c r="E6" s="718"/>
      <c r="G6" s="5"/>
    </row>
    <row r="7" spans="1:7" s="18" customFormat="1" ht="99.6" customHeight="1">
      <c r="A7" s="236"/>
      <c r="B7" s="716"/>
      <c r="C7" s="715"/>
      <c r="D7" s="265" t="s">
        <v>200</v>
      </c>
      <c r="E7" s="266" t="s">
        <v>355</v>
      </c>
      <c r="G7" s="5"/>
    </row>
    <row r="8" spans="1:7">
      <c r="A8" s="237">
        <v>1</v>
      </c>
      <c r="B8" s="267" t="s">
        <v>35</v>
      </c>
      <c r="C8" s="268">
        <f>'2.RC'!E7</f>
        <v>4252790.2300000004</v>
      </c>
      <c r="D8" s="268"/>
      <c r="E8" s="269">
        <f>C8-D8</f>
        <v>4252790.2300000004</v>
      </c>
      <c r="F8" s="18"/>
    </row>
    <row r="9" spans="1:7">
      <c r="A9" s="237">
        <v>2</v>
      </c>
      <c r="B9" s="267" t="s">
        <v>36</v>
      </c>
      <c r="C9" s="268">
        <f>'2.RC'!E8</f>
        <v>47490025.629999995</v>
      </c>
      <c r="D9" s="268"/>
      <c r="E9" s="269">
        <f t="shared" ref="E9:E20" si="0">C9-D9</f>
        <v>47490025.629999995</v>
      </c>
      <c r="F9" s="18"/>
    </row>
    <row r="10" spans="1:7">
      <c r="A10" s="237">
        <v>3</v>
      </c>
      <c r="B10" s="267" t="s">
        <v>37</v>
      </c>
      <c r="C10" s="268">
        <f>'2.RC'!E9</f>
        <v>68402210.208904997</v>
      </c>
      <c r="D10" s="268"/>
      <c r="E10" s="269">
        <f t="shared" si="0"/>
        <v>68402210.208904997</v>
      </c>
      <c r="F10" s="18"/>
    </row>
    <row r="11" spans="1:7">
      <c r="A11" s="237">
        <v>4</v>
      </c>
      <c r="B11" s="267" t="s">
        <v>38</v>
      </c>
      <c r="C11" s="268">
        <f>'2.RC'!E10</f>
        <v>0</v>
      </c>
      <c r="D11" s="268"/>
      <c r="E11" s="269">
        <f t="shared" si="0"/>
        <v>0</v>
      </c>
      <c r="F11" s="18"/>
    </row>
    <row r="12" spans="1:7">
      <c r="A12" s="237">
        <v>5</v>
      </c>
      <c r="B12" s="267" t="s">
        <v>39</v>
      </c>
      <c r="C12" s="268">
        <f>'2.RC'!E11</f>
        <v>33733716.899589635</v>
      </c>
      <c r="D12" s="268"/>
      <c r="E12" s="269">
        <f t="shared" si="0"/>
        <v>33733716.899589635</v>
      </c>
      <c r="F12" s="18"/>
    </row>
    <row r="13" spans="1:7">
      <c r="A13" s="237">
        <v>6.1</v>
      </c>
      <c r="B13" s="270" t="s">
        <v>40</v>
      </c>
      <c r="C13" s="271">
        <f>'2.RC'!E12</f>
        <v>236479090.84</v>
      </c>
      <c r="D13" s="268"/>
      <c r="E13" s="269">
        <f t="shared" si="0"/>
        <v>236479090.84</v>
      </c>
      <c r="F13" s="18"/>
    </row>
    <row r="14" spans="1:7">
      <c r="A14" s="237">
        <v>6.2</v>
      </c>
      <c r="B14" s="272" t="s">
        <v>41</v>
      </c>
      <c r="C14" s="271">
        <f>'2.RC'!E13</f>
        <v>-11197353.219999999</v>
      </c>
      <c r="D14" s="268"/>
      <c r="E14" s="269">
        <f t="shared" si="0"/>
        <v>-11197353.219999999</v>
      </c>
      <c r="F14" s="18"/>
    </row>
    <row r="15" spans="1:7">
      <c r="A15" s="237">
        <v>6</v>
      </c>
      <c r="B15" s="267" t="s">
        <v>42</v>
      </c>
      <c r="C15" s="268">
        <f>'2.RC'!E14</f>
        <v>225281737.62</v>
      </c>
      <c r="D15" s="268"/>
      <c r="E15" s="269">
        <f t="shared" si="0"/>
        <v>225281737.62</v>
      </c>
      <c r="F15" s="18"/>
    </row>
    <row r="16" spans="1:7">
      <c r="A16" s="237">
        <v>7</v>
      </c>
      <c r="B16" s="267" t="s">
        <v>43</v>
      </c>
      <c r="C16" s="268">
        <f>'2.RC'!E15</f>
        <v>1858833.0486039999</v>
      </c>
      <c r="D16" s="268"/>
      <c r="E16" s="269">
        <f t="shared" si="0"/>
        <v>1858833.0486039999</v>
      </c>
      <c r="F16" s="18"/>
    </row>
    <row r="17" spans="1:7">
      <c r="A17" s="237">
        <v>8</v>
      </c>
      <c r="B17" s="267" t="s">
        <v>199</v>
      </c>
      <c r="C17" s="268">
        <f>'2.RC'!E16</f>
        <v>735525.39</v>
      </c>
      <c r="D17" s="268"/>
      <c r="E17" s="269">
        <f t="shared" si="0"/>
        <v>735525.39</v>
      </c>
      <c r="F17" s="238"/>
      <c r="G17" s="68"/>
    </row>
    <row r="18" spans="1:7">
      <c r="A18" s="237">
        <v>9</v>
      </c>
      <c r="B18" s="267" t="s">
        <v>44</v>
      </c>
      <c r="C18" s="268">
        <f>'2.RC'!E17</f>
        <v>0</v>
      </c>
      <c r="D18" s="268"/>
      <c r="E18" s="269">
        <f t="shared" si="0"/>
        <v>0</v>
      </c>
      <c r="F18" s="18"/>
      <c r="G18" s="68"/>
    </row>
    <row r="19" spans="1:7">
      <c r="A19" s="237">
        <v>10</v>
      </c>
      <c r="B19" s="267" t="s">
        <v>45</v>
      </c>
      <c r="C19" s="268">
        <f>'2.RC'!E18</f>
        <v>7866511.1100000003</v>
      </c>
      <c r="D19" s="268">
        <v>238014.31999999995</v>
      </c>
      <c r="E19" s="269">
        <f t="shared" si="0"/>
        <v>7628496.79</v>
      </c>
      <c r="F19" s="18"/>
      <c r="G19" s="68"/>
    </row>
    <row r="20" spans="1:7">
      <c r="A20" s="237">
        <v>11</v>
      </c>
      <c r="B20" s="267" t="s">
        <v>46</v>
      </c>
      <c r="C20" s="268">
        <f>'2.RC'!E19</f>
        <v>3756773.1642466071</v>
      </c>
      <c r="D20" s="268"/>
      <c r="E20" s="269">
        <f t="shared" si="0"/>
        <v>3756773.1642466071</v>
      </c>
      <c r="F20" s="18"/>
    </row>
    <row r="21" spans="1:7" ht="26.25" thickBot="1">
      <c r="A21" s="138"/>
      <c r="B21" s="239" t="s">
        <v>357</v>
      </c>
      <c r="C21" s="186">
        <f>SUM(C8:C12, C15:C20)</f>
        <v>393378123.30134529</v>
      </c>
      <c r="D21" s="186">
        <f>SUM(D8:D12, D15:D20)</f>
        <v>238014.31999999995</v>
      </c>
      <c r="E21" s="273">
        <f>SUM(E8:E12, E15:E20)</f>
        <v>393140108.9813453</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44469</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52">
        <f>'7. LI1 '!E21</f>
        <v>393140108.9813453</v>
      </c>
    </row>
    <row r="6" spans="1:6" s="189" customFormat="1">
      <c r="A6" s="70">
        <v>2.1</v>
      </c>
      <c r="B6" s="553" t="s">
        <v>335</v>
      </c>
      <c r="C6" s="554">
        <f>'4. Off-Balance'!E8+'4. Off-Balance'!E10</f>
        <v>112031905.83</v>
      </c>
    </row>
    <row r="7" spans="1:6" s="48" customFormat="1" outlineLevel="1">
      <c r="A7" s="43">
        <v>2.2000000000000002</v>
      </c>
      <c r="B7" s="555" t="s">
        <v>336</v>
      </c>
      <c r="C7" s="556"/>
    </row>
    <row r="8" spans="1:6" s="48" customFormat="1" ht="25.5">
      <c r="A8" s="43">
        <v>3</v>
      </c>
      <c r="B8" s="557" t="s">
        <v>337</v>
      </c>
      <c r="C8" s="558">
        <f>SUM(C5:C7)</f>
        <v>505172014.81134528</v>
      </c>
    </row>
    <row r="9" spans="1:6" s="189" customFormat="1">
      <c r="A9" s="70">
        <v>4</v>
      </c>
      <c r="B9" s="72" t="s">
        <v>87</v>
      </c>
      <c r="C9" s="554">
        <v>4973999.7925486928</v>
      </c>
    </row>
    <row r="10" spans="1:6" s="48" customFormat="1" outlineLevel="1">
      <c r="A10" s="43">
        <v>5.0999999999999996</v>
      </c>
      <c r="B10" s="555" t="s">
        <v>338</v>
      </c>
      <c r="C10" s="559">
        <v>-43596402.344999984</v>
      </c>
    </row>
    <row r="11" spans="1:6" s="48" customFormat="1" outlineLevel="1">
      <c r="A11" s="43">
        <v>5.2</v>
      </c>
      <c r="B11" s="555" t="s">
        <v>339</v>
      </c>
      <c r="C11" s="556"/>
    </row>
    <row r="12" spans="1:6" s="48" customFormat="1">
      <c r="A12" s="43">
        <v>6</v>
      </c>
      <c r="B12" s="560" t="s">
        <v>483</v>
      </c>
      <c r="C12" s="556">
        <v>1423935</v>
      </c>
    </row>
    <row r="13" spans="1:6" s="48" customFormat="1" ht="13.5" thickBot="1">
      <c r="A13" s="44">
        <v>7</v>
      </c>
      <c r="B13" s="187" t="s">
        <v>285</v>
      </c>
      <c r="C13" s="561">
        <f>SUM(C8:C12)</f>
        <v>467973547.25889403</v>
      </c>
    </row>
    <row r="15" spans="1:6" ht="25.5">
      <c r="A15" s="204"/>
      <c r="B15" s="49" t="s">
        <v>484</v>
      </c>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XIKbaRywqe1Ls5nfuUUYOOoD7MgXuKLpbGdVCOuXfHo=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SO2gt0zREGKOnQ/KBi19dNZQLFPasMfwRKkwdKm2hJs=</DigestValue>
    </Reference>
  </SignedInfo>
  <SignatureValue>jAF11LAAbE4Kix+fXjCT07s20eVBTSeapIMmfn29DK5EAfdM8qL9fPI0pwhY3c1oO0szz+K9CX1U
7TJJJxDLPWWqBrmc9JnK2wkYF4hgYSZKF8v8+0UySwsBzDZvu7TEimc22vKcOIAFC8y9cxy2OC8y
RKYbFHS6lKlebx2OPLwhnfiNqJ+ou0v0jhrfm+A0Stk5K+PDVyR21UWib62Dpu2YeiR+jR8AdA+Y
uhY8fJNb8PW5hKPKfXHGUQS4QSVi6QFfaCyv/v7D8LVLZV+wX1P3OAX2litIMOWjUmLdIvI226an
PHyGcgpItNfdPumZ83FqLj+hX82g7pJwoWPyuA==</SignatureValue>
  <KeyInfo>
    <X509Data>
      <X509Certificate>MIIGODCCBSCgAwIBAgIKOCPUKwACAAFq+zANBgkqhkiG9w0BAQsFADBKMRIwEAYKCZImiZPyLGQBGRYCZ2UxEzARBgoJkiaJk/IsZAEZFgNuYmcxHzAdBgNVBAMTFk5CRyBDbGFzcyAyIElOVCBTdWIgQ0EwHhcNMjAwMjE0MTAzNDE1WhcNMjExMjIyMDk0NjU2WjA2MRswGQYDVQQKExJKU0MgSXNiYW5rIEdlb3JnaWExFzAVBgNVBAMTDkJJUyAtIE96YW4gR3VyMIIBIjANBgkqhkiG9w0BAQEFAAOCAQ8AMIIBCgKCAQEA5AaKV/Q4021K/K7TS/Rxv91ukAAKvgKT9KBzgfRok5LbPbM/oa5Kgk7bnpCCByJ3EmT8YSHQoCs4A9+iHfxywV7+kuyL5DPmPMH7u1hNZRuSq8YUPHytgdotqgvxVeTmvlaZkU7grvb4e5ezbWwQj9T9dxVjqphFtAx0y5ipQsBTBbnUYLN6cTBZWOEhO6uZCOy8a7q7Q/XWVho4e3MbORqLDWyZU9Mw04ha+015krYzNo3QU0RD9u2DVHQQdc6yhjS0N+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0gxZI1NAfSOrNjeffn9Xk2dvV07qVJ79j6sHOw/5qO0asgLt1ArVjKHqSrYLXnU9G09WjXIY6FWltb0uh0VzQN/qJGsDTMsIGYowaVCz5C+cIRPFTyat2/P7OrBzvQOrpYOCXdoq4j2EN9zzoAZ29ZI4P1JUP/KokkFFxNeHFJcCN838s4SbsDL3fzvWdD6kDgEJVnxkTs/kfSmGvPahXzlQqt/cYDAS48dV44sqruABqeS+9xpcbCk0JbRWSpoaeNcD+tnyZVAoRKbCBJ2oWnvfi/nR42f7tCLMqy2hS1DpLt4/0sJGer3Q+fRc5o2Oym/rKKiTfzWk4XXMGlN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D6cugD/x/VhvMNS27W40LhY/SXEAQ700YuzLEGKOnho=</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L6uxqwohWQOyKsrt+1OInuPVkvT+ecNXmdm7Z1OwZpI=</DigestValue>
      </Reference>
      <Reference URI="/xl/styles.xml?ContentType=application/vnd.openxmlformats-officedocument.spreadsheetml.styles+xml">
        <DigestMethod Algorithm="http://www.w3.org/2001/04/xmlenc#sha256"/>
        <DigestValue>rN6PB5WMGOV3rAbeC0T7krxvE2PMepil1u64ks/gip4=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IkhLe8CCqt0nKGg5BNlchGOkU3zwygVtRnIKgTfeblQ=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ZJEx3epogxxm9sCh2rQ8nVrmk7aDTiBq0d9Iv/Iy5HA=</DigestValue>
      </Reference>
      <Reference URI="/xl/worksheets/sheet10.xml?ContentType=application/vnd.openxmlformats-officedocument.spreadsheetml.worksheet+xml">
        <DigestMethod Algorithm="http://www.w3.org/2001/04/xmlenc#sha256"/>
        <DigestValue>E/YRQyAtq+iRByrYu3vOmNt8np7zUhx3bIAh8fJ62e8=</DigestValue>
      </Reference>
      <Reference URI="/xl/worksheets/sheet11.xml?ContentType=application/vnd.openxmlformats-officedocument.spreadsheetml.worksheet+xml">
        <DigestMethod Algorithm="http://www.w3.org/2001/04/xmlenc#sha256"/>
        <DigestValue>nKxgZkmkSBJPGSu87DdCdd8emHZn7qnQZ7r06E/spaM=</DigestValue>
      </Reference>
      <Reference URI="/xl/worksheets/sheet12.xml?ContentType=application/vnd.openxmlformats-officedocument.spreadsheetml.worksheet+xml">
        <DigestMethod Algorithm="http://www.w3.org/2001/04/xmlenc#sha256"/>
        <DigestValue>b1r3HYv/mIpGN48K6s87xKf1Jwsgonm+55CUHlXC9WU=</DigestValue>
      </Reference>
      <Reference URI="/xl/worksheets/sheet13.xml?ContentType=application/vnd.openxmlformats-officedocument.spreadsheetml.worksheet+xml">
        <DigestMethod Algorithm="http://www.w3.org/2001/04/xmlenc#sha256"/>
        <DigestValue>fFC+c+5yMFVzVe0nlgw/WZH/c++h5guSSyw2pglJkpQ=</DigestValue>
      </Reference>
      <Reference URI="/xl/worksheets/sheet14.xml?ContentType=application/vnd.openxmlformats-officedocument.spreadsheetml.worksheet+xml">
        <DigestMethod Algorithm="http://www.w3.org/2001/04/xmlenc#sha256"/>
        <DigestValue>Tg43bwrS3oDzO7kmsq+uWOS7cSU/Fi77kc40hrbHfI0=</DigestValue>
      </Reference>
      <Reference URI="/xl/worksheets/sheet15.xml?ContentType=application/vnd.openxmlformats-officedocument.spreadsheetml.worksheet+xml">
        <DigestMethod Algorithm="http://www.w3.org/2001/04/xmlenc#sha256"/>
        <DigestValue>MUTCpggS+CSLZbeZ1dz1TdvzcDPU4diXMjrP2XTiiMs=</DigestValue>
      </Reference>
      <Reference URI="/xl/worksheets/sheet16.xml?ContentType=application/vnd.openxmlformats-officedocument.spreadsheetml.worksheet+xml">
        <DigestMethod Algorithm="http://www.w3.org/2001/04/xmlenc#sha256"/>
        <DigestValue>24CmO+kkSfkqI1H8YGiCUImIBvnSst1L2SlWeQVSr+g=</DigestValue>
      </Reference>
      <Reference URI="/xl/worksheets/sheet17.xml?ContentType=application/vnd.openxmlformats-officedocument.spreadsheetml.worksheet+xml">
        <DigestMethod Algorithm="http://www.w3.org/2001/04/xmlenc#sha256"/>
        <DigestValue>NskRD/k0IUj1wt6Vh40a0wgh0Ygccc/eyNc8M+6YOSM=</DigestValue>
      </Reference>
      <Reference URI="/xl/worksheets/sheet18.xml?ContentType=application/vnd.openxmlformats-officedocument.spreadsheetml.worksheet+xml">
        <DigestMethod Algorithm="http://www.w3.org/2001/04/xmlenc#sha256"/>
        <DigestValue>WGWCjDA5z5u/Q+hmv9b3CNMhG653n324uJ7TnjyeHKg=</DigestValue>
      </Reference>
      <Reference URI="/xl/worksheets/sheet19.xml?ContentType=application/vnd.openxmlformats-officedocument.spreadsheetml.worksheet+xml">
        <DigestMethod Algorithm="http://www.w3.org/2001/04/xmlenc#sha256"/>
        <DigestValue>dbT46JAc8ZD91oBycU9Bdb9Nb8sCYbCZsJjlQeofO/E=</DigestValue>
      </Reference>
      <Reference URI="/xl/worksheets/sheet2.xml?ContentType=application/vnd.openxmlformats-officedocument.spreadsheetml.worksheet+xml">
        <DigestMethod Algorithm="http://www.w3.org/2001/04/xmlenc#sha256"/>
        <DigestValue>Iz2uhdFycjmwxGU4t1SPTAnZ5kOcS7It2YLYHcRr1qM=</DigestValue>
      </Reference>
      <Reference URI="/xl/worksheets/sheet20.xml?ContentType=application/vnd.openxmlformats-officedocument.spreadsheetml.worksheet+xml">
        <DigestMethod Algorithm="http://www.w3.org/2001/04/xmlenc#sha256"/>
        <DigestValue>GpbjqFejIdJ1J87UN0uw5W65Csf3NVAC76ShcwFikoc=</DigestValue>
      </Reference>
      <Reference URI="/xl/worksheets/sheet21.xml?ContentType=application/vnd.openxmlformats-officedocument.spreadsheetml.worksheet+xml">
        <DigestMethod Algorithm="http://www.w3.org/2001/04/xmlenc#sha256"/>
        <DigestValue>mIUKDC0iZgfnaDIKISQI5WUE6pGrwuv5y1v5X1WFwyo=</DigestValue>
      </Reference>
      <Reference URI="/xl/worksheets/sheet22.xml?ContentType=application/vnd.openxmlformats-officedocument.spreadsheetml.worksheet+xml">
        <DigestMethod Algorithm="http://www.w3.org/2001/04/xmlenc#sha256"/>
        <DigestValue>xEmkC9UP0btCqSxo00vPEKYMmXdykHuMy6BCH/voEcc=</DigestValue>
      </Reference>
      <Reference URI="/xl/worksheets/sheet23.xml?ContentType=application/vnd.openxmlformats-officedocument.spreadsheetml.worksheet+xml">
        <DigestMethod Algorithm="http://www.w3.org/2001/04/xmlenc#sha256"/>
        <DigestValue>Lhm2TvgRgbGpl00X6ELndYo+jrEX/WL/N6QnHyECglk=</DigestValue>
      </Reference>
      <Reference URI="/xl/worksheets/sheet24.xml?ContentType=application/vnd.openxmlformats-officedocument.spreadsheetml.worksheet+xml">
        <DigestMethod Algorithm="http://www.w3.org/2001/04/xmlenc#sha256"/>
        <DigestValue>jDLP3wHO0SAyp/YNA6iZczQMR8apkJrIMajEb632ZoU=</DigestValue>
      </Reference>
      <Reference URI="/xl/worksheets/sheet25.xml?ContentType=application/vnd.openxmlformats-officedocument.spreadsheetml.worksheet+xml">
        <DigestMethod Algorithm="http://www.w3.org/2001/04/xmlenc#sha256"/>
        <DigestValue>jQ15c0iQcjSPbfllU9tX7xR97ESSC4A8gL9GVen/q/w=</DigestValue>
      </Reference>
      <Reference URI="/xl/worksheets/sheet26.xml?ContentType=application/vnd.openxmlformats-officedocument.spreadsheetml.worksheet+xml">
        <DigestMethod Algorithm="http://www.w3.org/2001/04/xmlenc#sha256"/>
        <DigestValue>5PQkI2+kPO+T2O0XcgHfHkg1qHlWGXFyQG/DcpAxH38=</DigestValue>
      </Reference>
      <Reference URI="/xl/worksheets/sheet27.xml?ContentType=application/vnd.openxmlformats-officedocument.spreadsheetml.worksheet+xml">
        <DigestMethod Algorithm="http://www.w3.org/2001/04/xmlenc#sha256"/>
        <DigestValue>ouIuNV4STWGrdGOBIlFKfGO0lW8gbLGukwa2F7YURXk=</DigestValue>
      </Reference>
      <Reference URI="/xl/worksheets/sheet28.xml?ContentType=application/vnd.openxmlformats-officedocument.spreadsheetml.worksheet+xml">
        <DigestMethod Algorithm="http://www.w3.org/2001/04/xmlenc#sha256"/>
        <DigestValue>7C6+xYq9lhsfT6TkZxoWTrcz9sLKtlNLjObvZ8q1XEw=</DigestValue>
      </Reference>
      <Reference URI="/xl/worksheets/sheet29.xml?ContentType=application/vnd.openxmlformats-officedocument.spreadsheetml.worksheet+xml">
        <DigestMethod Algorithm="http://www.w3.org/2001/04/xmlenc#sha256"/>
        <DigestValue>7DALWRs866emSbVNUV5FTdoWiCB9UAnyTAIhgccGiBs=</DigestValue>
      </Reference>
      <Reference URI="/xl/worksheets/sheet3.xml?ContentType=application/vnd.openxmlformats-officedocument.spreadsheetml.worksheet+xml">
        <DigestMethod Algorithm="http://www.w3.org/2001/04/xmlenc#sha256"/>
        <DigestValue>JDl/QTbVFtw1wMnx4WfnteyHhJ97UnrRueojXlaDgdI=</DigestValue>
      </Reference>
      <Reference URI="/xl/worksheets/sheet4.xml?ContentType=application/vnd.openxmlformats-officedocument.spreadsheetml.worksheet+xml">
        <DigestMethod Algorithm="http://www.w3.org/2001/04/xmlenc#sha256"/>
        <DigestValue>pyvvf+hzM/ZNYRpBUS7txOSa9xg7cI95H1hHlc4Yt2M=</DigestValue>
      </Reference>
      <Reference URI="/xl/worksheets/sheet5.xml?ContentType=application/vnd.openxmlformats-officedocument.spreadsheetml.worksheet+xml">
        <DigestMethod Algorithm="http://www.w3.org/2001/04/xmlenc#sha256"/>
        <DigestValue>A6czWFGQN0A3R1PBDhL5+XaQb4rXjSZpQCgtvTww4xo=</DigestValue>
      </Reference>
      <Reference URI="/xl/worksheets/sheet6.xml?ContentType=application/vnd.openxmlformats-officedocument.spreadsheetml.worksheet+xml">
        <DigestMethod Algorithm="http://www.w3.org/2001/04/xmlenc#sha256"/>
        <DigestValue>94jRh3WhtSliIdQz1G6oGGANJptsG6N+EBF2nm1H9LU=</DigestValue>
      </Reference>
      <Reference URI="/xl/worksheets/sheet7.xml?ContentType=application/vnd.openxmlformats-officedocument.spreadsheetml.worksheet+xml">
        <DigestMethod Algorithm="http://www.w3.org/2001/04/xmlenc#sha256"/>
        <DigestValue>MMuECjN5635/iS2nCbviv6FKyVdI/h2AxpScSaqWhFw=</DigestValue>
      </Reference>
      <Reference URI="/xl/worksheets/sheet8.xml?ContentType=application/vnd.openxmlformats-officedocument.spreadsheetml.worksheet+xml">
        <DigestMethod Algorithm="http://www.w3.org/2001/04/xmlenc#sha256"/>
        <DigestValue>MUaR449K5fKLxUysEvshtWb9lZN/Y9T08es0+rbfk8I=</DigestValue>
      </Reference>
      <Reference URI="/xl/worksheets/sheet9.xml?ContentType=application/vnd.openxmlformats-officedocument.spreadsheetml.worksheet+xml">
        <DigestMethod Algorithm="http://www.w3.org/2001/04/xmlenc#sha256"/>
        <DigestValue>OXXHwb+JtwtwF1oiXaR9zNSweQPRF1s4jTOqJFAobvM=</DigestValue>
      </Reference>
    </Manifest>
    <SignatureProperties>
      <SignatureProperty Id="idSignatureTime" Target="#idPackageSignature">
        <mdssi:SignatureTime xmlns:mdssi="http://schemas.openxmlformats.org/package/2006/digital-signature">
          <mdssi:Format>YYYY-MM-DDThh:mm:ssTZD</mdssi:Format>
          <mdssi:Value>2021-11-04T12:38:40Z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2021-11-04T12:38:40Z</xd:SigningTime>
          <xd:SigningCertificate>
            <xd:Cert>
              <xd:CertDigest>
                <DigestMethod Algorithm="http://www.w3.org/2001/04/xmlenc#sha256"/>
                <DigestValue>siOL6Vfls/yhyQKp7XPvybUcaMULq6zrSELPm5cUglk=</DigestValue>
              </xd:CertDigest>
              <xd:IssuerSerial>
                <X509IssuerName>CN=NBG Class 2 INT Sub CA, DC=nbg, DC=ge</X509IssuerName>
                <X509SerialNumber>265113447396648595581691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LHGzxjJeAsFA6OULoEUvJyvvuyRUqNCmUEeiNW+xJ2g=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UkiHlWfdxZ3TuhQ40Rcgmh84XUEhs17BNcxnyZi7GUE=</DigestValue>
    </Reference>
  </SignedInfo>
  <SignatureValue>bO8nZQhENzLXh/s4hg25J+xAVFsHvzgeCwOYU6Gpj3T+Q1X6Kp6TTYQynFtoq+1vj7anrYdmkc0D
r+8tIlO4Q8mhn2LIRKcJQHfDqBr+lo8UUyhWFHEMX6p0V4tq5Yh5OOLCTDnrmEGpzYPR7jXFzaYv
kGPN9cmdfIhozilraGk65f8nhk3kVbnQneiDwu8Puv1gZP6GYpebiFFOPkktWWXYGzvZCMXhlxFA
dNXQTLSzZ7UFGhkZDPTrdxtzPJSogBXVX/vI8/ACMpJqr1vofjihEwkUcMdcoM5aUwkRJiGpJMvO
92DRMkyrzXo4ncCtUXPDT5fCiC07Ag8zWIh1TA==</SignatureValue>
  <KeyInfo>
    <X509Data>
      <X509Certificate>MIIGPjCCBSagAwIBAgIKN+cNcgACAAFq9jANBgkqhkiG9w0BAQsFADBKMRIwEAYKCZImiZPyLGQBGRYCZ2UxEzARBgoJkiaJk/IsZAEZFgNuYmcxHzAdBgNVBAMTFk5CRyBDbGFzcyAyIElOVCBTdWIgQ0EwHhcNMjAwMjE0MDkyNzUyWhcNMjExMjIyMDk0NjU2WjA8MRswGQYDVQQKExJKU0MgSXNiYW5rIEdlb3JnaWExHTAbBgNVBAMTFEJJUyAtIFVjaGEgU2FyYWxpZHplMIIBIjANBgkqhkiG9w0BAQEFAAOCAQ8AMIIBCgKCAQEA0D4bqdqp/9ipmgmoZKySYvP1OzaVfG2jMLfjnryApDA0+E4gZV5v8sr4u4hthhIghbW0pqyHfI3MUJuzLTIAD1I9rrf5EQ196OfiQJ/WODkcx3kPQu1RIIyo35etA436eayL1XZu8wa2BV9yVrXmUqS94s1L4ahl5RxiXjGGAl2iUrL6d15Q46+2tCgAk/X4mJtGQfU9V8k/t/jJKdoLGLVZrE6awz55dKTkhl4cb7VLByPcccT3eIPDLzbtL/TrLIs7L9hnHn4phQaqZElFU4vyCfFNr/w/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t3TZbR0K2Y1XZbyM0oR26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zJkDHFPFcCz1veNJp0X5jjGf3KPGpEIwlmWjH6OidxOLKl9SlLHzlKGNkc/FgrNaPQedQjwlG2r8ACQFp6VsEKyagRnu5achg7OJk8CTTWYTbW4yfQxFCE7cXMlrhs0KnE8EMi8f3mnDRzzqv33d+aBT+HZTkr7H58FBWih9q3qgIHT1EpikWSeGuPd9/Fi7c2aofrydiwe3+uRqrchrUPvrH5t5/jwaKqz0DuMJ6h8aLZhRyLlJHyjUbLpEEoiruSqxW70YM9+wDWUmf909JrvVbAAJQqDrJFLyn/aD0RVRhOjecNWjSptTzBw+OiSq35E+dA2trghaE8ZkyOt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D6cugD/x/VhvMNS27W40LhY/SXEAQ700YuzLEGKOnho=</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L6uxqwohWQOyKsrt+1OInuPVkvT+ecNXmdm7Z1OwZpI=</DigestValue>
      </Reference>
      <Reference URI="/xl/styles.xml?ContentType=application/vnd.openxmlformats-officedocument.spreadsheetml.styles+xml">
        <DigestMethod Algorithm="http://www.w3.org/2001/04/xmlenc#sha256"/>
        <DigestValue>rN6PB5WMGOV3rAbeC0T7krxvE2PMepil1u64ks/gip4=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IkhLe8CCqt0nKGg5BNlchGOkU3zwygVtRnIKgTfeblQ=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ZJEx3epogxxm9sCh2rQ8nVrmk7aDTiBq0d9Iv/Iy5HA=</DigestValue>
      </Reference>
      <Reference URI="/xl/worksheets/sheet10.xml?ContentType=application/vnd.openxmlformats-officedocument.spreadsheetml.worksheet+xml">
        <DigestMethod Algorithm="http://www.w3.org/2001/04/xmlenc#sha256"/>
        <DigestValue>E/YRQyAtq+iRByrYu3vOmNt8np7zUhx3bIAh8fJ62e8=</DigestValue>
      </Reference>
      <Reference URI="/xl/worksheets/sheet11.xml?ContentType=application/vnd.openxmlformats-officedocument.spreadsheetml.worksheet+xml">
        <DigestMethod Algorithm="http://www.w3.org/2001/04/xmlenc#sha256"/>
        <DigestValue>nKxgZkmkSBJPGSu87DdCdd8emHZn7qnQZ7r06E/spaM=</DigestValue>
      </Reference>
      <Reference URI="/xl/worksheets/sheet12.xml?ContentType=application/vnd.openxmlformats-officedocument.spreadsheetml.worksheet+xml">
        <DigestMethod Algorithm="http://www.w3.org/2001/04/xmlenc#sha256"/>
        <DigestValue>b1r3HYv/mIpGN48K6s87xKf1Jwsgonm+55CUHlXC9WU=</DigestValue>
      </Reference>
      <Reference URI="/xl/worksheets/sheet13.xml?ContentType=application/vnd.openxmlformats-officedocument.spreadsheetml.worksheet+xml">
        <DigestMethod Algorithm="http://www.w3.org/2001/04/xmlenc#sha256"/>
        <DigestValue>fFC+c+5yMFVzVe0nlgw/WZH/c++h5guSSyw2pglJkpQ=</DigestValue>
      </Reference>
      <Reference URI="/xl/worksheets/sheet14.xml?ContentType=application/vnd.openxmlformats-officedocument.spreadsheetml.worksheet+xml">
        <DigestMethod Algorithm="http://www.w3.org/2001/04/xmlenc#sha256"/>
        <DigestValue>Tg43bwrS3oDzO7kmsq+uWOS7cSU/Fi77kc40hrbHfI0=</DigestValue>
      </Reference>
      <Reference URI="/xl/worksheets/sheet15.xml?ContentType=application/vnd.openxmlformats-officedocument.spreadsheetml.worksheet+xml">
        <DigestMethod Algorithm="http://www.w3.org/2001/04/xmlenc#sha256"/>
        <DigestValue>MUTCpggS+CSLZbeZ1dz1TdvzcDPU4diXMjrP2XTiiMs=</DigestValue>
      </Reference>
      <Reference URI="/xl/worksheets/sheet16.xml?ContentType=application/vnd.openxmlformats-officedocument.spreadsheetml.worksheet+xml">
        <DigestMethod Algorithm="http://www.w3.org/2001/04/xmlenc#sha256"/>
        <DigestValue>24CmO+kkSfkqI1H8YGiCUImIBvnSst1L2SlWeQVSr+g=</DigestValue>
      </Reference>
      <Reference URI="/xl/worksheets/sheet17.xml?ContentType=application/vnd.openxmlformats-officedocument.spreadsheetml.worksheet+xml">
        <DigestMethod Algorithm="http://www.w3.org/2001/04/xmlenc#sha256"/>
        <DigestValue>NskRD/k0IUj1wt6Vh40a0wgh0Ygccc/eyNc8M+6YOSM=</DigestValue>
      </Reference>
      <Reference URI="/xl/worksheets/sheet18.xml?ContentType=application/vnd.openxmlformats-officedocument.spreadsheetml.worksheet+xml">
        <DigestMethod Algorithm="http://www.w3.org/2001/04/xmlenc#sha256"/>
        <DigestValue>WGWCjDA5z5u/Q+hmv9b3CNMhG653n324uJ7TnjyeHKg=</DigestValue>
      </Reference>
      <Reference URI="/xl/worksheets/sheet19.xml?ContentType=application/vnd.openxmlformats-officedocument.spreadsheetml.worksheet+xml">
        <DigestMethod Algorithm="http://www.w3.org/2001/04/xmlenc#sha256"/>
        <DigestValue>dbT46JAc8ZD91oBycU9Bdb9Nb8sCYbCZsJjlQeofO/E=</DigestValue>
      </Reference>
      <Reference URI="/xl/worksheets/sheet2.xml?ContentType=application/vnd.openxmlformats-officedocument.spreadsheetml.worksheet+xml">
        <DigestMethod Algorithm="http://www.w3.org/2001/04/xmlenc#sha256"/>
        <DigestValue>Iz2uhdFycjmwxGU4t1SPTAnZ5kOcS7It2YLYHcRr1qM=</DigestValue>
      </Reference>
      <Reference URI="/xl/worksheets/sheet20.xml?ContentType=application/vnd.openxmlformats-officedocument.spreadsheetml.worksheet+xml">
        <DigestMethod Algorithm="http://www.w3.org/2001/04/xmlenc#sha256"/>
        <DigestValue>GpbjqFejIdJ1J87UN0uw5W65Csf3NVAC76ShcwFikoc=</DigestValue>
      </Reference>
      <Reference URI="/xl/worksheets/sheet21.xml?ContentType=application/vnd.openxmlformats-officedocument.spreadsheetml.worksheet+xml">
        <DigestMethod Algorithm="http://www.w3.org/2001/04/xmlenc#sha256"/>
        <DigestValue>mIUKDC0iZgfnaDIKISQI5WUE6pGrwuv5y1v5X1WFwyo=</DigestValue>
      </Reference>
      <Reference URI="/xl/worksheets/sheet22.xml?ContentType=application/vnd.openxmlformats-officedocument.spreadsheetml.worksheet+xml">
        <DigestMethod Algorithm="http://www.w3.org/2001/04/xmlenc#sha256"/>
        <DigestValue>xEmkC9UP0btCqSxo00vPEKYMmXdykHuMy6BCH/voEcc=</DigestValue>
      </Reference>
      <Reference URI="/xl/worksheets/sheet23.xml?ContentType=application/vnd.openxmlformats-officedocument.spreadsheetml.worksheet+xml">
        <DigestMethod Algorithm="http://www.w3.org/2001/04/xmlenc#sha256"/>
        <DigestValue>Lhm2TvgRgbGpl00X6ELndYo+jrEX/WL/N6QnHyECglk=</DigestValue>
      </Reference>
      <Reference URI="/xl/worksheets/sheet24.xml?ContentType=application/vnd.openxmlformats-officedocument.spreadsheetml.worksheet+xml">
        <DigestMethod Algorithm="http://www.w3.org/2001/04/xmlenc#sha256"/>
        <DigestValue>jDLP3wHO0SAyp/YNA6iZczQMR8apkJrIMajEb632ZoU=</DigestValue>
      </Reference>
      <Reference URI="/xl/worksheets/sheet25.xml?ContentType=application/vnd.openxmlformats-officedocument.spreadsheetml.worksheet+xml">
        <DigestMethod Algorithm="http://www.w3.org/2001/04/xmlenc#sha256"/>
        <DigestValue>jQ15c0iQcjSPbfllU9tX7xR97ESSC4A8gL9GVen/q/w=</DigestValue>
      </Reference>
      <Reference URI="/xl/worksheets/sheet26.xml?ContentType=application/vnd.openxmlformats-officedocument.spreadsheetml.worksheet+xml">
        <DigestMethod Algorithm="http://www.w3.org/2001/04/xmlenc#sha256"/>
        <DigestValue>5PQkI2+kPO+T2O0XcgHfHkg1qHlWGXFyQG/DcpAxH38=</DigestValue>
      </Reference>
      <Reference URI="/xl/worksheets/sheet27.xml?ContentType=application/vnd.openxmlformats-officedocument.spreadsheetml.worksheet+xml">
        <DigestMethod Algorithm="http://www.w3.org/2001/04/xmlenc#sha256"/>
        <DigestValue>ouIuNV4STWGrdGOBIlFKfGO0lW8gbLGukwa2F7YURXk=</DigestValue>
      </Reference>
      <Reference URI="/xl/worksheets/sheet28.xml?ContentType=application/vnd.openxmlformats-officedocument.spreadsheetml.worksheet+xml">
        <DigestMethod Algorithm="http://www.w3.org/2001/04/xmlenc#sha256"/>
        <DigestValue>7C6+xYq9lhsfT6TkZxoWTrcz9sLKtlNLjObvZ8q1XEw=</DigestValue>
      </Reference>
      <Reference URI="/xl/worksheets/sheet29.xml?ContentType=application/vnd.openxmlformats-officedocument.spreadsheetml.worksheet+xml">
        <DigestMethod Algorithm="http://www.w3.org/2001/04/xmlenc#sha256"/>
        <DigestValue>7DALWRs866emSbVNUV5FTdoWiCB9UAnyTAIhgccGiBs=</DigestValue>
      </Reference>
      <Reference URI="/xl/worksheets/sheet3.xml?ContentType=application/vnd.openxmlformats-officedocument.spreadsheetml.worksheet+xml">
        <DigestMethod Algorithm="http://www.w3.org/2001/04/xmlenc#sha256"/>
        <DigestValue>JDl/QTbVFtw1wMnx4WfnteyHhJ97UnrRueojXlaDgdI=</DigestValue>
      </Reference>
      <Reference URI="/xl/worksheets/sheet4.xml?ContentType=application/vnd.openxmlformats-officedocument.spreadsheetml.worksheet+xml">
        <DigestMethod Algorithm="http://www.w3.org/2001/04/xmlenc#sha256"/>
        <DigestValue>pyvvf+hzM/ZNYRpBUS7txOSa9xg7cI95H1hHlc4Yt2M=</DigestValue>
      </Reference>
      <Reference URI="/xl/worksheets/sheet5.xml?ContentType=application/vnd.openxmlformats-officedocument.spreadsheetml.worksheet+xml">
        <DigestMethod Algorithm="http://www.w3.org/2001/04/xmlenc#sha256"/>
        <DigestValue>A6czWFGQN0A3R1PBDhL5+XaQb4rXjSZpQCgtvTww4xo=</DigestValue>
      </Reference>
      <Reference URI="/xl/worksheets/sheet6.xml?ContentType=application/vnd.openxmlformats-officedocument.spreadsheetml.worksheet+xml">
        <DigestMethod Algorithm="http://www.w3.org/2001/04/xmlenc#sha256"/>
        <DigestValue>94jRh3WhtSliIdQz1G6oGGANJptsG6N+EBF2nm1H9LU=</DigestValue>
      </Reference>
      <Reference URI="/xl/worksheets/sheet7.xml?ContentType=application/vnd.openxmlformats-officedocument.spreadsheetml.worksheet+xml">
        <DigestMethod Algorithm="http://www.w3.org/2001/04/xmlenc#sha256"/>
        <DigestValue>MMuECjN5635/iS2nCbviv6FKyVdI/h2AxpScSaqWhFw=</DigestValue>
      </Reference>
      <Reference URI="/xl/worksheets/sheet8.xml?ContentType=application/vnd.openxmlformats-officedocument.spreadsheetml.worksheet+xml">
        <DigestMethod Algorithm="http://www.w3.org/2001/04/xmlenc#sha256"/>
        <DigestValue>MUaR449K5fKLxUysEvshtWb9lZN/Y9T08es0+rbfk8I=</DigestValue>
      </Reference>
      <Reference URI="/xl/worksheets/sheet9.xml?ContentType=application/vnd.openxmlformats-officedocument.spreadsheetml.worksheet+xml">
        <DigestMethod Algorithm="http://www.w3.org/2001/04/xmlenc#sha256"/>
        <DigestValue>OXXHwb+JtwtwF1oiXaR9zNSweQPRF1s4jTOqJFAobvM=</DigestValue>
      </Reference>
    </Manifest>
    <SignatureProperties>
      <SignatureProperty Id="idSignatureTime" Target="#idPackageSignature">
        <mdssi:SignatureTime xmlns:mdssi="http://schemas.openxmlformats.org/package/2006/digital-signature">
          <mdssi:Format>YYYY-MM-DDThh:mm:ssTZD</mdssi:Format>
          <mdssi:Value>2021-11-04T12:38:56Z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2021-11-04T12:38:56Z</xd:SigningTime>
          <xd:SigningCertificate>
            <xd:Cert>
              <xd:CertDigest>
                <DigestMethod Algorithm="http://www.w3.org/2001/04/xmlenc#sha256"/>
                <DigestValue>A7e5m2h1KbNiZGOGwzomIFCkYqfEghvfmU1iqaQ7Lw8=</DigestValue>
              </xd:CertDigest>
              <xd:IssuerSerial>
                <X509IssuerName>CN=NBG Class 2 INT Sub CA, DC=nbg, DC=ge</X509IssuerName>
                <X509SerialNumber>263992323275735821282038</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2021-11-04T12:14:14Z</dcterms:modified>
</cp:coreProperties>
</file>