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2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3.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465" tabRatio="777" activeTab="1"/>
  </bookViews>
  <sheets>
    <sheet name="Info " sheetId="82" r:id="rId1"/>
    <sheet name="1. key ratios " sheetId="84" r:id="rId2"/>
    <sheet name="2.RC" sheetId="83" r:id="rId3"/>
    <sheet name="3.PL" sheetId="85" r:id="rId4"/>
    <sheet name="4. Off-Balance" sheetId="75"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98" r:id="rId20"/>
    <sheet name="18. Assets by Exposure classes" sheetId="99" r:id="rId21"/>
    <sheet name="19. Assets by Risk Sectors" sheetId="100" r:id="rId22"/>
    <sheet name="20. Reserves" sheetId="101" r:id="rId23"/>
    <sheet name="21. NPL" sheetId="102" r:id="rId24"/>
    <sheet name="22. Quality" sheetId="103" r:id="rId25"/>
    <sheet name="23. LTV" sheetId="104" r:id="rId26"/>
    <sheet name="24. Risk Sector" sheetId="105" r:id="rId27"/>
    <sheet name="25. Collateral" sheetId="106" r:id="rId28"/>
    <sheet name="26. Retail Products" sheetId="107" r:id="rId29"/>
  </sheets>
  <externalReferences>
    <externalReference r:id="rId30"/>
    <externalReference r:id="rId31"/>
    <externalReference r:id="rId32"/>
  </externalReferences>
  <definedNames>
    <definedName name="_cur1">'[1]Appl (2)'!$F$2:$F$7200</definedName>
    <definedName name="_cur2">'[1]Appl (2)'!$H$2:$H$7200</definedName>
    <definedName name="_xlnm._FilterDatabase" localSheetId="4" hidden="1">'4. Off-Balance'!$B$6:$H$53</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28">#REF!</definedName>
    <definedName name="ACC_BALACC" localSheetId="3">#REF!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28">#REF!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28">#REF!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28">#REF!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28">#REF!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28">#REF!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28">#REF!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28">#REF!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28">#REF!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28">#REF!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28">#REF!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28">#REF!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28">#REF!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28">#REF!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D13" i="64" l="1"/>
  <c r="C22" i="90" l="1"/>
  <c r="D13" i="107" l="1"/>
  <c r="E13" i="107"/>
  <c r="F13" i="107"/>
  <c r="G13" i="107"/>
  <c r="G19" i="107" s="1"/>
  <c r="H13" i="107"/>
  <c r="J13" i="107"/>
  <c r="J19" i="107" s="1"/>
  <c r="K13" i="107"/>
  <c r="K19" i="107" s="1"/>
  <c r="L13" i="107"/>
  <c r="M13" i="107"/>
  <c r="N13" i="107"/>
  <c r="O13" i="107"/>
  <c r="O19" i="107" s="1"/>
  <c r="D19" i="107"/>
  <c r="E19" i="107"/>
  <c r="F19" i="107"/>
  <c r="H19" i="107"/>
  <c r="L19" i="107"/>
  <c r="M19" i="107"/>
  <c r="N19" i="107"/>
  <c r="I18" i="107"/>
  <c r="I17" i="107"/>
  <c r="I16" i="107"/>
  <c r="I15" i="107"/>
  <c r="I14" i="107"/>
  <c r="I13" i="107" s="1"/>
  <c r="I12" i="107"/>
  <c r="I11" i="107"/>
  <c r="I10" i="107"/>
  <c r="I9" i="107"/>
  <c r="I8" i="107"/>
  <c r="I7" i="107"/>
  <c r="C8" i="107"/>
  <c r="C9" i="107"/>
  <c r="C10" i="107"/>
  <c r="C11" i="107"/>
  <c r="C12" i="107"/>
  <c r="C14" i="107"/>
  <c r="C13" i="107" s="1"/>
  <c r="C19" i="107" s="1"/>
  <c r="C15" i="107"/>
  <c r="C16" i="107"/>
  <c r="C17" i="107"/>
  <c r="C18" i="107"/>
  <c r="C7" i="107"/>
  <c r="I19" i="107" l="1"/>
  <c r="B2" i="107"/>
  <c r="B1" i="107"/>
  <c r="O33" i="105" l="1"/>
  <c r="B2" i="106" l="1"/>
  <c r="B1" i="106"/>
  <c r="D33" i="105"/>
  <c r="E33" i="105"/>
  <c r="F33" i="105"/>
  <c r="G33" i="105"/>
  <c r="H33" i="105"/>
  <c r="I33" i="105"/>
  <c r="J33" i="105"/>
  <c r="K33" i="105"/>
  <c r="L33" i="105"/>
  <c r="M33" i="105"/>
  <c r="N33" i="105"/>
  <c r="C33" i="105"/>
  <c r="B2" i="105"/>
  <c r="B1" i="105"/>
  <c r="B2" i="104"/>
  <c r="B1" i="104"/>
  <c r="U22" i="103"/>
  <c r="L22" i="103"/>
  <c r="G22" i="103"/>
  <c r="E22" i="103"/>
  <c r="D22" i="103"/>
  <c r="C22" i="103"/>
  <c r="U15" i="103"/>
  <c r="T15" i="103"/>
  <c r="S15" i="103"/>
  <c r="R15" i="103"/>
  <c r="Q15" i="103"/>
  <c r="P15" i="103"/>
  <c r="O15" i="103"/>
  <c r="N15" i="103"/>
  <c r="M15" i="103"/>
  <c r="L15" i="103"/>
  <c r="K15" i="103"/>
  <c r="J15" i="103"/>
  <c r="I15" i="103"/>
  <c r="H15" i="103"/>
  <c r="G15" i="103"/>
  <c r="F15" i="103"/>
  <c r="E15" i="103"/>
  <c r="D15" i="103"/>
  <c r="C15" i="103"/>
  <c r="D8" i="103"/>
  <c r="E8" i="103"/>
  <c r="F8" i="103"/>
  <c r="G8" i="103"/>
  <c r="H8" i="103"/>
  <c r="I8" i="103"/>
  <c r="J8" i="103"/>
  <c r="K8" i="103"/>
  <c r="L8" i="103"/>
  <c r="M8" i="103"/>
  <c r="N8" i="103"/>
  <c r="O8" i="103"/>
  <c r="P8" i="103"/>
  <c r="Q8" i="103"/>
  <c r="R8" i="103"/>
  <c r="S8" i="103"/>
  <c r="T8" i="103"/>
  <c r="U8" i="103"/>
  <c r="C8" i="103"/>
  <c r="B2" i="97" l="1"/>
  <c r="B1" i="97"/>
  <c r="B2" i="103" l="1"/>
  <c r="B1" i="103"/>
  <c r="B2" i="102" l="1"/>
  <c r="B1" i="102"/>
  <c r="B2" i="101" l="1"/>
  <c r="B1" i="101"/>
  <c r="B2" i="100" l="1"/>
  <c r="B1" i="100"/>
  <c r="B2" i="99"/>
  <c r="B1" i="99"/>
  <c r="B2" i="98"/>
  <c r="B1" i="98"/>
  <c r="C29" i="95" l="1"/>
  <c r="B2" i="95"/>
  <c r="B1" i="95"/>
  <c r="B2" i="92"/>
  <c r="B1" i="92"/>
  <c r="J16" i="93"/>
  <c r="I16" i="93"/>
  <c r="J23" i="93" l="1"/>
  <c r="I23" i="93"/>
  <c r="J21" i="93"/>
  <c r="I21" i="93"/>
  <c r="K20" i="93"/>
  <c r="K19" i="93"/>
  <c r="K18" i="93"/>
  <c r="K11" i="93"/>
  <c r="K12" i="93"/>
  <c r="K13" i="93"/>
  <c r="K14" i="93"/>
  <c r="K15" i="93"/>
  <c r="K10" i="93"/>
  <c r="K8" i="93"/>
  <c r="G23" i="93"/>
  <c r="F23" i="93"/>
  <c r="G21" i="93"/>
  <c r="F21" i="93"/>
  <c r="H20" i="93"/>
  <c r="H19" i="93"/>
  <c r="H18" i="93"/>
  <c r="G16" i="93"/>
  <c r="F16" i="93"/>
  <c r="F24" i="93" s="1"/>
  <c r="H11" i="93"/>
  <c r="H12" i="93"/>
  <c r="H13" i="93"/>
  <c r="H14" i="93"/>
  <c r="H15" i="93"/>
  <c r="H10" i="93"/>
  <c r="H8" i="93"/>
  <c r="E20" i="93"/>
  <c r="E19" i="93"/>
  <c r="E18" i="93"/>
  <c r="D21" i="93"/>
  <c r="C21" i="93"/>
  <c r="E21" i="93" s="1"/>
  <c r="D16" i="93"/>
  <c r="E16" i="93" s="1"/>
  <c r="C16" i="93"/>
  <c r="E11" i="93"/>
  <c r="E12" i="93"/>
  <c r="E13" i="93"/>
  <c r="E14" i="93"/>
  <c r="E15" i="93"/>
  <c r="E10" i="93"/>
  <c r="B2" i="93"/>
  <c r="B1" i="93"/>
  <c r="E21" i="91"/>
  <c r="E20" i="91"/>
  <c r="E19" i="91"/>
  <c r="E18" i="91"/>
  <c r="E17" i="91"/>
  <c r="E16" i="91"/>
  <c r="E15" i="91"/>
  <c r="E14" i="91"/>
  <c r="E13" i="91"/>
  <c r="E12" i="91"/>
  <c r="E11" i="91"/>
  <c r="E10" i="91"/>
  <c r="E9" i="91"/>
  <c r="E8" i="91"/>
  <c r="D13" i="91"/>
  <c r="C9" i="91"/>
  <c r="C10" i="91"/>
  <c r="C11" i="91"/>
  <c r="C12" i="91"/>
  <c r="C13" i="91"/>
  <c r="C14" i="91"/>
  <c r="C15" i="91"/>
  <c r="C16" i="91"/>
  <c r="C17" i="91"/>
  <c r="C18" i="91"/>
  <c r="C19" i="91"/>
  <c r="C20" i="91"/>
  <c r="C21" i="91"/>
  <c r="C8" i="91"/>
  <c r="B2" i="91"/>
  <c r="B1" i="91"/>
  <c r="B2" i="64"/>
  <c r="B1" i="64"/>
  <c r="S8" i="90"/>
  <c r="F8" i="91" s="1"/>
  <c r="G8" i="91" s="1"/>
  <c r="S9" i="90"/>
  <c r="F9" i="91" s="1"/>
  <c r="G9" i="91" s="1"/>
  <c r="H9" i="91" s="1"/>
  <c r="S10" i="90"/>
  <c r="F10" i="91" s="1"/>
  <c r="G10" i="91" s="1"/>
  <c r="H10" i="91" s="1"/>
  <c r="S11" i="90"/>
  <c r="F11" i="91" s="1"/>
  <c r="G11" i="91" s="1"/>
  <c r="H11" i="91" s="1"/>
  <c r="S12" i="90"/>
  <c r="F12" i="91" s="1"/>
  <c r="G12" i="91" s="1"/>
  <c r="S13" i="90"/>
  <c r="F13" i="91" s="1"/>
  <c r="G13" i="91" s="1"/>
  <c r="S14" i="90"/>
  <c r="F14" i="91" s="1"/>
  <c r="S15" i="90"/>
  <c r="F15" i="91" s="1"/>
  <c r="S16" i="90"/>
  <c r="F16" i="91" s="1"/>
  <c r="G16" i="91" s="1"/>
  <c r="H16" i="91" s="1"/>
  <c r="S17" i="90"/>
  <c r="F17" i="91" s="1"/>
  <c r="S18" i="90"/>
  <c r="F18" i="91" s="1"/>
  <c r="G18" i="91" s="1"/>
  <c r="S19" i="90"/>
  <c r="F19" i="91" s="1"/>
  <c r="G19" i="91" s="1"/>
  <c r="H19" i="91" s="1"/>
  <c r="S20" i="90"/>
  <c r="F20" i="91" s="1"/>
  <c r="G20" i="91" s="1"/>
  <c r="S21" i="90"/>
  <c r="F21" i="91" s="1"/>
  <c r="H20" i="91" l="1"/>
  <c r="H12" i="91"/>
  <c r="H23" i="93"/>
  <c r="H18" i="91"/>
  <c r="H13" i="91"/>
  <c r="H8" i="91"/>
  <c r="H16" i="93"/>
  <c r="F25" i="93"/>
  <c r="G24" i="93"/>
  <c r="H24" i="93" s="1"/>
  <c r="K23" i="93"/>
  <c r="K21" i="93"/>
  <c r="H21" i="93"/>
  <c r="S22" i="90"/>
  <c r="H25" i="93" l="1"/>
  <c r="G25" i="93"/>
  <c r="I24" i="93"/>
  <c r="I25" i="93" l="1"/>
  <c r="J24" i="93"/>
  <c r="J25" i="93" s="1"/>
  <c r="K16" i="93"/>
  <c r="K24" i="93" l="1"/>
  <c r="K25" i="93" s="1"/>
  <c r="B2" i="90" l="1"/>
  <c r="B1" i="90"/>
  <c r="C33" i="69"/>
  <c r="B2" i="69"/>
  <c r="B1" i="69"/>
  <c r="B2" i="94"/>
  <c r="B1" i="94"/>
  <c r="C46" i="89"/>
  <c r="C15" i="89"/>
  <c r="B2" i="89"/>
  <c r="B1" i="89"/>
  <c r="B2" i="73"/>
  <c r="B1" i="73"/>
  <c r="B2" i="88"/>
  <c r="B1" i="88"/>
  <c r="C21" i="69" l="1"/>
  <c r="B2" i="52"/>
  <c r="B1" i="52"/>
  <c r="B2" i="86" l="1"/>
  <c r="B1" i="86"/>
  <c r="G32" i="75"/>
  <c r="G45" i="75"/>
  <c r="F45" i="75"/>
  <c r="D45" i="75"/>
  <c r="C45" i="75"/>
  <c r="G40" i="75"/>
  <c r="F40" i="75"/>
  <c r="D40" i="75"/>
  <c r="C40" i="75"/>
  <c r="F32" i="75"/>
  <c r="D32" i="75"/>
  <c r="C32" i="75"/>
  <c r="G22" i="75"/>
  <c r="G19" i="75" s="1"/>
  <c r="F22" i="75"/>
  <c r="D22" i="75"/>
  <c r="D19" i="75" s="1"/>
  <c r="C22" i="75"/>
  <c r="F19" i="75"/>
  <c r="C19" i="75"/>
  <c r="G16" i="75"/>
  <c r="F16" i="75"/>
  <c r="D16" i="75"/>
  <c r="C16" i="75"/>
  <c r="G13" i="75"/>
  <c r="F13" i="75"/>
  <c r="D13" i="75"/>
  <c r="C13" i="75"/>
  <c r="G7" i="75"/>
  <c r="F7" i="75"/>
  <c r="D7" i="75"/>
  <c r="C7" i="75"/>
  <c r="B2" i="75"/>
  <c r="G34" i="85"/>
  <c r="F34" i="85"/>
  <c r="D34" i="85"/>
  <c r="C34" i="85"/>
  <c r="B2" i="85"/>
  <c r="G14" i="83" l="1"/>
  <c r="F14" i="83"/>
  <c r="D14" i="83"/>
  <c r="C14" i="83"/>
  <c r="C48" i="84" l="1"/>
  <c r="C44" i="84" l="1"/>
  <c r="B1" i="84" l="1"/>
  <c r="C10" i="102" l="1"/>
  <c r="C19" i="102" s="1"/>
  <c r="D22" i="98" l="1"/>
  <c r="E22" i="98"/>
  <c r="F22" i="98"/>
  <c r="G22" i="98"/>
  <c r="C22" i="98"/>
  <c r="D12" i="101" l="1"/>
  <c r="C12" i="101"/>
  <c r="D7" i="101"/>
  <c r="C7" i="101"/>
  <c r="H34" i="100"/>
  <c r="F34" i="100"/>
  <c r="E34" i="100"/>
  <c r="D34" i="100"/>
  <c r="C34" i="100"/>
  <c r="I33" i="100"/>
  <c r="I32" i="100"/>
  <c r="I31" i="100"/>
  <c r="I30" i="100"/>
  <c r="I29" i="100"/>
  <c r="I28" i="100"/>
  <c r="I27" i="100"/>
  <c r="I26" i="100"/>
  <c r="I25" i="100"/>
  <c r="I24" i="100"/>
  <c r="I23" i="100"/>
  <c r="I22" i="100"/>
  <c r="I21" i="100"/>
  <c r="I20" i="100"/>
  <c r="I19" i="100"/>
  <c r="I18" i="100"/>
  <c r="I17" i="100"/>
  <c r="I16" i="100"/>
  <c r="I15" i="100"/>
  <c r="I14" i="100"/>
  <c r="I13" i="100"/>
  <c r="I12" i="100"/>
  <c r="I11" i="100"/>
  <c r="I10" i="100"/>
  <c r="I9" i="100"/>
  <c r="I8" i="100"/>
  <c r="I7" i="100"/>
  <c r="I23" i="99"/>
  <c r="I22" i="99"/>
  <c r="H21" i="99"/>
  <c r="F21" i="99"/>
  <c r="E21" i="99"/>
  <c r="D21" i="99"/>
  <c r="C21" i="99"/>
  <c r="I20" i="99"/>
  <c r="I19" i="99"/>
  <c r="I18" i="99"/>
  <c r="I17" i="99"/>
  <c r="I16" i="99"/>
  <c r="I15" i="99"/>
  <c r="I14" i="99"/>
  <c r="I13" i="99"/>
  <c r="I12" i="99"/>
  <c r="I11" i="99"/>
  <c r="I10" i="99"/>
  <c r="I9" i="99"/>
  <c r="I8" i="99"/>
  <c r="I7" i="99"/>
  <c r="H21" i="98"/>
  <c r="H20" i="98"/>
  <c r="H19" i="98"/>
  <c r="H18" i="98"/>
  <c r="H17" i="98"/>
  <c r="H16" i="98"/>
  <c r="H15" i="98"/>
  <c r="H14" i="98"/>
  <c r="H13" i="98"/>
  <c r="H12" i="98"/>
  <c r="H11" i="98"/>
  <c r="H10" i="98"/>
  <c r="H9" i="98"/>
  <c r="H8" i="98"/>
  <c r="I34" i="100" l="1"/>
  <c r="I21" i="99"/>
  <c r="H22" i="98"/>
  <c r="D19" i="101"/>
  <c r="C19" i="101"/>
  <c r="G33" i="97"/>
  <c r="F33" i="97"/>
  <c r="E33" i="97"/>
  <c r="D33" i="97"/>
  <c r="C33" i="97"/>
  <c r="G24" i="97"/>
  <c r="G37" i="97" s="1"/>
  <c r="F24" i="97"/>
  <c r="E24" i="97"/>
  <c r="D24" i="97"/>
  <c r="C24" i="97"/>
  <c r="G18" i="97"/>
  <c r="F18" i="97"/>
  <c r="E18" i="97"/>
  <c r="D18" i="97"/>
  <c r="C18" i="97"/>
  <c r="G14" i="97"/>
  <c r="F14" i="97"/>
  <c r="E14" i="97"/>
  <c r="D14" i="97"/>
  <c r="C14" i="97"/>
  <c r="G11" i="97"/>
  <c r="F11" i="97"/>
  <c r="E11" i="97"/>
  <c r="D11" i="97"/>
  <c r="C11" i="97"/>
  <c r="G8" i="97"/>
  <c r="F8" i="97"/>
  <c r="E8" i="97"/>
  <c r="D8" i="97"/>
  <c r="C8" i="97"/>
  <c r="G21" i="97" l="1"/>
  <c r="G39" i="97" s="1"/>
  <c r="B1" i="75"/>
  <c r="B2" i="83"/>
  <c r="G5" i="86"/>
  <c r="F5" i="86"/>
  <c r="E5" i="86"/>
  <c r="D5" i="86"/>
  <c r="C5" i="86"/>
  <c r="G5" i="84"/>
  <c r="F5" i="84"/>
  <c r="E5" i="84"/>
  <c r="D5" i="84"/>
  <c r="C5" i="84"/>
  <c r="E6" i="86" l="1"/>
  <c r="E13" i="86" s="1"/>
  <c r="F6" i="86"/>
  <c r="F13" i="86" s="1"/>
  <c r="G6" i="86"/>
  <c r="G13" i="86" s="1"/>
  <c r="C21" i="94" l="1"/>
  <c r="C20" i="94"/>
  <c r="C19" i="94"/>
  <c r="B1" i="85" l="1"/>
  <c r="B1" i="83"/>
  <c r="C26" i="95" l="1"/>
  <c r="C18" i="95"/>
  <c r="C8" i="95"/>
  <c r="D6" i="86" l="1"/>
  <c r="D13" i="86" s="1"/>
  <c r="C6" i="86" l="1"/>
  <c r="C13" i="86" s="1"/>
  <c r="D8" i="94" l="1"/>
  <c r="D13" i="94"/>
  <c r="D20" i="94"/>
  <c r="D11" i="94"/>
  <c r="D19" i="94"/>
  <c r="D17" i="94"/>
  <c r="D9" i="94"/>
  <c r="D15" i="94"/>
  <c r="D21" i="94"/>
  <c r="D16" i="94"/>
  <c r="D7" i="94"/>
  <c r="D12" i="94"/>
  <c r="N20" i="92"/>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E9" i="92"/>
  <c r="N8" i="92"/>
  <c r="N7" i="92" s="1"/>
  <c r="E8" i="92"/>
  <c r="M7" i="92"/>
  <c r="M21" i="92" s="1"/>
  <c r="L7" i="92"/>
  <c r="L21" i="92" s="1"/>
  <c r="K7" i="92"/>
  <c r="K21" i="92" s="1"/>
  <c r="J7" i="92"/>
  <c r="J21" i="92" s="1"/>
  <c r="I7" i="92"/>
  <c r="I21" i="92" s="1"/>
  <c r="H7" i="92"/>
  <c r="H21" i="92" s="1"/>
  <c r="G7" i="92"/>
  <c r="G21" i="92" s="1"/>
  <c r="F7" i="92"/>
  <c r="F21" i="92" s="1"/>
  <c r="E7" i="92"/>
  <c r="C7" i="92"/>
  <c r="T21" i="64" l="1"/>
  <c r="U21" i="64"/>
  <c r="S21" i="64"/>
  <c r="C21" i="64"/>
  <c r="F22" i="91"/>
  <c r="E22" i="91"/>
  <c r="C22" i="91"/>
  <c r="K22" i="90" l="1"/>
  <c r="L22" i="90"/>
  <c r="M22" i="90"/>
  <c r="N22" i="90"/>
  <c r="O22" i="90"/>
  <c r="P22" i="90"/>
  <c r="Q22" i="90"/>
  <c r="R22" i="90"/>
  <c r="D21" i="88" l="1"/>
  <c r="C12" i="89" l="1"/>
  <c r="D20" i="83" l="1"/>
  <c r="D22" i="90" l="1"/>
  <c r="E22" i="90"/>
  <c r="F22" i="90"/>
  <c r="G22" i="90"/>
  <c r="H22" i="90"/>
  <c r="I22" i="90"/>
  <c r="J22" i="90"/>
  <c r="C31" i="89"/>
  <c r="C30" i="89" s="1"/>
  <c r="C35" i="89"/>
  <c r="C43" i="89"/>
  <c r="C47" i="89"/>
  <c r="E8" i="85"/>
  <c r="H8" i="85"/>
  <c r="C9" i="85"/>
  <c r="C22" i="85" s="1"/>
  <c r="D9" i="85"/>
  <c r="D22" i="85" s="1"/>
  <c r="F9" i="85"/>
  <c r="F22" i="85" s="1"/>
  <c r="G9" i="85"/>
  <c r="G22" i="85" s="1"/>
  <c r="E10" i="85"/>
  <c r="H10" i="85"/>
  <c r="E11" i="85"/>
  <c r="H11" i="85"/>
  <c r="E12" i="85"/>
  <c r="H12" i="85"/>
  <c r="E13" i="85"/>
  <c r="H13" i="85"/>
  <c r="E14" i="85"/>
  <c r="H14" i="85"/>
  <c r="E15" i="85"/>
  <c r="H15" i="85"/>
  <c r="E16" i="85"/>
  <c r="H16" i="85"/>
  <c r="E17" i="85"/>
  <c r="H17" i="85"/>
  <c r="E18" i="85"/>
  <c r="H18" i="85"/>
  <c r="E19" i="85"/>
  <c r="H19" i="85"/>
  <c r="E20" i="85"/>
  <c r="H20" i="85"/>
  <c r="E21" i="85"/>
  <c r="H21" i="85"/>
  <c r="E24" i="85"/>
  <c r="H24" i="85"/>
  <c r="E25" i="85"/>
  <c r="H25" i="85"/>
  <c r="E26" i="85"/>
  <c r="H26" i="85"/>
  <c r="E27" i="85"/>
  <c r="H27" i="85"/>
  <c r="E28" i="85"/>
  <c r="H28" i="85"/>
  <c r="E29" i="85"/>
  <c r="H29" i="85"/>
  <c r="C30" i="85"/>
  <c r="D30" i="85"/>
  <c r="F30" i="85"/>
  <c r="G30" i="85"/>
  <c r="E34" i="85"/>
  <c r="D45" i="85"/>
  <c r="G45" i="85"/>
  <c r="E35" i="85"/>
  <c r="H35" i="85"/>
  <c r="E36" i="85"/>
  <c r="H36" i="85"/>
  <c r="E37" i="85"/>
  <c r="H37" i="85"/>
  <c r="E38" i="85"/>
  <c r="H38" i="85"/>
  <c r="E39" i="85"/>
  <c r="H39" i="85"/>
  <c r="E40" i="85"/>
  <c r="H40" i="85"/>
  <c r="E41" i="85"/>
  <c r="H41" i="85"/>
  <c r="E42" i="85"/>
  <c r="H42" i="85"/>
  <c r="E43" i="85"/>
  <c r="H43" i="85"/>
  <c r="E44" i="85"/>
  <c r="H44" i="85"/>
  <c r="E47" i="85"/>
  <c r="H47" i="85"/>
  <c r="E48" i="85"/>
  <c r="H48" i="85"/>
  <c r="E49" i="85"/>
  <c r="H49" i="85"/>
  <c r="E50" i="85"/>
  <c r="H50" i="85"/>
  <c r="E51" i="85"/>
  <c r="H51" i="85"/>
  <c r="E52" i="85"/>
  <c r="H52" i="85"/>
  <c r="C53" i="85"/>
  <c r="D53" i="85"/>
  <c r="F53" i="85"/>
  <c r="G53" i="85"/>
  <c r="E58" i="85"/>
  <c r="H58" i="85"/>
  <c r="E59" i="85"/>
  <c r="H59" i="85"/>
  <c r="E60" i="85"/>
  <c r="H60" i="85"/>
  <c r="C61" i="85"/>
  <c r="D61" i="85"/>
  <c r="F61" i="85"/>
  <c r="G61" i="85"/>
  <c r="E64" i="85"/>
  <c r="H64" i="85"/>
  <c r="E66" i="85"/>
  <c r="H66" i="85"/>
  <c r="E53" i="85" l="1"/>
  <c r="E30" i="85"/>
  <c r="C41" i="89"/>
  <c r="H34" i="85"/>
  <c r="H9" i="85"/>
  <c r="F31" i="85"/>
  <c r="G54" i="85"/>
  <c r="E61" i="85"/>
  <c r="H53" i="85"/>
  <c r="F45" i="85"/>
  <c r="F54" i="85" s="1"/>
  <c r="H61" i="85"/>
  <c r="G31" i="85"/>
  <c r="E22" i="85"/>
  <c r="C31" i="85"/>
  <c r="H30" i="85"/>
  <c r="D31" i="85"/>
  <c r="C52" i="89"/>
  <c r="C45" i="85"/>
  <c r="D54" i="85"/>
  <c r="H22" i="85"/>
  <c r="E9" i="85"/>
  <c r="H40" i="83"/>
  <c r="E40" i="83"/>
  <c r="H39" i="83"/>
  <c r="E39" i="83"/>
  <c r="H38" i="83"/>
  <c r="E38" i="83"/>
  <c r="C11" i="89" s="1"/>
  <c r="C40" i="69" s="1"/>
  <c r="H37" i="83"/>
  <c r="E37" i="83"/>
  <c r="H36" i="83"/>
  <c r="E36" i="83"/>
  <c r="H35" i="83"/>
  <c r="E35" i="83"/>
  <c r="H34" i="83"/>
  <c r="E34" i="83"/>
  <c r="H33" i="83"/>
  <c r="E33" i="83"/>
  <c r="C7" i="89" s="1"/>
  <c r="G31" i="83"/>
  <c r="F31" i="83"/>
  <c r="F41" i="83" s="1"/>
  <c r="D31" i="83"/>
  <c r="D41" i="83" s="1"/>
  <c r="C31" i="83"/>
  <c r="C41" i="83" s="1"/>
  <c r="H30" i="83"/>
  <c r="E30" i="83"/>
  <c r="C32" i="69" s="1"/>
  <c r="H29" i="83"/>
  <c r="E29" i="83"/>
  <c r="C31" i="69" s="1"/>
  <c r="H28" i="83"/>
  <c r="E28" i="83"/>
  <c r="C30" i="69" s="1"/>
  <c r="H27" i="83"/>
  <c r="E27" i="83"/>
  <c r="C29" i="69" s="1"/>
  <c r="H26" i="83"/>
  <c r="E26" i="83"/>
  <c r="C28" i="69" s="1"/>
  <c r="H25" i="83"/>
  <c r="E25" i="83"/>
  <c r="C27" i="69" s="1"/>
  <c r="H24" i="83"/>
  <c r="E24" i="83"/>
  <c r="C26" i="69" s="1"/>
  <c r="H23" i="83"/>
  <c r="E23" i="83"/>
  <c r="C25" i="69" s="1"/>
  <c r="H22" i="83"/>
  <c r="E22" i="83"/>
  <c r="C24" i="69" s="1"/>
  <c r="H19" i="83"/>
  <c r="E19" i="83"/>
  <c r="H18" i="83"/>
  <c r="E18" i="83"/>
  <c r="H17" i="83"/>
  <c r="E17" i="83"/>
  <c r="H16" i="83"/>
  <c r="E16" i="83"/>
  <c r="H15" i="83"/>
  <c r="E15" i="83"/>
  <c r="G20" i="83"/>
  <c r="F20" i="83"/>
  <c r="C20" i="83"/>
  <c r="E20" i="83" s="1"/>
  <c r="H13" i="83"/>
  <c r="E13" i="83"/>
  <c r="H12" i="83"/>
  <c r="E12" i="83"/>
  <c r="H11" i="83"/>
  <c r="E11" i="83"/>
  <c r="H10" i="83"/>
  <c r="E10" i="83"/>
  <c r="H9" i="83"/>
  <c r="E9" i="83"/>
  <c r="H8" i="83"/>
  <c r="E8" i="83"/>
  <c r="H7" i="83"/>
  <c r="E7" i="83"/>
  <c r="H45" i="85" l="1"/>
  <c r="C35" i="69"/>
  <c r="C6" i="89"/>
  <c r="C28" i="89" s="1"/>
  <c r="C35" i="95" s="1"/>
  <c r="C22" i="69"/>
  <c r="C20" i="88"/>
  <c r="E20" i="88" s="1"/>
  <c r="C16" i="88"/>
  <c r="E16" i="88" s="1"/>
  <c r="C14" i="69"/>
  <c r="C18" i="88"/>
  <c r="E18" i="88" s="1"/>
  <c r="C16" i="69"/>
  <c r="C20" i="69"/>
  <c r="C19" i="88"/>
  <c r="E19" i="88" s="1"/>
  <c r="C17" i="88"/>
  <c r="E17" i="88" s="1"/>
  <c r="C15" i="69"/>
  <c r="C11" i="88"/>
  <c r="E11" i="88" s="1"/>
  <c r="C9" i="69"/>
  <c r="C13" i="88"/>
  <c r="E13" i="88" s="1"/>
  <c r="C11" i="69"/>
  <c r="C8" i="88"/>
  <c r="C6" i="69"/>
  <c r="C12" i="88"/>
  <c r="E12" i="88" s="1"/>
  <c r="C10" i="69"/>
  <c r="C7" i="69"/>
  <c r="C9" i="88"/>
  <c r="E9" i="88" s="1"/>
  <c r="C8" i="69"/>
  <c r="C10" i="88"/>
  <c r="E10" i="88" s="1"/>
  <c r="C12" i="69"/>
  <c r="C14" i="88"/>
  <c r="E14" i="88" s="1"/>
  <c r="H54" i="85"/>
  <c r="H31" i="85"/>
  <c r="D56" i="85"/>
  <c r="D63" i="85" s="1"/>
  <c r="D65" i="85" s="1"/>
  <c r="D67" i="85" s="1"/>
  <c r="G56" i="85"/>
  <c r="G63" i="85" s="1"/>
  <c r="G65" i="85" s="1"/>
  <c r="G67" i="85" s="1"/>
  <c r="H14" i="83"/>
  <c r="H31" i="83"/>
  <c r="H20" i="83"/>
  <c r="G41" i="83"/>
  <c r="H41" i="83" s="1"/>
  <c r="E45" i="85"/>
  <c r="C54" i="85"/>
  <c r="E14" i="83"/>
  <c r="C15" i="88" s="1"/>
  <c r="E15" i="88" s="1"/>
  <c r="F56" i="85"/>
  <c r="E31" i="85"/>
  <c r="E41" i="83"/>
  <c r="E31" i="83"/>
  <c r="H56" i="85" l="1"/>
  <c r="E8" i="88"/>
  <c r="E21" i="88" s="1"/>
  <c r="C5" i="73" s="1"/>
  <c r="C21" i="88"/>
  <c r="F63" i="85"/>
  <c r="H63" i="85" s="1"/>
  <c r="E54" i="85"/>
  <c r="C56" i="85"/>
  <c r="C13" i="69"/>
  <c r="C23" i="69" s="1"/>
  <c r="F65" i="85" l="1"/>
  <c r="H65" i="85" s="1"/>
  <c r="E56" i="85"/>
  <c r="C63" i="85"/>
  <c r="F67" i="85" l="1"/>
  <c r="H67" i="85" s="1"/>
  <c r="C65" i="85"/>
  <c r="E63" i="85"/>
  <c r="C67" i="85" l="1"/>
  <c r="E67" i="85" s="1"/>
  <c r="E65" i="85"/>
  <c r="H53" i="75" l="1"/>
  <c r="E53" i="75"/>
  <c r="H52" i="75"/>
  <c r="E52" i="75"/>
  <c r="H51" i="75"/>
  <c r="E51" i="75"/>
  <c r="H50" i="75"/>
  <c r="E50" i="75"/>
  <c r="H49" i="75"/>
  <c r="E49" i="75"/>
  <c r="H48" i="75"/>
  <c r="E48" i="75"/>
  <c r="H47" i="75"/>
  <c r="E47" i="75"/>
  <c r="H46" i="75"/>
  <c r="E46" i="75"/>
  <c r="H45" i="75"/>
  <c r="E45" i="75"/>
  <c r="H44" i="75"/>
  <c r="E44" i="75"/>
  <c r="H43" i="75"/>
  <c r="E43" i="75"/>
  <c r="H42" i="75"/>
  <c r="E42" i="75"/>
  <c r="H41" i="75"/>
  <c r="E41" i="75"/>
  <c r="H40" i="75"/>
  <c r="E40" i="75"/>
  <c r="H39" i="75"/>
  <c r="E39" i="75"/>
  <c r="H38" i="75"/>
  <c r="E38" i="75"/>
  <c r="H37" i="75"/>
  <c r="E37" i="75"/>
  <c r="H36" i="75"/>
  <c r="E36" i="75"/>
  <c r="H35" i="75"/>
  <c r="E35" i="75"/>
  <c r="H34" i="75"/>
  <c r="E34" i="75"/>
  <c r="H33" i="75"/>
  <c r="E33" i="75"/>
  <c r="H32" i="75"/>
  <c r="E32" i="75"/>
  <c r="H31" i="75"/>
  <c r="E31" i="75"/>
  <c r="H30" i="75"/>
  <c r="E30" i="75"/>
  <c r="H29" i="75"/>
  <c r="E29" i="75"/>
  <c r="H28" i="75"/>
  <c r="E28" i="75"/>
  <c r="H27" i="75"/>
  <c r="E27" i="75"/>
  <c r="H26" i="75"/>
  <c r="E26" i="75"/>
  <c r="H25" i="75"/>
  <c r="E25" i="75"/>
  <c r="H24" i="75"/>
  <c r="E24" i="75"/>
  <c r="H23" i="75"/>
  <c r="E23" i="75"/>
  <c r="H22" i="75"/>
  <c r="E22" i="75"/>
  <c r="H21" i="75"/>
  <c r="E21" i="75"/>
  <c r="H20" i="75"/>
  <c r="E20" i="75"/>
  <c r="H19" i="75"/>
  <c r="E19" i="75"/>
  <c r="H18" i="75"/>
  <c r="E18" i="75"/>
  <c r="H17" i="75"/>
  <c r="E17" i="75"/>
  <c r="H16" i="75"/>
  <c r="E16" i="75"/>
  <c r="H15" i="75"/>
  <c r="E15" i="75"/>
  <c r="H14" i="75"/>
  <c r="E14" i="75"/>
  <c r="H13" i="75"/>
  <c r="E13" i="75"/>
  <c r="H12" i="75"/>
  <c r="E12" i="75"/>
  <c r="H11" i="75"/>
  <c r="E11" i="75"/>
  <c r="H10" i="75"/>
  <c r="E10" i="75"/>
  <c r="H9" i="75"/>
  <c r="E9" i="75"/>
  <c r="H8" i="75"/>
  <c r="E8" i="75"/>
  <c r="H7" i="75"/>
  <c r="E7" i="75"/>
  <c r="D14" i="91" s="1"/>
  <c r="D22" i="91" s="1"/>
  <c r="C6" i="73" l="1"/>
  <c r="C28" i="95"/>
  <c r="C30" i="95" s="1"/>
  <c r="C36" i="95" s="1"/>
  <c r="C38" i="95" s="1"/>
  <c r="C8" i="73"/>
  <c r="C13" i="73" s="1"/>
  <c r="D21" i="64"/>
  <c r="E21" i="64"/>
  <c r="F21" i="64"/>
  <c r="G21" i="64"/>
  <c r="H21" i="64"/>
  <c r="I21" i="64"/>
  <c r="J21" i="64"/>
  <c r="K21" i="64"/>
  <c r="L21" i="64"/>
  <c r="M21" i="64"/>
  <c r="N21" i="64"/>
  <c r="O21" i="64"/>
  <c r="P21" i="64"/>
  <c r="Q21" i="64"/>
  <c r="R21" i="64"/>
  <c r="V8" i="64" l="1"/>
  <c r="V9" i="64"/>
  <c r="V10" i="64"/>
  <c r="V11" i="64"/>
  <c r="V12" i="64"/>
  <c r="V13" i="64"/>
  <c r="G14" i="91" s="1"/>
  <c r="V14" i="64"/>
  <c r="G15" i="91" s="1"/>
  <c r="H15" i="91" s="1"/>
  <c r="V15" i="64"/>
  <c r="V16" i="64"/>
  <c r="G17" i="91" s="1"/>
  <c r="H17" i="91" s="1"/>
  <c r="V17" i="64"/>
  <c r="V18" i="64"/>
  <c r="V19" i="64"/>
  <c r="V20" i="64"/>
  <c r="G21" i="91" s="1"/>
  <c r="H21" i="91" s="1"/>
  <c r="V7" i="64"/>
  <c r="H14" i="91" l="1"/>
  <c r="G22" i="91"/>
  <c r="H22" i="91" s="1"/>
  <c r="V21" i="64"/>
  <c r="C42" i="69" l="1"/>
  <c r="C34" i="69"/>
</calcChain>
</file>

<file path=xl/sharedStrings.xml><?xml version="1.0" encoding="utf-8"?>
<sst xmlns="http://schemas.openxmlformats.org/spreadsheetml/2006/main" count="1148" uniqueCount="758">
  <si>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</si>
  <si>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</si>
  <si>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</si>
  <si>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</si>
  <si>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</si>
  <si>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</si>
  <si>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</si>
  <si>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</si>
  <si>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</si>
  <si>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</si>
  <si>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</si>
  <si>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</si>
  <si>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</si>
  <si>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</si>
  <si>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</si>
  <si>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</si>
  <si>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</si>
  <si>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</si>
  <si>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</si>
  <si>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</si>
  <si>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</si>
  <si>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</si>
  <si>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</si>
  <si>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</si>
  <si>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</si>
  <si>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</si>
  <si>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</si>
  <si>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</si>
  <si>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</si>
  <si>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</si>
  <si>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</si>
  <si>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</si>
  <si>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Table 2</t>
  </si>
  <si>
    <t xml:space="preserve"> Balance Sheet</t>
  </si>
  <si>
    <t>Assets</t>
  </si>
  <si>
    <t>Cash</t>
  </si>
  <si>
    <t>Due from NBG</t>
  </si>
  <si>
    <t>Due from Banks</t>
  </si>
  <si>
    <t>Dealing Securities</t>
  </si>
  <si>
    <t>Investment Securities</t>
  </si>
  <si>
    <t xml:space="preserve">Loans </t>
  </si>
  <si>
    <t>Less: Loan Loss Reserves</t>
  </si>
  <si>
    <t xml:space="preserve">Net Loans </t>
  </si>
  <si>
    <t>Accrued Interest and Dividends Receivable</t>
  </si>
  <si>
    <t>Equity Investments</t>
  </si>
  <si>
    <t>Fixed Assets and Intangible Assets</t>
  </si>
  <si>
    <t>Other Assets</t>
  </si>
  <si>
    <t>Total assets</t>
  </si>
  <si>
    <t>Liabilities</t>
  </si>
  <si>
    <t>Due to Banks</t>
  </si>
  <si>
    <t>Current (Accounts) Deposits</t>
  </si>
  <si>
    <t>Demand Deposits</t>
  </si>
  <si>
    <t>Time Deposits</t>
  </si>
  <si>
    <t>Own Debt Securities</t>
  </si>
  <si>
    <t>Borrowings</t>
  </si>
  <si>
    <t>Accrued Interest and Dividends Payable</t>
  </si>
  <si>
    <t>Other Liabilities</t>
  </si>
  <si>
    <t>Subordinated Debentures</t>
  </si>
  <si>
    <t>Total liabilities</t>
  </si>
  <si>
    <t>Equity Capital</t>
  </si>
  <si>
    <t xml:space="preserve">Common Stock </t>
  </si>
  <si>
    <t>Preferred Stock</t>
  </si>
  <si>
    <t>Less: Repurchased Shares</t>
  </si>
  <si>
    <t>Share Premium</t>
  </si>
  <si>
    <t>General Reserves</t>
  </si>
  <si>
    <t>Retained Earnings</t>
  </si>
  <si>
    <t>Asset Revaluation Reserves</t>
  </si>
  <si>
    <t>Total liabilities and Equity Capital</t>
  </si>
  <si>
    <t>Reporting Period</t>
  </si>
  <si>
    <t xml:space="preserve">GEL </t>
  </si>
  <si>
    <t xml:space="preserve">FX  </t>
  </si>
  <si>
    <t xml:space="preserve">Total </t>
  </si>
  <si>
    <t>Respective period of the previous year</t>
  </si>
  <si>
    <t>in Lari</t>
  </si>
  <si>
    <t>Table 4</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</si>
  <si>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</si>
  <si>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</si>
  <si>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</si>
  <si>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</si>
  <si>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</si>
  <si>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</si>
  <si>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</si>
  <si>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</si>
  <si>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</si>
  <si>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</si>
  <si>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</si>
  <si>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</si>
  <si>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</si>
  <si>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Of which above 10% equity holdings in financial institutions</t>
  </si>
  <si>
    <t>Of which significant investments subject to limited recognition</t>
  </si>
  <si>
    <t>Of which intangible assets</t>
  </si>
  <si>
    <t>Of which tier II capital qualifying instruments</t>
  </si>
  <si>
    <t>table 9 (Capital), N10</t>
  </si>
  <si>
    <t>Carrying values as reported in published stand-alone financial statements per local accounting rules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</si>
  <si>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</si>
  <si>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</si>
  <si>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</si>
  <si>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</si>
  <si>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</si>
  <si>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</si>
  <si>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</si>
  <si>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</si>
  <si>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</si>
  <si>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</si>
  <si>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</si>
  <si>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</si>
  <si>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</si>
  <si>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</si>
  <si>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</si>
  <si>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</si>
  <si>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</si>
  <si>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</si>
  <si>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</si>
  <si>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</si>
  <si>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</si>
  <si>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</si>
  <si>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</si>
  <si>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</si>
  <si>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</si>
  <si>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</si>
  <si>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</si>
  <si>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</si>
  <si>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FX</t>
  </si>
  <si>
    <t>Current &amp; Demand Deposits/Total Assets</t>
  </si>
  <si>
    <t xml:space="preserve">FX Liabilities/Total Liabilities </t>
  </si>
  <si>
    <t>Liquid Assets/Total Assets</t>
  </si>
  <si>
    <t>Loan Growth-YTD</t>
  </si>
  <si>
    <t>FX Assets/Total Assets</t>
  </si>
  <si>
    <t>FX Loans/Total Loans</t>
  </si>
  <si>
    <t>LLR/Total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</si>
  <si>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</si>
  <si>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</si>
  <si>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</si>
  <si>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</si>
  <si>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</si>
  <si>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</si>
  <si>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</si>
  <si>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</si>
  <si>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</si>
  <si>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</si>
  <si>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</si>
  <si>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Net Income</t>
  </si>
  <si>
    <t>Extraordinary Items</t>
  </si>
  <si>
    <t>Net Income after Taxation</t>
  </si>
  <si>
    <t>Taxation</t>
  </si>
  <si>
    <t>Net Income before Taxes and Extraordinary Items</t>
  </si>
  <si>
    <t>Total Provisions for Possible Losses</t>
  </si>
  <si>
    <t>Provision for Possible Losses on Other Assets</t>
  </si>
  <si>
    <t>Provision for Possible Losses on Investments and Securities</t>
  </si>
  <si>
    <t>Loan Loss Reserve</t>
  </si>
  <si>
    <t>Net Income before Provisions</t>
  </si>
  <si>
    <t>Other Non-Interest Expenses</t>
  </si>
  <si>
    <t xml:space="preserve">Depreciation Expense </t>
  </si>
  <si>
    <t>Operating Costs of Fixed Assets</t>
  </si>
  <si>
    <t>Personnel Expenses</t>
  </si>
  <si>
    <t>Bank Development, Consultation and Marketing Expenses</t>
  </si>
  <si>
    <t>Non-Interest Expenses from other Banking Operations</t>
  </si>
  <si>
    <t xml:space="preserve"> Non-Interest Expenses</t>
  </si>
  <si>
    <t>Other Non-Interest Income</t>
  </si>
  <si>
    <t>Non-Interest Income from other Banking Operations</t>
  </si>
  <si>
    <t>Gain (Loss) on Sales of Fixed Assets</t>
  </si>
  <si>
    <t>Gain (Loss) from Foreign Exchange Translation</t>
  </si>
  <si>
    <t>Gain (Loss) from Foreign Exchange Trading</t>
  </si>
  <si>
    <t>Gain (Loss) from Investment Securities</t>
  </si>
  <si>
    <t>Gain (Loss) from Dealing Securities</t>
  </si>
  <si>
    <t>Dividend Income</t>
  </si>
  <si>
    <t>Fee and Commission Expense</t>
  </si>
  <si>
    <t>Fee and Commission Income</t>
  </si>
  <si>
    <t>Net Fee and Commission Income</t>
  </si>
  <si>
    <t xml:space="preserve"> Non-Interest Income</t>
  </si>
  <si>
    <t>Net Interest Income</t>
  </si>
  <si>
    <t>Total Interest Expense</t>
  </si>
  <si>
    <t>Other Interest Expenses</t>
  </si>
  <si>
    <t>Interest Paid on Other Borrowings</t>
  </si>
  <si>
    <t>Interest Paid on Own Debt Securities</t>
  </si>
  <si>
    <t>Interest Paid on Banks Deposits</t>
  </si>
  <si>
    <t>Interest Paid on Time Deposits</t>
  </si>
  <si>
    <t>Interest Paid on Demand Deposits</t>
  </si>
  <si>
    <t>Interest Expense</t>
  </si>
  <si>
    <t>Total Interest Income</t>
  </si>
  <si>
    <t>Other Interest Income</t>
  </si>
  <si>
    <t>Interest and Discount Income from Securities</t>
  </si>
  <si>
    <t>Fees/penalties income from loans to customers</t>
  </si>
  <si>
    <t>from Other Sectors Loans</t>
  </si>
  <si>
    <t>from Individuals Loans</t>
  </si>
  <si>
    <t>from the Transportation or Communications Sector Loans</t>
  </si>
  <si>
    <t>from the Mining and Mineral Processing Sector Loans</t>
  </si>
  <si>
    <t>from the Construction Sector Loans</t>
  </si>
  <si>
    <t>from the Agriculture and Forestry Sector Loans</t>
  </si>
  <si>
    <t>from the Energy Sector Loans</t>
  </si>
  <si>
    <t>from the Retail or Service Sector Loans</t>
  </si>
  <si>
    <t>from the Interbank Loans</t>
  </si>
  <si>
    <t>Interest Income from Loans</t>
  </si>
  <si>
    <t>Interest Income from Bank's "Nostro" and Deposit Accounts</t>
  </si>
  <si>
    <t>Interest Income</t>
  </si>
  <si>
    <t>Table 3</t>
  </si>
  <si>
    <t>Off-balance sheet items</t>
  </si>
  <si>
    <t xml:space="preserve">       Including: amounts below the thresholds for deduction (subject to 250% risk weight)</t>
  </si>
  <si>
    <t>Table 5</t>
  </si>
  <si>
    <t>Other Real Estate Owned &amp; Repossessed Assets</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</si>
  <si>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</si>
  <si>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</si>
  <si>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</si>
  <si>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</si>
  <si>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</si>
  <si>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</si>
  <si>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</si>
  <si>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</si>
  <si>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</si>
  <si>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</si>
  <si>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</si>
  <si>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</si>
  <si>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</si>
  <si>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</si>
  <si>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</si>
  <si>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</si>
  <si>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</si>
  <si>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</si>
  <si>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</si>
  <si>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</si>
  <si>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</si>
  <si>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</si>
  <si>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</si>
  <si>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</si>
  <si>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</si>
  <si>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</si>
  <si>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</si>
  <si>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</si>
  <si>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</si>
  <si>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</si>
  <si>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</si>
  <si>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</si>
  <si>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</si>
  <si>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</si>
  <si>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</si>
  <si>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</si>
  <si>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</si>
  <si>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</si>
  <si>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</si>
  <si>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</si>
  <si>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</si>
  <si>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</si>
  <si>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</si>
  <si>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</si>
  <si>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</si>
  <si>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</si>
  <si>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</si>
  <si>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</si>
  <si>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</si>
  <si>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</si>
  <si>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</si>
  <si>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</si>
  <si>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</si>
  <si>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</si>
  <si>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</si>
  <si>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</si>
  <si>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</si>
  <si>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</si>
  <si>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</si>
  <si>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</si>
  <si>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</si>
  <si>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</si>
  <si>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</si>
  <si>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</si>
  <si>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</si>
  <si>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</si>
  <si>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Total Equity Capital</t>
  </si>
  <si>
    <t>Information about supervisory board, directorate, beneficiary owners and shareholders</t>
  </si>
  <si>
    <t>Of which below 10% equity holdings subject to limited recognition</t>
  </si>
  <si>
    <t>Claims or contingent claims on public sector entities</t>
  </si>
  <si>
    <t>Claims or contingent claims on  public sector entities</t>
  </si>
  <si>
    <t xml:space="preserve">Return on Average Assets (ROAA) </t>
  </si>
  <si>
    <t xml:space="preserve">Return on Average Equity (ROAE) </t>
  </si>
  <si>
    <t>Total Non-Interest Income</t>
  </si>
  <si>
    <t>Total Non-Interest Expenses</t>
  </si>
  <si>
    <t>Net Non-Interest Income</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</si>
  <si>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</si>
  <si>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</si>
  <si>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</si>
  <si>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</si>
  <si>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</si>
  <si>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</si>
  <si>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</si>
  <si>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</si>
  <si>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</si>
  <si>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</si>
  <si>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</si>
  <si>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GEL</t>
  </si>
  <si>
    <t>Other Contingent Liabilities</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</si>
  <si>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</si>
  <si>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</si>
  <si>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</si>
  <si>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</si>
  <si>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</si>
  <si>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</si>
  <si>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</si>
  <si>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</si>
  <si>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</si>
  <si>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</si>
  <si>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</si>
  <si>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</si>
  <si>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</si>
  <si>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</si>
  <si>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Non-cancelable operating lease</t>
  </si>
  <si>
    <t>Guarantees</t>
  </si>
  <si>
    <t>Guarantees Issued</t>
  </si>
  <si>
    <t>Letters of credit Issued</t>
  </si>
  <si>
    <t>Undrawn loan commitments</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</si>
  <si>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</si>
  <si>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</si>
  <si>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</si>
  <si>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</si>
  <si>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</si>
  <si>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</si>
  <si>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</si>
  <si>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</si>
  <si>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</si>
  <si>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</si>
  <si>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</si>
  <si>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</si>
  <si>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</si>
  <si>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</si>
  <si>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</si>
  <si>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</si>
  <si>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</si>
  <si>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</si>
  <si>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</si>
  <si>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Through indefinit term agreement</t>
  </si>
  <si>
    <t>Within one year</t>
  </si>
  <si>
    <t>From 1 to 2 years</t>
  </si>
  <si>
    <t>From 2 to 3 years</t>
  </si>
  <si>
    <t>From 3 to 4 years</t>
  </si>
  <si>
    <t>From 4 to 5 years</t>
  </si>
  <si>
    <t>More than 5 years</t>
  </si>
  <si>
    <t>Differences between carrying values per standardized balance sheet used for regulatory reporting purposes and the exposure amounts used for capital adequacy calculation purposes</t>
  </si>
  <si>
    <t>Nominal values of off-balance sheet items subject to credit risk weighting</t>
  </si>
  <si>
    <t>Nominal values of off-balance sheet items subject to counterparty credit risk weighting</t>
  </si>
  <si>
    <t>Total nominal values of on-balance and off-balance sheet items before any adjustments used for credit risk weighting purposes</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</si>
  <si>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</si>
  <si>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</si>
  <si>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</si>
  <si>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</si>
  <si>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</si>
  <si>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</si>
  <si>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</si>
  <si>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</si>
  <si>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</si>
  <si>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</si>
  <si>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</si>
  <si>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</si>
  <si>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</si>
  <si>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</si>
  <si>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</si>
  <si>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</si>
  <si>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</si>
  <si>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</si>
  <si>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carrying value of balance sheet items subject to credit risk weighting before adjustments</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</si>
  <si>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</si>
  <si>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</si>
  <si>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</si>
  <si>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</si>
  <si>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</si>
  <si>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</si>
  <si>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</si>
  <si>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</si>
  <si>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</si>
  <si>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</si>
  <si>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</si>
  <si>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</si>
  <si>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</si>
  <si>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</si>
  <si>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</si>
  <si>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</si>
  <si>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</si>
  <si>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Contingent Liabilities and Commitments</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</si>
  <si>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</si>
  <si>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</si>
  <si>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</si>
  <si>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</si>
  <si>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</si>
  <si>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</si>
  <si>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</si>
  <si>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</si>
  <si>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</si>
  <si>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</si>
  <si>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</si>
  <si>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</si>
  <si>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</si>
  <si>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</si>
  <si>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</si>
  <si>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</si>
  <si>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</si>
  <si>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</si>
  <si>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</si>
  <si>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</si>
  <si>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</si>
  <si>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</si>
  <si>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</si>
  <si>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</si>
  <si>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</si>
  <si>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</si>
  <si>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</si>
  <si>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</si>
  <si>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</si>
  <si>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</si>
  <si>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</si>
  <si>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</si>
  <si>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</si>
  <si>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</si>
  <si>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</si>
  <si>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</si>
  <si>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</si>
  <si>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</si>
  <si>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</si>
  <si>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</si>
  <si>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</si>
  <si>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</si>
  <si>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</si>
  <si>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</si>
  <si>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</si>
  <si>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</si>
  <si>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</si>
  <si>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</si>
  <si>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</si>
  <si>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</si>
  <si>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</si>
  <si>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</si>
  <si>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</si>
  <si>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</si>
  <si>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</si>
  <si>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</si>
  <si>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</si>
  <si>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</si>
  <si>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</si>
  <si>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</si>
  <si>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</si>
  <si>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</si>
  <si>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</si>
  <si>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</si>
  <si>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</si>
  <si>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</si>
  <si>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</si>
  <si>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</si>
  <si>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</si>
  <si>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</si>
  <si>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</si>
  <si>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</si>
  <si>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</si>
  <si>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</si>
  <si>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</si>
  <si>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</si>
  <si>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</si>
  <si>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</si>
  <si>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</si>
  <si>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</si>
  <si>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</si>
  <si>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</si>
  <si>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</si>
  <si>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</si>
  <si>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</si>
  <si>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</si>
  <si>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</si>
  <si>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</si>
  <si>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</si>
  <si>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</si>
  <si>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</si>
  <si>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</si>
  <si>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</si>
  <si>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</si>
  <si>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</si>
  <si>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</si>
  <si>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</si>
  <si>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</si>
  <si>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</si>
  <si>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</si>
  <si>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</si>
  <si>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</si>
  <si>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</si>
  <si>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</si>
  <si>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</si>
  <si>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</si>
  <si>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</si>
  <si>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</si>
  <si>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</si>
  <si>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</si>
  <si>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</si>
  <si>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</si>
  <si>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</si>
  <si>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</si>
  <si>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</si>
  <si>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</si>
  <si>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</si>
  <si>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</si>
  <si>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</si>
  <si>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</si>
  <si>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</si>
  <si>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</si>
  <si>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</si>
  <si>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</si>
  <si>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</si>
  <si>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</si>
  <si>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</si>
  <si>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</si>
  <si>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</si>
  <si>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</si>
  <si>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</si>
  <si>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</si>
  <si>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</si>
  <si>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</si>
  <si>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</si>
  <si>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</si>
  <si>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</si>
  <si>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</si>
  <si>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</si>
  <si>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</si>
  <si>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</si>
  <si>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</si>
  <si>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</si>
  <si>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</si>
  <si>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</si>
  <si>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</si>
  <si>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</si>
  <si>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</si>
  <si>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</si>
  <si>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</si>
  <si>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</si>
  <si>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</si>
  <si>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</si>
  <si>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</si>
  <si>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</si>
  <si>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</si>
  <si>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</si>
  <si>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</si>
  <si>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</si>
  <si>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</si>
  <si>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</si>
  <si>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</si>
  <si>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</si>
  <si>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</si>
  <si>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Gross carrying value, book value, reserves, write-offs and reserve charges by risk classes</t>
  </si>
  <si>
    <t>Gross carrying value, book value, reserves, write-offs and reserve charges by Sectors of income source</t>
  </si>
  <si>
    <t>Change in reserve for loans and Corporate debt securities</t>
  </si>
  <si>
    <t>Distribution of loans, Debt securities  and Off-balance-sheet items according to  Risk classification and Past due days</t>
  </si>
  <si>
    <t>Loans Distributed according to LTV ratio, Loan reserves, Value of collateral for loans and loans secured by guarantees according to Risk classification and past due days</t>
  </si>
  <si>
    <t>Loans and reserves on loans distributed according to Sectors of income source and risk classification</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</si>
  <si>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</si>
  <si>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</si>
  <si>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</si>
  <si>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</si>
  <si>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</si>
  <si>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</si>
  <si>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</si>
  <si>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</si>
  <si>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</si>
  <si>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</si>
  <si>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</si>
  <si>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</si>
  <si>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Special Reserve</t>
  </si>
  <si>
    <t>General Reserve</t>
  </si>
  <si>
    <t>Additional General Reserve</t>
  </si>
  <si>
    <t>Accumulated write-off, during the reporting period</t>
  </si>
  <si>
    <t>Book value</t>
  </si>
  <si>
    <t>Of which: Loans and other Assets - Non-Performing</t>
  </si>
  <si>
    <t>Of which: Loans and other Assets - other than Non-Performing</t>
  </si>
  <si>
    <t>(a+b-c-d-e)</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</si>
  <si>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</si>
  <si>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</si>
  <si>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</si>
  <si>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</si>
  <si>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</si>
  <si>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</si>
  <si>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</si>
  <si>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</si>
  <si>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</si>
  <si>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</si>
  <si>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</si>
  <si>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</si>
  <si>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</si>
  <si>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</si>
  <si>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</si>
  <si>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</si>
  <si>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</si>
  <si>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</si>
  <si>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</si>
  <si>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</si>
  <si>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</si>
  <si>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</si>
  <si>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</si>
  <si>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</si>
  <si>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</si>
  <si>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</si>
  <si>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Changes in reserve for loans and Corporate debt securities</t>
  </si>
  <si>
    <t>Change in reserves for loans during the reporting period</t>
  </si>
  <si>
    <t>Change in reserves for Corporate debt securities during the reporting period</t>
  </si>
  <si>
    <t>Opening balance</t>
  </si>
  <si>
    <t>An increase in the reserve for possible losses on assets</t>
  </si>
  <si>
    <t>Increase reserve of foreign currency assets as a result of currency exchange rate changes</t>
  </si>
  <si>
    <t>As a result of an increase in "additional general reserves"</t>
  </si>
  <si>
    <t>Decrease in reserve for possible losses on assets</t>
  </si>
  <si>
    <t>As a result of write-off of assets</t>
  </si>
  <si>
    <t>As a result of partial or total payment of standard assets</t>
  </si>
  <si>
    <t>Decrease reserve of foreign currency assets as a result of currency exchange rate changes</t>
  </si>
  <si>
    <t>As a result of an decrease in "additional general reserves"</t>
  </si>
  <si>
    <t>Closing balance</t>
  </si>
  <si>
    <t>Table 21</t>
  </si>
  <si>
    <t>Gross carrying value of Non-performing Loans</t>
  </si>
  <si>
    <t>Net accumulated recoveries related to decrease of Non-performing loans</t>
  </si>
  <si>
    <t>Inflows to non-performing portfolios</t>
  </si>
  <si>
    <t>Inflows to non-performing portfolios, as e result of currency exchange rate changes</t>
  </si>
  <si>
    <t>Outflows from non-performing portfolios</t>
  </si>
  <si>
    <t>Outflow to stadrat loan portfolio</t>
  </si>
  <si>
    <t>Outflow to watch loan portfolio</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</si>
  <si>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</si>
  <si>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</si>
  <si>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</si>
  <si>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</si>
  <si>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</si>
  <si>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</si>
  <si>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</si>
  <si>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Classified in standard category</t>
  </si>
  <si>
    <t>Classified in watch category</t>
  </si>
  <si>
    <t>Classified in Non-Performing category</t>
  </si>
  <si>
    <t>Past due ≤ 30 days</t>
  </si>
  <si>
    <t>Past due &gt; 30 days</t>
  </si>
  <si>
    <t xml:space="preserve"> Past due &gt; 30 days &lt; 60 days </t>
  </si>
  <si>
    <t xml:space="preserve">Past due ≥ 60 days &lt; 90 days </t>
  </si>
  <si>
    <t xml:space="preserve">Past due ≥ 90 days </t>
  </si>
  <si>
    <t>Past due &lt; 60 days</t>
  </si>
  <si>
    <t xml:space="preserve">Past due ≥ 90 days &lt; 180 days </t>
  </si>
  <si>
    <t>Past due ≥ 180 days &lt; 1 year</t>
  </si>
  <si>
    <t>Past due ≥ 1 year &lt;2 year</t>
  </si>
  <si>
    <t>Past due ≥ 2 year &lt;5 year</t>
  </si>
  <si>
    <t>Past due ≥ 5 year &lt;7 year</t>
  </si>
  <si>
    <t>Past due ≥ 7 year</t>
  </si>
  <si>
    <t>Of which: Classified in Loss category</t>
  </si>
  <si>
    <t>Loans</t>
  </si>
  <si>
    <t>Central banks</t>
  </si>
  <si>
    <t>General governments</t>
  </si>
  <si>
    <t>Credit institutions</t>
  </si>
  <si>
    <t>Other financial corporations</t>
  </si>
  <si>
    <t>Non-financial corporations</t>
  </si>
  <si>
    <t>Households</t>
  </si>
  <si>
    <t>Debt Securities</t>
  </si>
  <si>
    <t>Off-balance-sheet itmes</t>
  </si>
  <si>
    <t>Table 23</t>
  </si>
  <si>
    <t xml:space="preserve">Loans Distributed according to LTV ratio, Loan reserves, Value of collateral for loans and loans secured by guarantees according to Risk classification and past due days
  </t>
  </si>
  <si>
    <t xml:space="preserve"> Gross carrying value of Loans</t>
  </si>
  <si>
    <t>Loans Classified in standard category</t>
  </si>
  <si>
    <t>Loans Classified in watch category</t>
  </si>
  <si>
    <t>Loans Classified in Non-Performing category</t>
  </si>
  <si>
    <t>Secured Loans</t>
  </si>
  <si>
    <t>Loans Secured by Immovable property</t>
  </si>
  <si>
    <t>1.1.1.1</t>
  </si>
  <si>
    <t>LTV ≤70%</t>
  </si>
  <si>
    <t>1.1.1.2</t>
  </si>
  <si>
    <t>LTV &gt;70% ≤85%</t>
  </si>
  <si>
    <t>1.1.1.3</t>
  </si>
  <si>
    <t>LTV &gt;85% ≤100%</t>
  </si>
  <si>
    <t>1.1.1.4</t>
  </si>
  <si>
    <t>LTV &gt;100%</t>
  </si>
  <si>
    <t>Reserves on Secured Loans</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</si>
  <si>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</si>
  <si>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</si>
  <si>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</si>
  <si>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</si>
  <si>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</si>
  <si>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</si>
  <si>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</si>
  <si>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</si>
  <si>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</si>
  <si>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</si>
  <si>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</si>
  <si>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General and Special Reserves</t>
  </si>
  <si>
    <t>Additional General  Reserve</t>
  </si>
  <si>
    <t>Standard</t>
  </si>
  <si>
    <t>Watch</t>
  </si>
  <si>
    <t>Sub-Standard</t>
  </si>
  <si>
    <t>Doubtful</t>
  </si>
  <si>
    <t>Loss</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</si>
  <si>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</si>
  <si>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</si>
  <si>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</si>
  <si>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</si>
  <si>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</si>
  <si>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</si>
  <si>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</si>
  <si>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</si>
  <si>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</si>
  <si>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</si>
  <si>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</si>
  <si>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</si>
  <si>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</si>
  <si>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</si>
  <si>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</si>
  <si>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As a result of partial or total payment of adversely classified assets</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</si>
  <si>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</si>
  <si>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</si>
  <si>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</si>
  <si>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</si>
  <si>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</si>
  <si>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</si>
  <si>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</si>
  <si>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</si>
  <si>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</si>
  <si>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</si>
  <si>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</si>
  <si>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</si>
  <si>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</si>
  <si>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 xml:space="preserve">                                                                                                                                      On Balance Assets                                                                                                                   
                                                                                                                                                                                                                                                                                                            Sector of repayment source / counterparty type</t>
  </si>
  <si>
    <t>JSC Isbank Georgia</t>
  </si>
  <si>
    <t>Ozan Gürsoy</t>
  </si>
  <si>
    <t>Ozan Gür</t>
  </si>
  <si>
    <t>www.isbank.ge</t>
  </si>
  <si>
    <t>Yavuz Ergın</t>
  </si>
  <si>
    <t>Natia Janelidze</t>
  </si>
  <si>
    <t>Huseyn Serdar Yücel</t>
  </si>
  <si>
    <t>Banu Altun</t>
  </si>
  <si>
    <t>Non-independent chair</t>
  </si>
  <si>
    <t>Non-independent member</t>
  </si>
  <si>
    <t>Independent member</t>
  </si>
  <si>
    <t>Hakan Kural</t>
  </si>
  <si>
    <t>Ucha Saralidze</t>
  </si>
  <si>
    <t>Chief Executive Officer</t>
  </si>
  <si>
    <t>Deputy Chief Executive Officer</t>
  </si>
  <si>
    <t>Chief Financial Officer</t>
  </si>
  <si>
    <t>Turkıye Is Bankası A.S.</t>
  </si>
  <si>
    <t>Turkıye Is Bankası A,S, Employees" Pensıon Fund</t>
  </si>
  <si>
    <t>Turkey Republıcan People"s Party</t>
  </si>
  <si>
    <t>table 9 (Capital), N37</t>
  </si>
  <si>
    <t>table 9 (Capital), N2</t>
  </si>
  <si>
    <t>table 9 (Capital), N6</t>
  </si>
  <si>
    <t>Outflows from non-performing portfolios, as a result of currency exchange rate changes</t>
  </si>
  <si>
    <t>Table 26</t>
  </si>
  <si>
    <t>Retail Products</t>
  </si>
  <si>
    <t>Gross carrying value of Loans</t>
  </si>
  <si>
    <t>Reserves</t>
  </si>
  <si>
    <t>Number of Loans</t>
  </si>
  <si>
    <t>Weighted average nominal interest rate on quarterly disbursed loans</t>
  </si>
  <si>
    <t>Weighted average effective interest rate on quarterly disbursed loans</t>
  </si>
  <si>
    <t>Weighted average nominal interest rate (on Gross carrying value of Loans)</t>
  </si>
  <si>
    <t>Weighted average maturity of loans according to the remaining maturity (months)</t>
  </si>
  <si>
    <t>Auto loans</t>
  </si>
  <si>
    <t>Consumer Loans</t>
  </si>
  <si>
    <t>Pay Day Loans</t>
  </si>
  <si>
    <t>Momental Installments</t>
  </si>
  <si>
    <t>Overdrafts</t>
  </si>
  <si>
    <t>Credit Cards</t>
  </si>
  <si>
    <t>Mortgages</t>
  </si>
  <si>
    <t>Mortgages - Purchase of completed real estate</t>
  </si>
  <si>
    <t>Mortgages - Construction, the purchase of real estate under construction</t>
  </si>
  <si>
    <t>Mortgages - For Real Estate Renovation</t>
  </si>
  <si>
    <t>Retail Pawnshop loans</t>
  </si>
  <si>
    <t>Student loans</t>
  </si>
  <si>
    <t>Total Retail Products</t>
  </si>
  <si>
    <t>Between them: Loans issued on the basis of income from a pension or other state social disbursement</t>
  </si>
  <si>
    <t>General and Qualitative information on Retail Products</t>
  </si>
  <si>
    <t>Gürler Özkök</t>
  </si>
  <si>
    <t xml:space="preserve">                               Gross carrying value/nominal value - distribution according to Collateral type
Loans, corporate debt securities and Off-balance-sheet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</si>
</sst>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40">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sz val="10"/>
      <color rgb="FF333333"/>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b/>
      <sz val="10"/>
      <name val="Arial"/>
      <family val="2"/>
      <charset val="162"/>
    </font>
    <font>
      <sz val="10"/>
      <name val="Arial"/>
      <family val="2"/>
      <charset val="162"/>
    </font>
    <font>
      <b/>
      <sz val="10"/>
      <color theme="1"/>
      <name val="Segoe UI"/>
      <family val="2"/>
    </font>
    <font>
      <b/>
      <i/>
      <sz val="10"/>
      <name val="Arial"/>
      <family val="2"/>
      <charset val="162"/>
    </font>
    <font>
      <b/>
      <sz val="10"/>
      <color theme="1"/>
      <name val="Calibri"/>
      <family val="2"/>
      <charset val="162"/>
      <scheme val="minor"/>
    </font>
    <font>
      <sz val="10"/>
      <color theme="1"/>
      <name val="Calibri"/>
      <family val="2"/>
      <charset val="162"/>
      <scheme val="minor"/>
    </font>
    <font>
      <sz val="10"/>
      <name val="Calibri"/>
      <family val="2"/>
      <charset val="162"/>
      <scheme val="minor"/>
    </font>
    <font>
      <b/>
      <sz val="10"/>
      <color theme="1"/>
      <name val="Arial"/>
      <family val="2"/>
      <charset val="162"/>
    </font>
    <font>
      <b/>
      <sz val="9"/>
      <name val="Arial"/>
      <family val="2"/>
      <charset val="162"/>
    </font>
    <font>
      <sz val="9"/>
      <color theme="1"/>
      <name val="Sylfaen"/>
      <family val="1"/>
      <charset val="162"/>
    </font>
    <font>
      <b/>
      <sz val="9"/>
      <name val="Sylfaen"/>
      <family val="1"/>
      <charset val="162"/>
    </font>
    <font>
      <b/>
      <sz val="9"/>
      <color theme="1"/>
      <name val="Sylfaen"/>
      <family val="1"/>
      <charset val="162"/>
    </font>
    <font>
      <b/>
      <sz val="9"/>
      <color theme="1"/>
      <name val="Calibri"/>
      <family val="1"/>
      <scheme val="minor"/>
    </font>
    <font>
      <sz val="9"/>
      <color rgb="FF000000"/>
      <name val="Sylfaen"/>
      <family val="1"/>
    </font>
    <font>
      <b/>
      <sz val="9"/>
      <color rgb="FF000000"/>
      <name val="Sylfaen"/>
      <family val="1"/>
    </font>
    <font>
      <b/>
      <sz val="9"/>
      <color theme="1"/>
      <name val="Calibri"/>
      <family val="2"/>
      <charset val="162"/>
      <scheme val="minor"/>
    </font>
    <font>
      <b/>
      <sz val="11"/>
      <color theme="1"/>
      <name val="Calibri"/>
      <family val="2"/>
      <charset val="162"/>
      <scheme val="minor"/>
    </font>
    <font>
      <b/>
      <sz val="9"/>
      <color theme="1"/>
      <name val="Calibri"/>
      <family val="2"/>
      <scheme val="minor"/>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499984740745262"/>
        <bgColor indexed="64"/>
      </patternFill>
    </fill>
  </fills>
  <borders count="141">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top style="thin">
        <color indexed="64"/>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top style="thin">
        <color auto="1"/>
      </top>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20966">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9"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4"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3" applyNumberFormat="0" applyAlignment="0" applyProtection="0">
      <alignment horizontal="left" vertical="center"/>
    </xf>
    <xf numFmtId="0" fontId="37" fillId="0" borderId="33" applyNumberFormat="0" applyAlignment="0" applyProtection="0">
      <alignment horizontal="left" vertical="center"/>
    </xf>
    <xf numFmtId="168" fontId="37" fillId="0" borderId="33"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6" applyNumberFormat="0" applyFill="0" applyAlignment="0" applyProtection="0"/>
    <xf numFmtId="169" fontId="38" fillId="0" borderId="46" applyNumberFormat="0" applyFill="0" applyAlignment="0" applyProtection="0"/>
    <xf numFmtId="0"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0" fontId="38" fillId="0" borderId="46" applyNumberFormat="0" applyFill="0" applyAlignment="0" applyProtection="0"/>
    <xf numFmtId="0" fontId="39" fillId="0" borderId="47" applyNumberFormat="0" applyFill="0" applyAlignment="0" applyProtection="0"/>
    <xf numFmtId="169" fontId="39" fillId="0" borderId="47" applyNumberFormat="0" applyFill="0" applyAlignment="0" applyProtection="0"/>
    <xf numFmtId="0"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0" fontId="39" fillId="0" borderId="47" applyNumberFormat="0" applyFill="0" applyAlignment="0" applyProtection="0"/>
    <xf numFmtId="0" fontId="40" fillId="0" borderId="48" applyNumberFormat="0" applyFill="0" applyAlignment="0" applyProtection="0"/>
    <xf numFmtId="169"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9"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0" fontId="49" fillId="43" borderId="43"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9"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0" fontId="52" fillId="0" borderId="49"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0" fontId="52"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50"/>
    <xf numFmtId="169" fontId="9" fillId="0" borderId="50"/>
    <xf numFmtId="168" fontId="9"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9"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9"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9"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8" fillId="0" borderId="54"/>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cellStyleXfs>
  <cellXfs count="817">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21" xfId="0" applyFont="1" applyBorder="1" applyAlignment="1">
      <alignment horizontal="right" vertical="center" wrapText="1"/>
    </xf>
    <xf numFmtId="0" fontId="2" fillId="0" borderId="19" xfId="0" applyFont="1" applyBorder="1" applyAlignment="1">
      <alignment vertical="center" wrapText="1"/>
    </xf>
    <xf numFmtId="0" fontId="2" fillId="0" borderId="21" xfId="0" applyFont="1" applyFill="1" applyBorder="1" applyAlignment="1">
      <alignment horizontal="center" vertical="center" wrapText="1"/>
    </xf>
    <xf numFmtId="0" fontId="2" fillId="0" borderId="3" xfId="0" applyFont="1" applyBorder="1" applyAlignment="1">
      <alignment vertical="center" wrapText="1"/>
    </xf>
    <xf numFmtId="193" fontId="2" fillId="0" borderId="3" xfId="0" applyNumberFormat="1" applyFont="1" applyFill="1" applyBorder="1" applyAlignment="1" applyProtection="1">
      <alignment vertical="center" wrapText="1"/>
      <protection locked="0"/>
    </xf>
    <xf numFmtId="193" fontId="84" fillId="0" borderId="3" xfId="0" applyNumberFormat="1" applyFont="1" applyFill="1" applyBorder="1" applyAlignment="1" applyProtection="1">
      <alignment vertical="center" wrapText="1"/>
      <protection locked="0"/>
    </xf>
    <xf numFmtId="193" fontId="84" fillId="0" borderId="22" xfId="0" applyNumberFormat="1" applyFont="1" applyFill="1" applyBorder="1" applyAlignment="1" applyProtection="1">
      <alignment vertical="center" wrapText="1"/>
      <protection locked="0"/>
    </xf>
    <xf numFmtId="0" fontId="85" fillId="0" borderId="0" xfId="0" applyFont="1" applyFill="1"/>
    <xf numFmtId="193" fontId="2" fillId="2" borderId="3" xfId="0" applyNumberFormat="1" applyFont="1" applyFill="1" applyBorder="1" applyAlignment="1" applyProtection="1">
      <alignment vertical="center"/>
      <protection locked="0"/>
    </xf>
    <xf numFmtId="193" fontId="87" fillId="2" borderId="3" xfId="0" applyNumberFormat="1" applyFont="1" applyFill="1" applyBorder="1" applyAlignment="1" applyProtection="1">
      <alignment vertical="center"/>
      <protection locked="0"/>
    </xf>
    <xf numFmtId="193" fontId="87" fillId="2" borderId="22" xfId="0" applyNumberFormat="1" applyFont="1" applyFill="1" applyBorder="1" applyAlignment="1" applyProtection="1">
      <alignment vertical="center"/>
      <protection locked="0"/>
    </xf>
    <xf numFmtId="0" fontId="2" fillId="0" borderId="0" xfId="0" applyFont="1" applyAlignment="1">
      <alignment horizontal="right"/>
    </xf>
    <xf numFmtId="0" fontId="2" fillId="0" borderId="0" xfId="0" applyFont="1" applyFill="1" applyBorder="1" applyProtection="1"/>
    <xf numFmtId="0" fontId="45" fillId="0" borderId="0" xfId="0" applyFont="1" applyFill="1" applyBorder="1" applyAlignment="1" applyProtection="1">
      <alignment horizontal="center" vertical="center"/>
    </xf>
    <xf numFmtId="10" fontId="2" fillId="0" borderId="0" xfId="6" applyNumberFormat="1" applyFont="1" applyFill="1" applyBorder="1" applyProtection="1">
      <protection locked="0"/>
    </xf>
    <xf numFmtId="0" fontId="2" fillId="0" borderId="0" xfId="0" applyFont="1" applyFill="1" applyBorder="1" applyProtection="1">
      <protection locked="0"/>
    </xf>
    <xf numFmtId="0" fontId="45" fillId="0" borderId="18" xfId="0" applyFont="1" applyFill="1" applyBorder="1" applyAlignment="1" applyProtection="1">
      <alignment horizontal="center" vertical="center"/>
    </xf>
    <xf numFmtId="0" fontId="2" fillId="0" borderId="19" xfId="0" applyFont="1" applyFill="1" applyBorder="1" applyProtection="1"/>
    <xf numFmtId="0" fontId="2" fillId="0" borderId="21" xfId="0" applyFont="1" applyFill="1" applyBorder="1" applyAlignment="1" applyProtection="1">
      <alignment horizontal="left" indent="1"/>
    </xf>
    <xf numFmtId="0" fontId="2" fillId="0" borderId="24" xfId="0" applyFont="1" applyFill="1" applyBorder="1" applyAlignment="1" applyProtection="1">
      <alignment horizontal="left" indent="1"/>
    </xf>
    <xf numFmtId="0" fontId="45" fillId="0" borderId="74" xfId="0" applyFont="1" applyFill="1" applyBorder="1" applyAlignment="1" applyProtection="1"/>
    <xf numFmtId="0" fontId="88" fillId="0" borderId="0" xfId="0" applyFont="1" applyAlignment="1">
      <alignment vertical="center"/>
    </xf>
    <xf numFmtId="0" fontId="89" fillId="0" borderId="0" xfId="0" applyFont="1"/>
    <xf numFmtId="0" fontId="2" fillId="0" borderId="0" xfId="0" applyFont="1" applyFill="1" applyBorder="1"/>
    <xf numFmtId="0" fontId="46" fillId="0" borderId="0" xfId="0" applyFont="1" applyFill="1" applyBorder="1" applyAlignment="1" applyProtection="1">
      <alignment horizontal="right"/>
      <protection locked="0"/>
    </xf>
    <xf numFmtId="0" fontId="2" fillId="0" borderId="18" xfId="0" applyFont="1" applyFill="1" applyBorder="1" applyAlignment="1">
      <alignment horizontal="left" vertical="center" indent="1"/>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indent="1"/>
    </xf>
    <xf numFmtId="0" fontId="2" fillId="0" borderId="21" xfId="0" applyFont="1" applyFill="1" applyBorder="1" applyAlignment="1">
      <alignment horizontal="left" indent="1"/>
    </xf>
    <xf numFmtId="0" fontId="2" fillId="0" borderId="24" xfId="0" applyFont="1" applyFill="1" applyBorder="1" applyAlignment="1">
      <alignment horizontal="left" vertical="center" indent="1"/>
    </xf>
    <xf numFmtId="0" fontId="45" fillId="0" borderId="25" xfId="0" applyFont="1" applyFill="1" applyBorder="1" applyAlignment="1"/>
    <xf numFmtId="0" fontId="89" fillId="0" borderId="0" xfId="0" applyFont="1" applyBorder="1"/>
    <xf numFmtId="0" fontId="84" fillId="0" borderId="21" xfId="0" applyFont="1" applyBorder="1" applyAlignment="1">
      <alignment horizontal="center" vertical="center" wrapText="1"/>
    </xf>
    <xf numFmtId="0" fontId="84" fillId="0" borderId="24" xfId="0" applyFont="1" applyBorder="1" applyAlignment="1">
      <alignment horizontal="center" vertical="center" wrapText="1"/>
    </xf>
    <xf numFmtId="0" fontId="86" fillId="0" borderId="25" xfId="0" applyFont="1" applyBorder="1" applyAlignment="1">
      <alignment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8" xfId="0" applyFont="1" applyBorder="1"/>
    <xf numFmtId="0" fontId="2" fillId="0" borderId="21" xfId="0" applyFont="1" applyBorder="1" applyAlignment="1">
      <alignment vertical="center"/>
    </xf>
    <xf numFmtId="0" fontId="2" fillId="0" borderId="8" xfId="0" applyFont="1" applyBorder="1" applyAlignment="1">
      <alignment wrapText="1"/>
    </xf>
    <xf numFmtId="0" fontId="84" fillId="0" borderId="23" xfId="0" applyFont="1" applyBorder="1" applyAlignment="1"/>
    <xf numFmtId="0" fontId="85" fillId="0" borderId="0" xfId="0" applyFont="1" applyAlignment="1">
      <alignment wrapText="1"/>
    </xf>
    <xf numFmtId="0" fontId="2" fillId="0" borderId="23" xfId="0" applyFont="1" applyBorder="1" applyAlignment="1"/>
    <xf numFmtId="0" fontId="2" fillId="0" borderId="23" xfId="0" applyFont="1" applyBorder="1" applyAlignment="1">
      <alignment wrapText="1"/>
    </xf>
    <xf numFmtId="0" fontId="2" fillId="0" borderId="24" xfId="0" applyFont="1" applyBorder="1"/>
    <xf numFmtId="0" fontId="2" fillId="0" borderId="27" xfId="0" applyFont="1" applyBorder="1" applyAlignment="1">
      <alignment wrapText="1"/>
    </xf>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9" xfId="11" applyFont="1" applyFill="1" applyBorder="1" applyAlignment="1" applyProtection="1">
      <alignment horizontal="center" vertical="center"/>
    </xf>
    <xf numFmtId="0" fontId="45" fillId="0" borderId="20"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21" xfId="0" applyFont="1" applyBorder="1" applyAlignment="1">
      <alignment horizontal="center"/>
    </xf>
    <xf numFmtId="167" fontId="85" fillId="0" borderId="0" xfId="0" applyNumberFormat="1" applyFont="1"/>
    <xf numFmtId="0" fontId="84" fillId="0" borderId="0" xfId="0" applyFont="1" applyAlignment="1">
      <alignment vertical="center"/>
    </xf>
    <xf numFmtId="0" fontId="84" fillId="0" borderId="21" xfId="0" applyFont="1" applyBorder="1" applyAlignment="1">
      <alignment horizontal="center" vertical="center"/>
    </xf>
    <xf numFmtId="0" fontId="85" fillId="0" borderId="0" xfId="0" applyFont="1" applyAlignment="1"/>
    <xf numFmtId="0" fontId="84" fillId="0" borderId="13"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8"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20" xfId="2" applyNumberFormat="1" applyFont="1" applyFill="1" applyBorder="1" applyAlignment="1" applyProtection="1">
      <alignment horizontal="center" vertical="center"/>
      <protection locked="0"/>
    </xf>
    <xf numFmtId="0" fontId="2" fillId="0" borderId="21" xfId="9" applyFont="1" applyFill="1" applyBorder="1" applyAlignment="1" applyProtection="1">
      <alignment horizontal="center" vertical="center"/>
      <protection locked="0"/>
    </xf>
    <xf numFmtId="0" fontId="2" fillId="3" borderId="7" xfId="13" applyFont="1" applyFill="1" applyBorder="1" applyAlignment="1" applyProtection="1">
      <alignment vertical="center" wrapText="1"/>
      <protection locked="0"/>
    </xf>
    <xf numFmtId="0" fontId="2" fillId="3" borderId="7" xfId="13" applyFont="1" applyFill="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21" xfId="9" applyFont="1" applyFill="1" applyBorder="1" applyAlignment="1" applyProtection="1">
      <alignment horizontal="center" vertical="center" wrapText="1"/>
      <protection locked="0"/>
    </xf>
    <xf numFmtId="0" fontId="2" fillId="0" borderId="24" xfId="9" applyFont="1" applyFill="1" applyBorder="1" applyAlignment="1" applyProtection="1">
      <alignment horizontal="center" vertical="center" wrapText="1"/>
      <protection locked="0"/>
    </xf>
    <xf numFmtId="0" fontId="45" fillId="36" borderId="25" xfId="13" applyFont="1" applyFill="1" applyBorder="1" applyAlignment="1" applyProtection="1">
      <alignment vertical="center" wrapText="1"/>
      <protection locked="0"/>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66" xfId="0" applyFont="1" applyFill="1" applyBorder="1" applyAlignment="1">
      <alignment horizontal="center" vertical="center" wrapText="1"/>
    </xf>
    <xf numFmtId="0" fontId="84" fillId="0" borderId="6" xfId="0" applyFont="1" applyFill="1" applyBorder="1" applyAlignment="1">
      <alignment horizontal="center" vertical="center" wrapText="1"/>
    </xf>
    <xf numFmtId="0" fontId="84" fillId="0" borderId="35" xfId="0" applyFont="1" applyBorder="1" applyAlignment="1">
      <alignment wrapText="1"/>
    </xf>
    <xf numFmtId="193" fontId="84" fillId="0" borderId="34" xfId="0" applyNumberFormat="1" applyFont="1" applyBorder="1" applyAlignment="1">
      <alignment vertical="center"/>
    </xf>
    <xf numFmtId="167" fontId="84" fillId="0" borderId="67" xfId="0" applyNumberFormat="1" applyFont="1" applyBorder="1" applyAlignment="1">
      <alignment horizontal="center"/>
    </xf>
    <xf numFmtId="167" fontId="85" fillId="0" borderId="0" xfId="0" applyNumberFormat="1" applyFont="1" applyBorder="1" applyAlignment="1">
      <alignment horizontal="center"/>
    </xf>
    <xf numFmtId="0" fontId="84" fillId="0" borderId="11" xfId="0" applyFont="1" applyBorder="1" applyAlignment="1">
      <alignment wrapText="1"/>
    </xf>
    <xf numFmtId="193" fontId="84" fillId="0" borderId="13" xfId="0" applyNumberFormat="1" applyFont="1" applyBorder="1" applyAlignment="1">
      <alignment vertical="center"/>
    </xf>
    <xf numFmtId="167" fontId="84" fillId="0" borderId="65" xfId="0" applyNumberFormat="1" applyFont="1" applyBorder="1" applyAlignment="1">
      <alignment horizontal="center"/>
    </xf>
    <xf numFmtId="193" fontId="88" fillId="0" borderId="13" xfId="0" applyNumberFormat="1" applyFont="1" applyBorder="1" applyAlignment="1">
      <alignment vertical="center"/>
    </xf>
    <xf numFmtId="167" fontId="88" fillId="0" borderId="65" xfId="0" applyNumberFormat="1" applyFont="1" applyBorder="1" applyAlignment="1">
      <alignment horizontal="center"/>
    </xf>
    <xf numFmtId="167" fontId="92" fillId="0" borderId="0" xfId="0" applyNumberFormat="1" applyFont="1" applyBorder="1" applyAlignment="1">
      <alignment horizontal="center"/>
    </xf>
    <xf numFmtId="193" fontId="84" fillId="36" borderId="13" xfId="0" applyNumberFormat="1" applyFont="1" applyFill="1" applyBorder="1" applyAlignment="1">
      <alignment vertical="center"/>
    </xf>
    <xf numFmtId="0" fontId="88" fillId="0" borderId="11" xfId="0" applyFont="1" applyBorder="1" applyAlignment="1">
      <alignment horizontal="right" wrapText="1"/>
    </xf>
    <xf numFmtId="167" fontId="46" fillId="76" borderId="65" xfId="0" applyNumberFormat="1" applyFont="1" applyFill="1" applyBorder="1" applyAlignment="1">
      <alignment horizontal="center"/>
    </xf>
    <xf numFmtId="0" fontId="84" fillId="0" borderId="12" xfId="0" applyFont="1" applyBorder="1" applyAlignment="1">
      <alignment wrapText="1"/>
    </xf>
    <xf numFmtId="193" fontId="84" fillId="0" borderId="14" xfId="0" applyNumberFormat="1" applyFont="1" applyBorder="1" applyAlignment="1">
      <alignment vertical="center"/>
    </xf>
    <xf numFmtId="167" fontId="84" fillId="0" borderId="68" xfId="0" applyNumberFormat="1" applyFont="1" applyBorder="1" applyAlignment="1">
      <alignment horizontal="center"/>
    </xf>
    <xf numFmtId="0" fontId="86" fillId="36" borderId="15" xfId="0" applyFont="1" applyFill="1" applyBorder="1" applyAlignment="1">
      <alignment wrapText="1"/>
    </xf>
    <xf numFmtId="193" fontId="86" fillId="36" borderId="16" xfId="0" applyNumberFormat="1" applyFont="1" applyFill="1" applyBorder="1" applyAlignment="1">
      <alignment vertical="center"/>
    </xf>
    <xf numFmtId="167" fontId="86" fillId="36" borderId="60" xfId="0" applyNumberFormat="1" applyFont="1" applyFill="1" applyBorder="1" applyAlignment="1">
      <alignment horizontal="center"/>
    </xf>
    <xf numFmtId="167" fontId="90" fillId="0" borderId="0" xfId="0" applyNumberFormat="1" applyFont="1" applyFill="1" applyBorder="1" applyAlignment="1">
      <alignment horizontal="center"/>
    </xf>
    <xf numFmtId="193" fontId="84" fillId="0" borderId="17" xfId="0" applyNumberFormat="1" applyFont="1" applyBorder="1" applyAlignment="1">
      <alignment vertical="center"/>
    </xf>
    <xf numFmtId="167" fontId="84" fillId="0" borderId="64" xfId="0" applyNumberFormat="1" applyFont="1" applyBorder="1" applyAlignment="1">
      <alignment horizontal="center"/>
    </xf>
    <xf numFmtId="0" fontId="88" fillId="0" borderId="12" xfId="0" applyFont="1" applyBorder="1" applyAlignment="1">
      <alignment horizontal="right" wrapText="1"/>
    </xf>
    <xf numFmtId="193" fontId="88" fillId="0" borderId="14" xfId="0" applyNumberFormat="1" applyFont="1" applyBorder="1" applyAlignment="1">
      <alignment vertical="center"/>
    </xf>
    <xf numFmtId="0" fontId="84" fillId="0" borderId="24" xfId="0" applyFont="1" applyBorder="1" applyAlignment="1">
      <alignment horizontal="center"/>
    </xf>
    <xf numFmtId="0" fontId="86" fillId="36" borderId="61" xfId="0" applyFont="1" applyFill="1" applyBorder="1" applyAlignment="1">
      <alignment wrapText="1"/>
    </xf>
    <xf numFmtId="193" fontId="86" fillId="36" borderId="62" xfId="0" applyNumberFormat="1" applyFont="1" applyFill="1" applyBorder="1" applyAlignment="1">
      <alignment vertical="center"/>
    </xf>
    <xf numFmtId="167" fontId="86" fillId="36" borderId="63" xfId="0" applyNumberFormat="1" applyFont="1" applyFill="1" applyBorder="1" applyAlignment="1">
      <alignment horizontal="center"/>
    </xf>
    <xf numFmtId="0" fontId="84" fillId="0" borderId="21" xfId="0" applyFont="1" applyBorder="1" applyAlignment="1">
      <alignment vertical="center"/>
    </xf>
    <xf numFmtId="193" fontId="84" fillId="0" borderId="3" xfId="0" applyNumberFormat="1" applyFont="1" applyBorder="1" applyAlignment="1"/>
    <xf numFmtId="0" fontId="89" fillId="0" borderId="0" xfId="0" applyFont="1" applyAlignment="1"/>
    <xf numFmtId="0" fontId="2" fillId="3" borderId="24" xfId="9" applyFont="1" applyFill="1" applyBorder="1" applyAlignment="1" applyProtection="1">
      <alignment horizontal="left" vertical="center"/>
      <protection locked="0"/>
    </xf>
    <xf numFmtId="0" fontId="45" fillId="3" borderId="25" xfId="16" applyFont="1" applyFill="1" applyBorder="1" applyAlignment="1" applyProtection="1">
      <protection locked="0"/>
    </xf>
    <xf numFmtId="0" fontId="86" fillId="0" borderId="0" xfId="0" applyFont="1" applyAlignment="1">
      <alignment horizontal="center"/>
    </xf>
    <xf numFmtId="0" fontId="84" fillId="0" borderId="18" xfId="0" applyFont="1" applyBorder="1"/>
    <xf numFmtId="0" fontId="84" fillId="0" borderId="20" xfId="0" applyFont="1" applyBorder="1"/>
    <xf numFmtId="0" fontId="84" fillId="0" borderId="22" xfId="0" applyFont="1" applyBorder="1" applyAlignment="1">
      <alignment horizontal="center" vertical="center"/>
    </xf>
    <xf numFmtId="164" fontId="2" fillId="3" borderId="21"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22" xfId="1" applyNumberFormat="1" applyFont="1" applyFill="1" applyBorder="1" applyAlignment="1" applyProtection="1">
      <alignment horizontal="center" vertical="center" wrapText="1"/>
      <protection locked="0"/>
    </xf>
    <xf numFmtId="0" fontId="2" fillId="3" borderId="21" xfId="5" applyFont="1" applyFill="1" applyBorder="1" applyAlignment="1" applyProtection="1">
      <alignment horizontal="right" vertical="center"/>
      <protection locked="0"/>
    </xf>
    <xf numFmtId="193" fontId="84" fillId="0" borderId="21" xfId="0" applyNumberFormat="1" applyFont="1" applyBorder="1" applyAlignment="1"/>
    <xf numFmtId="0" fontId="45" fillId="3" borderId="26" xfId="16" applyFont="1" applyFill="1" applyBorder="1" applyAlignment="1" applyProtection="1">
      <protection locked="0"/>
    </xf>
    <xf numFmtId="0" fontId="84" fillId="0" borderId="0" xfId="0" applyFont="1" applyBorder="1" applyAlignment="1">
      <alignment vertical="center"/>
    </xf>
    <xf numFmtId="0" fontId="84" fillId="0" borderId="19" xfId="0" applyFont="1" applyBorder="1"/>
    <xf numFmtId="0" fontId="89" fillId="0" borderId="0" xfId="0" applyFont="1" applyAlignment="1">
      <alignment wrapText="1"/>
    </xf>
    <xf numFmtId="0" fontId="84" fillId="0" borderId="21" xfId="0" applyFont="1" applyBorder="1"/>
    <xf numFmtId="0" fontId="84" fillId="0" borderId="3" xfId="0" applyFont="1" applyBorder="1"/>
    <xf numFmtId="0" fontId="84" fillId="0" borderId="69" xfId="0" applyFont="1" applyBorder="1" applyAlignment="1">
      <alignment wrapText="1"/>
    </xf>
    <xf numFmtId="0" fontId="84" fillId="0" borderId="24" xfId="0" applyFont="1" applyBorder="1"/>
    <xf numFmtId="0" fontId="86" fillId="0" borderId="25" xfId="0" applyFont="1" applyBorder="1"/>
    <xf numFmtId="193" fontId="45" fillId="36" borderId="25" xfId="16" applyNumberFormat="1" applyFont="1" applyFill="1" applyBorder="1" applyAlignment="1" applyProtection="1">
      <protection locked="0"/>
    </xf>
    <xf numFmtId="0" fontId="84" fillId="0" borderId="58" xfId="0" applyFont="1" applyBorder="1" applyAlignment="1">
      <alignment horizontal="center"/>
    </xf>
    <xf numFmtId="0" fontId="84" fillId="0" borderId="59" xfId="0" applyFont="1" applyBorder="1" applyAlignment="1">
      <alignment horizontal="center"/>
    </xf>
    <xf numFmtId="0" fontId="84" fillId="0" borderId="19" xfId="0" applyFont="1" applyBorder="1" applyAlignment="1">
      <alignment horizontal="center"/>
    </xf>
    <xf numFmtId="0" fontId="84" fillId="0" borderId="20" xfId="0" applyFont="1" applyBorder="1" applyAlignment="1">
      <alignment horizontal="center"/>
    </xf>
    <xf numFmtId="0" fontId="89" fillId="0" borderId="0" xfId="0" applyFont="1" applyAlignment="1">
      <alignment horizontal="center"/>
    </xf>
    <xf numFmtId="0" fontId="2" fillId="3" borderId="21"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3" fillId="3" borderId="3" xfId="11" applyFont="1" applyFill="1" applyBorder="1" applyAlignment="1">
      <alignment horizontal="left" vertical="center"/>
    </xf>
    <xf numFmtId="0" fontId="91"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22" xfId="5" applyNumberFormat="1" applyFont="1" applyFill="1" applyBorder="1" applyProtection="1">
      <protection locked="0"/>
    </xf>
    <xf numFmtId="0" fontId="93"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3"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1" fillId="0" borderId="3" xfId="11" applyFont="1" applyFill="1" applyBorder="1" applyAlignment="1">
      <alignment wrapText="1"/>
    </xf>
    <xf numFmtId="193" fontId="2" fillId="0" borderId="3" xfId="1" applyNumberFormat="1" applyFont="1" applyFill="1" applyBorder="1" applyProtection="1">
      <protection locked="0"/>
    </xf>
    <xf numFmtId="0" fontId="93" fillId="3" borderId="3" xfId="9" applyFont="1" applyFill="1" applyBorder="1" applyAlignment="1" applyProtection="1">
      <alignment horizontal="left" vertical="center"/>
      <protection locked="0"/>
    </xf>
    <xf numFmtId="0" fontId="91" fillId="3" borderId="3" xfId="20961" applyFont="1" applyFill="1" applyBorder="1" applyAlignment="1" applyProtection="1"/>
    <xf numFmtId="3" fontId="45" fillId="36" borderId="25" xfId="16" applyNumberFormat="1" applyFont="1" applyFill="1" applyBorder="1" applyAlignment="1" applyProtection="1">
      <protection locked="0"/>
    </xf>
    <xf numFmtId="193" fontId="45" fillId="36" borderId="25" xfId="1" applyNumberFormat="1" applyFont="1" applyFill="1" applyBorder="1" applyAlignment="1" applyProtection="1">
      <protection locked="0"/>
    </xf>
    <xf numFmtId="193" fontId="2" fillId="3" borderId="25" xfId="5" applyNumberFormat="1" applyFont="1" applyFill="1" applyBorder="1" applyProtection="1">
      <protection locked="0"/>
    </xf>
    <xf numFmtId="164" fontId="45" fillId="36" borderId="26" xfId="1" applyNumberFormat="1" applyFont="1" applyFill="1" applyBorder="1" applyAlignment="1" applyProtection="1">
      <protection locked="0"/>
    </xf>
    <xf numFmtId="193" fontId="84" fillId="0" borderId="0" xfId="0" applyNumberFormat="1" applyFont="1"/>
    <xf numFmtId="0" fontId="84" fillId="0" borderId="21" xfId="0" applyFont="1" applyFill="1" applyBorder="1" applyAlignment="1">
      <alignment horizontal="center" vertical="center"/>
    </xf>
    <xf numFmtId="0" fontId="84" fillId="0" borderId="24" xfId="0" applyFont="1" applyFill="1" applyBorder="1" applyAlignment="1">
      <alignment horizontal="center" vertical="center"/>
    </xf>
    <xf numFmtId="0" fontId="45" fillId="0" borderId="28" xfId="0" applyNumberFormat="1" applyFont="1" applyFill="1" applyBorder="1" applyAlignment="1">
      <alignment vertical="center" wrapText="1"/>
    </xf>
    <xf numFmtId="0" fontId="91"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4" fillId="0" borderId="0" xfId="0" applyFont="1" applyBorder="1" applyAlignment="1">
      <alignment wrapText="1"/>
    </xf>
    <xf numFmtId="0" fontId="2" fillId="3" borderId="3" xfId="20960"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5" xfId="0" applyFont="1" applyBorder="1" applyAlignment="1">
      <alignment vertical="center" wrapText="1"/>
    </xf>
    <xf numFmtId="0" fontId="45" fillId="0" borderId="0" xfId="0" applyFont="1" applyAlignment="1">
      <alignment horizontal="center"/>
    </xf>
    <xf numFmtId="0" fontId="84" fillId="0" borderId="0" xfId="0" applyFont="1" applyAlignment="1">
      <alignment horizontal="left" indent="1"/>
    </xf>
    <xf numFmtId="0" fontId="2" fillId="0" borderId="18" xfId="11" applyFont="1" applyFill="1" applyBorder="1" applyAlignment="1" applyProtection="1">
      <alignment vertical="center"/>
    </xf>
    <xf numFmtId="0" fontId="2" fillId="0" borderId="19" xfId="11" applyFont="1" applyFill="1" applyBorder="1" applyAlignment="1" applyProtection="1">
      <alignment vertical="center"/>
    </xf>
    <xf numFmtId="193" fontId="86" fillId="36" borderId="25" xfId="0" applyNumberFormat="1" applyFont="1" applyFill="1" applyBorder="1" applyAlignment="1">
      <alignment horizontal="center" vertical="center"/>
    </xf>
    <xf numFmtId="0" fontId="86" fillId="36" borderId="25" xfId="0" applyFont="1" applyFill="1" applyBorder="1" applyAlignment="1">
      <alignment wrapText="1"/>
    </xf>
    <xf numFmtId="0" fontId="84" fillId="0" borderId="18" xfId="0" applyFont="1" applyBorder="1" applyAlignment="1">
      <alignment horizontal="center" vertical="center"/>
    </xf>
    <xf numFmtId="0" fontId="84" fillId="0" borderId="0" xfId="0" applyFont="1" applyAlignment="1"/>
    <xf numFmtId="0" fontId="45" fillId="0" borderId="0" xfId="11" applyFont="1" applyFill="1" applyBorder="1" applyAlignment="1" applyProtection="1">
      <alignment horizontal="center"/>
    </xf>
    <xf numFmtId="0" fontId="84" fillId="0" borderId="11" xfId="0" applyFont="1" applyBorder="1" applyAlignment="1">
      <alignment horizontal="left" wrapText="1" indent="1"/>
    </xf>
    <xf numFmtId="0" fontId="88" fillId="0" borderId="11" xfId="0" applyFont="1" applyBorder="1" applyAlignment="1">
      <alignment horizontal="left" wrapText="1" indent="1"/>
    </xf>
    <xf numFmtId="0" fontId="88" fillId="0" borderId="11" xfId="0" applyFont="1" applyFill="1" applyBorder="1" applyAlignment="1">
      <alignment horizontal="right" wrapText="1"/>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8" xfId="0" applyFont="1" applyBorder="1" applyAlignment="1">
      <alignment horizontal="center" vertical="center" wrapText="1"/>
    </xf>
    <xf numFmtId="0" fontId="84" fillId="0" borderId="19" xfId="0" applyFont="1" applyFill="1" applyBorder="1" applyAlignment="1">
      <alignment horizontal="left" vertical="center" wrapText="1" indent="2"/>
    </xf>
    <xf numFmtId="0" fontId="95" fillId="0" borderId="0" xfId="11" applyFont="1" applyFill="1" applyBorder="1" applyAlignment="1" applyProtection="1"/>
    <xf numFmtId="0" fontId="96"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11" xfId="0" applyFont="1" applyFill="1" applyBorder="1" applyAlignment="1">
      <alignment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22" xfId="1" applyNumberFormat="1" applyFont="1" applyFill="1" applyBorder="1" applyAlignment="1" applyProtection="1">
      <alignment horizontal="center" vertical="center" wrapText="1"/>
      <protection locked="0"/>
    </xf>
    <xf numFmtId="0" fontId="3" fillId="0" borderId="58" xfId="0" applyFont="1" applyBorder="1"/>
    <xf numFmtId="0" fontId="3" fillId="0" borderId="59" xfId="0" applyFont="1" applyBorder="1"/>
    <xf numFmtId="0" fontId="3" fillId="0" borderId="19"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center" vertical="center"/>
    </xf>
    <xf numFmtId="0" fontId="98" fillId="0" borderId="0" xfId="0" applyFont="1"/>
    <xf numFmtId="0" fontId="3" fillId="0" borderId="69" xfId="0" applyFont="1" applyBorder="1"/>
    <xf numFmtId="0" fontId="3" fillId="0" borderId="0" xfId="0" applyFont="1"/>
    <xf numFmtId="0" fontId="3" fillId="0" borderId="19" xfId="0" applyFont="1" applyBorder="1" applyAlignment="1">
      <alignment wrapText="1"/>
    </xf>
    <xf numFmtId="0" fontId="3" fillId="0" borderId="29" xfId="0" applyFont="1" applyBorder="1" applyAlignment="1">
      <alignment wrapText="1"/>
    </xf>
    <xf numFmtId="0" fontId="3" fillId="0" borderId="20" xfId="0" applyFont="1" applyBorder="1" applyAlignment="1">
      <alignment wrapText="1"/>
    </xf>
    <xf numFmtId="0" fontId="3" fillId="0" borderId="3" xfId="0" applyFont="1" applyFill="1" applyBorder="1" applyAlignment="1">
      <alignment horizontal="center" vertical="center" wrapText="1"/>
    </xf>
    <xf numFmtId="193" fontId="3" fillId="0" borderId="3" xfId="0" applyNumberFormat="1" applyFont="1" applyBorder="1"/>
    <xf numFmtId="193" fontId="3" fillId="0" borderId="3" xfId="0" applyNumberFormat="1" applyFont="1" applyFill="1" applyBorder="1"/>
    <xf numFmtId="193" fontId="3" fillId="0" borderId="8" xfId="0" applyNumberFormat="1" applyFont="1" applyBorder="1"/>
    <xf numFmtId="0" fontId="86" fillId="0" borderId="0" xfId="0" applyFont="1" applyFill="1" applyBorder="1" applyAlignment="1">
      <alignment horizontal="center" wrapText="1"/>
    </xf>
    <xf numFmtId="0" fontId="84" fillId="0" borderId="0" xfId="0" applyFont="1" applyFill="1" applyBorder="1" applyAlignment="1">
      <alignment vertical="center" wrapText="1"/>
    </xf>
    <xf numFmtId="0" fontId="84" fillId="0" borderId="75" xfId="0" applyFont="1" applyFill="1" applyBorder="1" applyAlignment="1">
      <alignment vertical="center" wrapText="1"/>
    </xf>
    <xf numFmtId="0" fontId="84" fillId="0" borderId="21" xfId="0" applyFont="1" applyFill="1" applyBorder="1"/>
    <xf numFmtId="0" fontId="84" fillId="0" borderId="21" xfId="0" applyFont="1" applyFill="1" applyBorder="1" applyAlignment="1">
      <alignment horizontal="center"/>
    </xf>
    <xf numFmtId="167" fontId="85" fillId="0" borderId="0" xfId="0" applyNumberFormat="1" applyFont="1" applyFill="1"/>
    <xf numFmtId="193" fontId="86" fillId="36" borderId="25"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83" xfId="0" applyFont="1" applyFill="1" applyBorder="1" applyAlignment="1">
      <alignment wrapText="1"/>
    </xf>
    <xf numFmtId="193" fontId="2" fillId="0" borderId="3" xfId="0" applyNumberFormat="1" applyFont="1" applyFill="1" applyBorder="1" applyAlignment="1" applyProtection="1">
      <alignment horizontal="right" vertical="center" wrapText="1"/>
      <protection locked="0"/>
    </xf>
    <xf numFmtId="193" fontId="45" fillId="0" borderId="3" xfId="0" applyNumberFormat="1" applyFont="1" applyFill="1" applyBorder="1" applyAlignment="1" applyProtection="1">
      <alignment horizontal="right" vertical="center" wrapText="1"/>
      <protection locked="0"/>
    </xf>
    <xf numFmtId="0" fontId="97" fillId="0" borderId="0" xfId="0" applyFont="1" applyAlignment="1">
      <alignment wrapText="1"/>
    </xf>
    <xf numFmtId="0" fontId="2" fillId="0" borderId="0" xfId="0" applyFont="1" applyAlignment="1">
      <alignment wrapText="1"/>
    </xf>
    <xf numFmtId="0" fontId="3" fillId="0" borderId="0" xfId="0" applyFont="1" applyFill="1"/>
    <xf numFmtId="0" fontId="100" fillId="3" borderId="85" xfId="0" applyFont="1" applyFill="1" applyBorder="1" applyAlignment="1">
      <alignment horizontal="left"/>
    </xf>
    <xf numFmtId="0" fontId="3" fillId="0" borderId="73" xfId="0" applyFont="1" applyFill="1" applyBorder="1" applyAlignment="1">
      <alignment horizontal="center" vertical="center"/>
    </xf>
    <xf numFmtId="169" fontId="9" fillId="37" borderId="0" xfId="20" applyBorder="1"/>
    <xf numFmtId="0" fontId="3" fillId="0" borderId="90" xfId="0" applyFont="1" applyFill="1" applyBorder="1" applyAlignment="1">
      <alignment vertical="center"/>
    </xf>
    <xf numFmtId="0" fontId="3" fillId="0" borderId="21" xfId="0" applyFont="1" applyFill="1" applyBorder="1" applyAlignment="1">
      <alignment horizontal="center" vertical="center"/>
    </xf>
    <xf numFmtId="0" fontId="3" fillId="0" borderId="24" xfId="0" applyFont="1" applyFill="1" applyBorder="1" applyAlignment="1">
      <alignment horizontal="center" vertical="center"/>
    </xf>
    <xf numFmtId="0" fontId="3" fillId="3" borderId="69" xfId="0" applyFont="1" applyFill="1" applyBorder="1" applyAlignment="1">
      <alignment horizontal="center" vertical="center"/>
    </xf>
    <xf numFmtId="0" fontId="3" fillId="3" borderId="0" xfId="0" applyFont="1" applyFill="1" applyBorder="1" applyAlignment="1">
      <alignment vertical="center"/>
    </xf>
    <xf numFmtId="0" fontId="3" fillId="0" borderId="18" xfId="0" applyFont="1" applyFill="1" applyBorder="1" applyAlignment="1">
      <alignment horizontal="center" vertical="center"/>
    </xf>
    <xf numFmtId="0" fontId="3" fillId="0" borderId="19" xfId="0" applyFont="1" applyFill="1" applyBorder="1" applyAlignment="1">
      <alignment vertical="center"/>
    </xf>
    <xf numFmtId="169" fontId="9" fillId="37" borderId="59" xfId="20" applyBorder="1"/>
    <xf numFmtId="169" fontId="9" fillId="37" borderId="27" xfId="20" applyBorder="1"/>
    <xf numFmtId="169" fontId="9" fillId="37" borderId="92" xfId="20" applyBorder="1"/>
    <xf numFmtId="169" fontId="9" fillId="37" borderId="28" xfId="20" applyBorder="1"/>
    <xf numFmtId="0" fontId="3" fillId="0" borderId="94" xfId="0" applyFont="1" applyFill="1" applyBorder="1" applyAlignment="1">
      <alignment horizontal="center" vertical="center"/>
    </xf>
    <xf numFmtId="0" fontId="3" fillId="0" borderId="95" xfId="0" applyFont="1" applyFill="1" applyBorder="1" applyAlignment="1">
      <alignment vertical="center"/>
    </xf>
    <xf numFmtId="169" fontId="9" fillId="37" borderId="33" xfId="20" applyBorder="1"/>
    <xf numFmtId="0" fontId="4" fillId="0" borderId="0" xfId="0" applyFont="1" applyFill="1" applyAlignment="1">
      <alignment horizontal="center"/>
    </xf>
    <xf numFmtId="0" fontId="86" fillId="0" borderId="86" xfId="0" applyFont="1" applyFill="1" applyBorder="1" applyAlignment="1">
      <alignment horizontal="center" vertical="center" wrapText="1"/>
    </xf>
    <xf numFmtId="0" fontId="86" fillId="0" borderId="87" xfId="0" applyFont="1" applyFill="1" applyBorder="1" applyAlignment="1">
      <alignment horizontal="center" vertical="center" wrapText="1"/>
    </xf>
    <xf numFmtId="0" fontId="84" fillId="0" borderId="86" xfId="0" applyFont="1" applyFill="1" applyBorder="1"/>
    <xf numFmtId="193" fontId="84" fillId="0" borderId="86" xfId="0" applyNumberFormat="1" applyFont="1" applyFill="1" applyBorder="1" applyAlignment="1">
      <alignment horizontal="center" vertical="center"/>
    </xf>
    <xf numFmtId="193" fontId="84" fillId="0" borderId="87" xfId="0" applyNumberFormat="1" applyFont="1" applyFill="1" applyBorder="1" applyAlignment="1">
      <alignment horizontal="center" vertical="center"/>
    </xf>
    <xf numFmtId="0" fontId="84" fillId="0" borderId="86" xfId="0" applyFont="1" applyFill="1" applyBorder="1" applyAlignment="1">
      <alignment horizontal="left" indent="1"/>
    </xf>
    <xf numFmtId="193" fontId="88" fillId="0" borderId="86" xfId="0" applyNumberFormat="1" applyFont="1" applyFill="1" applyBorder="1" applyAlignment="1">
      <alignment horizontal="center" vertical="center"/>
    </xf>
    <xf numFmtId="0" fontId="88" fillId="0" borderId="86" xfId="0" applyFont="1" applyFill="1" applyBorder="1" applyAlignment="1">
      <alignment horizontal="left" indent="1"/>
    </xf>
    <xf numFmtId="193" fontId="86" fillId="36" borderId="26" xfId="0" applyNumberFormat="1" applyFont="1" applyFill="1" applyBorder="1" applyAlignment="1">
      <alignment horizontal="center" vertical="center"/>
    </xf>
    <xf numFmtId="0" fontId="4" fillId="36" borderId="19" xfId="0" applyFont="1" applyFill="1" applyBorder="1" applyAlignment="1">
      <alignment horizontal="center" vertical="center" wrapText="1"/>
    </xf>
    <xf numFmtId="0" fontId="4" fillId="36" borderId="20" xfId="0" applyFont="1" applyFill="1" applyBorder="1" applyAlignment="1">
      <alignment horizontal="center" vertical="center" wrapText="1"/>
    </xf>
    <xf numFmtId="0" fontId="4" fillId="36" borderId="21" xfId="0" applyFont="1" applyFill="1" applyBorder="1" applyAlignment="1">
      <alignment horizontal="left" vertical="center" wrapText="1"/>
    </xf>
    <xf numFmtId="0" fontId="4" fillId="36" borderId="87" xfId="0" applyFont="1" applyFill="1" applyBorder="1" applyAlignment="1">
      <alignment horizontal="left" vertical="center" wrapText="1"/>
    </xf>
    <xf numFmtId="0" fontId="3" fillId="0" borderId="21" xfId="0" applyFont="1" applyFill="1" applyBorder="1" applyAlignment="1">
      <alignment horizontal="right" vertical="center" wrapText="1"/>
    </xf>
    <xf numFmtId="0" fontId="101" fillId="0" borderId="21" xfId="0" applyFont="1" applyFill="1" applyBorder="1" applyAlignment="1">
      <alignment horizontal="right" vertical="center" wrapText="1"/>
    </xf>
    <xf numFmtId="0" fontId="4" fillId="0" borderId="21"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1" fillId="0" borderId="0" xfId="0" applyFont="1" applyFill="1" applyAlignment="1">
      <alignment horizontal="left" vertical="center"/>
    </xf>
    <xf numFmtId="49" fontId="102" fillId="0" borderId="24" xfId="5" applyNumberFormat="1" applyFont="1" applyFill="1" applyBorder="1" applyAlignment="1" applyProtection="1">
      <alignment horizontal="left" vertical="center"/>
      <protection locked="0"/>
    </xf>
    <xf numFmtId="0" fontId="103" fillId="0" borderId="25" xfId="9" applyFont="1" applyFill="1" applyBorder="1" applyAlignment="1" applyProtection="1">
      <alignment horizontal="left" vertical="center" wrapText="1"/>
      <protection locked="0"/>
    </xf>
    <xf numFmtId="0" fontId="6" fillId="0" borderId="86" xfId="17" applyFill="1" applyBorder="1" applyAlignment="1" applyProtection="1"/>
    <xf numFmtId="49" fontId="84" fillId="0" borderId="86"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7" borderId="102" xfId="20964" applyFont="1" applyFill="1" applyBorder="1" applyAlignment="1">
      <alignment vertical="center"/>
    </xf>
    <xf numFmtId="0" fontId="45" fillId="77" borderId="103" xfId="20964" applyFont="1" applyFill="1" applyBorder="1" applyAlignment="1">
      <alignment vertical="center"/>
    </xf>
    <xf numFmtId="0" fontId="45" fillId="77" borderId="100" xfId="20964" applyFont="1" applyFill="1" applyBorder="1" applyAlignment="1">
      <alignment vertical="center"/>
    </xf>
    <xf numFmtId="0" fontId="105" fillId="70" borderId="99" xfId="20964" applyFont="1" applyFill="1" applyBorder="1" applyAlignment="1">
      <alignment horizontal="center" vertical="center"/>
    </xf>
    <xf numFmtId="0" fontId="105" fillId="70" borderId="100" xfId="20964" applyFont="1" applyFill="1" applyBorder="1" applyAlignment="1">
      <alignment horizontal="left" vertical="center" wrapText="1"/>
    </xf>
    <xf numFmtId="164" fontId="105" fillId="0" borderId="101" xfId="7" applyNumberFormat="1" applyFont="1" applyFill="1" applyBorder="1" applyAlignment="1" applyProtection="1">
      <alignment horizontal="right" vertical="center"/>
      <protection locked="0"/>
    </xf>
    <xf numFmtId="0" fontId="104" fillId="78" borderId="101" xfId="20964" applyFont="1" applyFill="1" applyBorder="1" applyAlignment="1">
      <alignment horizontal="center" vertical="center"/>
    </xf>
    <xf numFmtId="0" fontId="104" fillId="78" borderId="103" xfId="20964" applyFont="1" applyFill="1" applyBorder="1" applyAlignment="1">
      <alignment vertical="top" wrapText="1"/>
    </xf>
    <xf numFmtId="164" fontId="45" fillId="77" borderId="100" xfId="7" applyNumberFormat="1" applyFont="1" applyFill="1" applyBorder="1" applyAlignment="1">
      <alignment horizontal="right" vertical="center"/>
    </xf>
    <xf numFmtId="0" fontId="106" fillId="70" borderId="99" xfId="20964" applyFont="1" applyFill="1" applyBorder="1" applyAlignment="1">
      <alignment horizontal="center" vertical="center"/>
    </xf>
    <xf numFmtId="0" fontId="105" fillId="70" borderId="103" xfId="20964" applyFont="1" applyFill="1" applyBorder="1" applyAlignment="1">
      <alignment vertical="center" wrapText="1"/>
    </xf>
    <xf numFmtId="0" fontId="105" fillId="70" borderId="100" xfId="20964" applyFont="1" applyFill="1" applyBorder="1" applyAlignment="1">
      <alignment horizontal="left" vertical="center"/>
    </xf>
    <xf numFmtId="0" fontId="106" fillId="3" borderId="99" xfId="20964" applyFont="1" applyFill="1" applyBorder="1" applyAlignment="1">
      <alignment horizontal="center" vertical="center"/>
    </xf>
    <xf numFmtId="0" fontId="105" fillId="3" borderId="100" xfId="20964" applyFont="1" applyFill="1" applyBorder="1" applyAlignment="1">
      <alignment horizontal="left" vertical="center"/>
    </xf>
    <xf numFmtId="0" fontId="106" fillId="0" borderId="99" xfId="20964" applyFont="1" applyFill="1" applyBorder="1" applyAlignment="1">
      <alignment horizontal="center" vertical="center"/>
    </xf>
    <xf numFmtId="0" fontId="105" fillId="0" borderId="100" xfId="20964" applyFont="1" applyFill="1" applyBorder="1" applyAlignment="1">
      <alignment horizontal="left" vertical="center"/>
    </xf>
    <xf numFmtId="0" fontId="107" fillId="78" borderId="101" xfId="20964" applyFont="1" applyFill="1" applyBorder="1" applyAlignment="1">
      <alignment horizontal="center" vertical="center"/>
    </xf>
    <xf numFmtId="0" fontId="104" fillId="78" borderId="103" xfId="20964" applyFont="1" applyFill="1" applyBorder="1" applyAlignment="1">
      <alignment vertical="center"/>
    </xf>
    <xf numFmtId="164" fontId="105" fillId="78" borderId="101" xfId="7" applyNumberFormat="1" applyFont="1" applyFill="1" applyBorder="1" applyAlignment="1" applyProtection="1">
      <alignment horizontal="right" vertical="center"/>
      <protection locked="0"/>
    </xf>
    <xf numFmtId="0" fontId="104" fillId="77" borderId="102" xfId="20964" applyFont="1" applyFill="1" applyBorder="1" applyAlignment="1">
      <alignment vertical="center"/>
    </xf>
    <xf numFmtId="0" fontId="104" fillId="77" borderId="103" xfId="20964" applyFont="1" applyFill="1" applyBorder="1" applyAlignment="1">
      <alignment vertical="center"/>
    </xf>
    <xf numFmtId="164" fontId="104" fillId="77" borderId="100" xfId="7" applyNumberFormat="1" applyFont="1" applyFill="1" applyBorder="1" applyAlignment="1">
      <alignment horizontal="right" vertical="center"/>
    </xf>
    <xf numFmtId="0" fontId="109" fillId="3" borderId="99" xfId="20964" applyFont="1" applyFill="1" applyBorder="1" applyAlignment="1">
      <alignment horizontal="center" vertical="center"/>
    </xf>
    <xf numFmtId="0" fontId="110" fillId="78" borderId="101" xfId="20964" applyFont="1" applyFill="1" applyBorder="1" applyAlignment="1">
      <alignment horizontal="center" vertical="center"/>
    </xf>
    <xf numFmtId="0" fontId="45" fillId="78" borderId="103" xfId="20964" applyFont="1" applyFill="1" applyBorder="1" applyAlignment="1">
      <alignment vertical="center"/>
    </xf>
    <xf numFmtId="0" fontId="109" fillId="70" borderId="99" xfId="20964" applyFont="1" applyFill="1" applyBorder="1" applyAlignment="1">
      <alignment horizontal="center" vertical="center"/>
    </xf>
    <xf numFmtId="164" fontId="105" fillId="3" borderId="101" xfId="7" applyNumberFormat="1" applyFont="1" applyFill="1" applyBorder="1" applyAlignment="1" applyProtection="1">
      <alignment horizontal="right" vertical="center"/>
      <protection locked="0"/>
    </xf>
    <xf numFmtId="0" fontId="110" fillId="3" borderId="101" xfId="20964" applyFont="1" applyFill="1" applyBorder="1" applyAlignment="1">
      <alignment horizontal="center" vertical="center"/>
    </xf>
    <xf numFmtId="0" fontId="45" fillId="3" borderId="103" xfId="20964" applyFont="1" applyFill="1" applyBorder="1" applyAlignment="1">
      <alignment vertical="center"/>
    </xf>
    <xf numFmtId="0" fontId="106" fillId="70" borderId="101" xfId="20964" applyFont="1" applyFill="1" applyBorder="1" applyAlignment="1">
      <alignment horizontal="center" vertical="center"/>
    </xf>
    <xf numFmtId="0" fontId="19" fillId="70" borderId="101" xfId="20964" applyFont="1" applyFill="1" applyBorder="1" applyAlignment="1">
      <alignment horizontal="center" vertical="center"/>
    </xf>
    <xf numFmtId="10" fontId="103" fillId="0" borderId="25" xfId="20962" applyNumberFormat="1" applyFont="1" applyFill="1" applyBorder="1" applyAlignment="1" applyProtection="1">
      <alignment horizontal="left" vertical="center"/>
    </xf>
    <xf numFmtId="0" fontId="4" fillId="36" borderId="87" xfId="0" applyFont="1" applyFill="1" applyBorder="1" applyAlignment="1">
      <alignment horizontal="center" vertical="center" wrapText="1"/>
    </xf>
    <xf numFmtId="0" fontId="84" fillId="0" borderId="101" xfId="0" applyFont="1" applyBorder="1"/>
    <xf numFmtId="0" fontId="6" fillId="0" borderId="101" xfId="17" applyFill="1" applyBorder="1" applyAlignment="1" applyProtection="1">
      <alignment horizontal="left" vertical="center"/>
    </xf>
    <xf numFmtId="0" fontId="6" fillId="0" borderId="101" xfId="17" applyBorder="1" applyAlignment="1" applyProtection="1"/>
    <xf numFmtId="0" fontId="84" fillId="0" borderId="101" xfId="0" applyFont="1" applyFill="1" applyBorder="1"/>
    <xf numFmtId="0" fontId="6" fillId="0" borderId="101" xfId="17" applyFill="1" applyBorder="1" applyAlignment="1" applyProtection="1">
      <alignment horizontal="left" vertical="center" wrapText="1"/>
    </xf>
    <xf numFmtId="0" fontId="6" fillId="0" borderId="101" xfId="17" applyFill="1" applyBorder="1" applyAlignment="1" applyProtection="1"/>
    <xf numFmtId="0" fontId="45" fillId="0" borderId="19" xfId="0" applyFont="1" applyBorder="1" applyAlignment="1">
      <alignment horizontal="center" vertical="center" wrapText="1"/>
    </xf>
    <xf numFmtId="0" fontId="45" fillId="0" borderId="20" xfId="0" applyFont="1" applyBorder="1" applyAlignment="1">
      <alignment horizontal="center" vertical="center" wrapText="1"/>
    </xf>
    <xf numFmtId="0" fontId="2" fillId="0" borderId="3" xfId="0" applyFont="1" applyBorder="1" applyAlignment="1">
      <alignment wrapText="1"/>
    </xf>
    <xf numFmtId="0" fontId="84" fillId="0" borderId="22" xfId="0" applyFont="1" applyBorder="1" applyAlignment="1"/>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14" fontId="2" fillId="0" borderId="0" xfId="0" applyNumberFormat="1" applyFont="1"/>
    <xf numFmtId="169" fontId="2" fillId="37" borderId="0" xfId="20" applyFont="1" applyBorder="1"/>
    <xf numFmtId="169" fontId="2" fillId="37" borderId="98" xfId="20" applyFont="1" applyBorder="1"/>
    <xf numFmtId="0" fontId="2" fillId="0" borderId="21" xfId="0" applyFont="1" applyFill="1" applyBorder="1" applyAlignment="1">
      <alignment horizontal="right" vertical="center" wrapText="1"/>
    </xf>
    <xf numFmtId="0" fontId="2" fillId="2" borderId="21" xfId="0" applyFont="1" applyFill="1" applyBorder="1" applyAlignment="1">
      <alignment horizontal="right" vertical="center"/>
    </xf>
    <xf numFmtId="0" fontId="45" fillId="0" borderId="21" xfId="0" applyFont="1" applyFill="1" applyBorder="1" applyAlignment="1">
      <alignment horizontal="center" vertical="center" wrapText="1"/>
    </xf>
    <xf numFmtId="0" fontId="2" fillId="2" borderId="24"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8" xfId="0" applyFont="1" applyFill="1" applyBorder="1"/>
    <xf numFmtId="0" fontId="3" fillId="3" borderId="104" xfId="0" applyFont="1" applyFill="1" applyBorder="1" applyAlignment="1">
      <alignment wrapText="1"/>
    </xf>
    <xf numFmtId="0" fontId="3" fillId="3" borderId="105" xfId="0" applyFont="1" applyFill="1" applyBorder="1"/>
    <xf numFmtId="0" fontId="4" fillId="3" borderId="82" xfId="0" applyFont="1" applyFill="1" applyBorder="1" applyAlignment="1">
      <alignment horizontal="center" wrapText="1"/>
    </xf>
    <xf numFmtId="0" fontId="3" fillId="0" borderId="101" xfId="0" applyFont="1" applyFill="1" applyBorder="1" applyAlignment="1">
      <alignment horizontal="center"/>
    </xf>
    <xf numFmtId="0" fontId="3" fillId="0" borderId="101" xfId="0" applyFont="1" applyBorder="1" applyAlignment="1">
      <alignment horizontal="center"/>
    </xf>
    <xf numFmtId="0" fontId="3" fillId="3" borderId="69"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98" xfId="0" applyFont="1" applyFill="1" applyBorder="1" applyAlignment="1">
      <alignment horizontal="center" vertical="center" wrapText="1"/>
    </xf>
    <xf numFmtId="0" fontId="3" fillId="0" borderId="21" xfId="0" applyFont="1" applyBorder="1"/>
    <xf numFmtId="0" fontId="3" fillId="0" borderId="101" xfId="0" applyFont="1" applyBorder="1" applyAlignment="1">
      <alignment wrapText="1"/>
    </xf>
    <xf numFmtId="164" fontId="3" fillId="0" borderId="101" xfId="7" applyNumberFormat="1" applyFont="1" applyBorder="1"/>
    <xf numFmtId="164" fontId="3" fillId="0" borderId="87" xfId="7" applyNumberFormat="1" applyFont="1" applyBorder="1"/>
    <xf numFmtId="0" fontId="100" fillId="0" borderId="101" xfId="0" applyFont="1" applyBorder="1" applyAlignment="1">
      <alignment horizontal="left" wrapText="1" indent="2"/>
    </xf>
    <xf numFmtId="169" fontId="9" fillId="37" borderId="101" xfId="20" applyBorder="1"/>
    <xf numFmtId="164" fontId="3" fillId="0" borderId="101" xfId="7" applyNumberFormat="1" applyFont="1" applyBorder="1" applyAlignment="1">
      <alignment vertical="center"/>
    </xf>
    <xf numFmtId="0" fontId="4" fillId="0" borderId="21" xfId="0" applyFont="1" applyBorder="1"/>
    <xf numFmtId="0" fontId="4" fillId="0" borderId="101" xfId="0" applyFont="1" applyBorder="1" applyAlignment="1">
      <alignment wrapText="1"/>
    </xf>
    <xf numFmtId="164" fontId="4" fillId="0" borderId="87" xfId="7" applyNumberFormat="1" applyFont="1" applyBorder="1"/>
    <xf numFmtId="0" fontId="111" fillId="3" borderId="69" xfId="0" applyFont="1" applyFill="1" applyBorder="1" applyAlignment="1">
      <alignment horizontal="left"/>
    </xf>
    <xf numFmtId="0" fontId="111" fillId="3" borderId="0" xfId="0" applyFont="1" applyFill="1" applyBorder="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98" xfId="7" applyNumberFormat="1" applyFont="1" applyFill="1" applyBorder="1"/>
    <xf numFmtId="164" fontId="3" fillId="0" borderId="101" xfId="7" applyNumberFormat="1" applyFont="1" applyFill="1" applyBorder="1"/>
    <xf numFmtId="164" fontId="3" fillId="0" borderId="101" xfId="7" applyNumberFormat="1" applyFont="1" applyFill="1" applyBorder="1" applyAlignment="1">
      <alignment vertical="center"/>
    </xf>
    <xf numFmtId="0" fontId="100" fillId="0" borderId="101"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98" xfId="0" applyFont="1" applyFill="1" applyBorder="1"/>
    <xf numFmtId="0" fontId="4" fillId="0" borderId="24" xfId="0" applyFont="1" applyBorder="1"/>
    <xf numFmtId="0" fontId="4" fillId="0" borderId="25" xfId="0" applyFont="1" applyBorder="1" applyAlignment="1">
      <alignment wrapText="1"/>
    </xf>
    <xf numFmtId="10" fontId="4" fillId="0" borderId="26" xfId="20962" applyNumberFormat="1" applyFont="1" applyBorder="1"/>
    <xf numFmtId="0" fontId="2" fillId="2" borderId="91" xfId="0" applyFont="1" applyFill="1" applyBorder="1" applyAlignment="1">
      <alignment horizontal="right" vertical="center"/>
    </xf>
    <xf numFmtId="0" fontId="2" fillId="0" borderId="99" xfId="0" applyFont="1" applyBorder="1" applyAlignment="1">
      <alignment vertical="center" wrapText="1"/>
    </xf>
    <xf numFmtId="193" fontId="2" fillId="2" borderId="99" xfId="0" applyNumberFormat="1" applyFont="1" applyFill="1" applyBorder="1" applyAlignment="1" applyProtection="1">
      <alignment vertical="center"/>
      <protection locked="0"/>
    </xf>
    <xf numFmtId="193" fontId="87" fillId="2" borderId="99" xfId="0" applyNumberFormat="1" applyFont="1" applyFill="1" applyBorder="1" applyAlignment="1" applyProtection="1">
      <alignment vertical="center"/>
      <protection locked="0"/>
    </xf>
    <xf numFmtId="193" fontId="87" fillId="2" borderId="93" xfId="0" applyNumberFormat="1" applyFont="1" applyFill="1" applyBorder="1" applyAlignment="1" applyProtection="1">
      <alignment vertical="center"/>
      <protection locked="0"/>
    </xf>
    <xf numFmtId="0" fontId="112" fillId="0" borderId="0" xfId="11" applyFont="1" applyFill="1" applyBorder="1" applyProtection="1"/>
    <xf numFmtId="0" fontId="112" fillId="0" borderId="0" xfId="11" applyFont="1" applyFill="1" applyBorder="1" applyAlignment="1" applyProtection="1"/>
    <xf numFmtId="0" fontId="114" fillId="0" borderId="0" xfId="11" applyFont="1" applyFill="1" applyBorder="1" applyAlignment="1" applyProtection="1"/>
    <xf numFmtId="0" fontId="117" fillId="0" borderId="116" xfId="13" applyFont="1" applyFill="1" applyBorder="1" applyAlignment="1" applyProtection="1">
      <alignment horizontal="left" vertical="center" wrapText="1"/>
      <protection locked="0"/>
    </xf>
    <xf numFmtId="49" fontId="117" fillId="0" borderId="116" xfId="5" applyNumberFormat="1" applyFont="1" applyFill="1" applyBorder="1" applyAlignment="1" applyProtection="1">
      <alignment horizontal="right" vertical="center"/>
      <protection locked="0"/>
    </xf>
    <xf numFmtId="49" fontId="118" fillId="0" borderId="116" xfId="5" applyNumberFormat="1" applyFont="1" applyFill="1" applyBorder="1" applyAlignment="1" applyProtection="1">
      <alignment horizontal="right" vertical="center"/>
      <protection locked="0"/>
    </xf>
    <xf numFmtId="0" fontId="113" fillId="0" borderId="116" xfId="0" applyFont="1" applyFill="1" applyBorder="1"/>
    <xf numFmtId="49" fontId="117" fillId="0" borderId="116" xfId="5" applyNumberFormat="1" applyFont="1" applyFill="1" applyBorder="1" applyAlignment="1" applyProtection="1">
      <alignment horizontal="right" vertical="center" wrapText="1"/>
      <protection locked="0"/>
    </xf>
    <xf numFmtId="49" fontId="118" fillId="0" borderId="116" xfId="5" applyNumberFormat="1" applyFont="1" applyFill="1" applyBorder="1" applyAlignment="1" applyProtection="1">
      <alignment horizontal="right" vertical="center" wrapText="1"/>
      <protection locked="0"/>
    </xf>
    <xf numFmtId="0" fontId="113" fillId="0" borderId="0" xfId="0" applyFont="1" applyFill="1"/>
    <xf numFmtId="0" fontId="112" fillId="0" borderId="116" xfId="0" applyNumberFormat="1" applyFont="1" applyFill="1" applyBorder="1" applyAlignment="1">
      <alignment horizontal="left" vertical="center" wrapText="1"/>
    </xf>
    <xf numFmtId="0" fontId="116" fillId="0" borderId="116" xfId="0" applyFont="1" applyFill="1" applyBorder="1"/>
    <xf numFmtId="0" fontId="113" fillId="0" borderId="0" xfId="0" applyFont="1" applyFill="1" applyBorder="1"/>
    <xf numFmtId="0" fontId="115" fillId="0" borderId="116" xfId="0" applyFont="1" applyFill="1" applyBorder="1" applyAlignment="1">
      <alignment horizontal="left" indent="1"/>
    </xf>
    <xf numFmtId="0" fontId="115" fillId="0" borderId="116" xfId="0" applyFont="1" applyFill="1" applyBorder="1" applyAlignment="1">
      <alignment horizontal="left" wrapText="1" indent="1"/>
    </xf>
    <xf numFmtId="0" fontId="112" fillId="0" borderId="116" xfId="0" applyFont="1" applyFill="1" applyBorder="1" applyAlignment="1">
      <alignment horizontal="left" indent="1"/>
    </xf>
    <xf numFmtId="0" fontId="112" fillId="0" borderId="116" xfId="0" applyNumberFormat="1" applyFont="1" applyFill="1" applyBorder="1" applyAlignment="1">
      <alignment horizontal="left" indent="1"/>
    </xf>
    <xf numFmtId="0" fontId="112" fillId="0" borderId="116" xfId="0" applyFont="1" applyFill="1" applyBorder="1" applyAlignment="1">
      <alignment horizontal="left" wrapText="1" indent="2"/>
    </xf>
    <xf numFmtId="0" fontId="115" fillId="0" borderId="116" xfId="0" applyFont="1" applyFill="1" applyBorder="1" applyAlignment="1">
      <alignment horizontal="left" vertical="center" indent="1"/>
    </xf>
    <xf numFmtId="0" fontId="113" fillId="0" borderId="116" xfId="0" applyFont="1" applyFill="1" applyBorder="1" applyAlignment="1">
      <alignment horizontal="left" wrapText="1"/>
    </xf>
    <xf numFmtId="0" fontId="113" fillId="0" borderId="116" xfId="0" applyFont="1" applyFill="1" applyBorder="1" applyAlignment="1">
      <alignment horizontal="left" wrapText="1" indent="2"/>
    </xf>
    <xf numFmtId="49" fontId="113" fillId="0" borderId="116" xfId="0" applyNumberFormat="1" applyFont="1" applyFill="1" applyBorder="1" applyAlignment="1">
      <alignment horizontal="left" indent="3"/>
    </xf>
    <xf numFmtId="49" fontId="113" fillId="0" borderId="116" xfId="0" applyNumberFormat="1" applyFont="1" applyFill="1" applyBorder="1" applyAlignment="1">
      <alignment horizontal="left" indent="1"/>
    </xf>
    <xf numFmtId="49" fontId="113" fillId="0" borderId="116" xfId="0" applyNumberFormat="1" applyFont="1" applyFill="1" applyBorder="1" applyAlignment="1">
      <alignment horizontal="left" vertical="top" wrapText="1" indent="2"/>
    </xf>
    <xf numFmtId="49" fontId="113" fillId="0" borderId="116" xfId="0" applyNumberFormat="1" applyFont="1" applyFill="1" applyBorder="1" applyAlignment="1">
      <alignment horizontal="left" wrapText="1" indent="3"/>
    </xf>
    <xf numFmtId="49" fontId="113" fillId="0" borderId="116" xfId="0" applyNumberFormat="1" applyFont="1" applyFill="1" applyBorder="1" applyAlignment="1">
      <alignment horizontal="left" wrapText="1" indent="2"/>
    </xf>
    <xf numFmtId="0" fontId="113" fillId="0" borderId="116" xfId="0" applyNumberFormat="1" applyFont="1" applyFill="1" applyBorder="1" applyAlignment="1">
      <alignment horizontal="left" wrapText="1" indent="1"/>
    </xf>
    <xf numFmtId="49" fontId="113" fillId="0" borderId="116" xfId="0" applyNumberFormat="1" applyFont="1" applyFill="1" applyBorder="1" applyAlignment="1">
      <alignment horizontal="left" wrapText="1" indent="1"/>
    </xf>
    <xf numFmtId="0" fontId="115" fillId="0" borderId="75" xfId="0" applyNumberFormat="1" applyFont="1" applyFill="1" applyBorder="1" applyAlignment="1">
      <alignment horizontal="left" vertical="center" wrapText="1"/>
    </xf>
    <xf numFmtId="0" fontId="113" fillId="0" borderId="117" xfId="0" applyFont="1" applyFill="1" applyBorder="1" applyAlignment="1">
      <alignment horizontal="center" vertical="center" wrapText="1"/>
    </xf>
    <xf numFmtId="0" fontId="115" fillId="0" borderId="116" xfId="0" applyNumberFormat="1" applyFont="1" applyFill="1" applyBorder="1" applyAlignment="1">
      <alignment horizontal="left" vertical="center" wrapText="1"/>
    </xf>
    <xf numFmtId="0" fontId="113" fillId="0" borderId="116" xfId="0" applyFont="1" applyFill="1" applyBorder="1" applyAlignment="1">
      <alignment horizontal="left" indent="1"/>
    </xf>
    <xf numFmtId="0" fontId="6" fillId="0" borderId="116" xfId="17" applyBorder="1" applyAlignment="1" applyProtection="1"/>
    <xf numFmtId="0" fontId="116" fillId="0" borderId="116"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3" fillId="0" borderId="0" xfId="0" applyFont="1" applyFill="1" applyBorder="1" applyAlignment="1">
      <alignment horizontal="center" vertical="center" wrapText="1"/>
    </xf>
    <xf numFmtId="14" fontId="84" fillId="0" borderId="0" xfId="0" applyNumberFormat="1" applyFont="1" applyFill="1"/>
    <xf numFmtId="0" fontId="119" fillId="0" borderId="116" xfId="13" applyFont="1" applyFill="1" applyBorder="1" applyAlignment="1" applyProtection="1">
      <alignment horizontal="left" vertical="center" wrapText="1"/>
      <protection locked="0"/>
    </xf>
    <xf numFmtId="0" fontId="113" fillId="0" borderId="0" xfId="0" applyFont="1" applyFill="1" applyAlignment="1">
      <alignment horizontal="left" vertical="top" wrapText="1"/>
    </xf>
    <xf numFmtId="0" fontId="113" fillId="0" borderId="0" xfId="0" applyFont="1" applyFill="1" applyAlignment="1">
      <alignment wrapText="1"/>
    </xf>
    <xf numFmtId="0" fontId="113" fillId="0" borderId="116" xfId="0" applyFont="1" applyFill="1" applyBorder="1" applyAlignment="1">
      <alignment horizontal="center" vertical="center"/>
    </xf>
    <xf numFmtId="0" fontId="113" fillId="0" borderId="116" xfId="0" applyFont="1" applyFill="1" applyBorder="1" applyAlignment="1">
      <alignment horizontal="center" vertical="center" wrapText="1"/>
    </xf>
    <xf numFmtId="0" fontId="116" fillId="0" borderId="0" xfId="0" applyFont="1" applyFill="1"/>
    <xf numFmtId="0" fontId="113" fillId="0" borderId="116" xfId="0" applyFont="1" applyFill="1" applyBorder="1" applyAlignment="1">
      <alignment wrapText="1"/>
    </xf>
    <xf numFmtId="0" fontId="113" fillId="0" borderId="116" xfId="0" applyFont="1" applyFill="1" applyBorder="1" applyAlignment="1">
      <alignment horizontal="left" indent="8"/>
    </xf>
    <xf numFmtId="0" fontId="113" fillId="0" borderId="0" xfId="0" applyFont="1" applyFill="1" applyBorder="1" applyAlignment="1">
      <alignment horizontal="left"/>
    </xf>
    <xf numFmtId="0" fontId="116" fillId="0" borderId="0" xfId="0" applyFont="1" applyFill="1" applyBorder="1"/>
    <xf numFmtId="0" fontId="116" fillId="0" borderId="7" xfId="0" applyFont="1" applyFill="1" applyBorder="1"/>
    <xf numFmtId="0" fontId="113" fillId="0" borderId="0" xfId="0" applyFont="1" applyFill="1" applyBorder="1" applyAlignment="1">
      <alignment horizontal="center" vertical="center"/>
    </xf>
    <xf numFmtId="0" fontId="113" fillId="0" borderId="7" xfId="0" applyFont="1" applyFill="1" applyBorder="1" applyAlignment="1">
      <alignment wrapText="1"/>
    </xf>
    <xf numFmtId="49" fontId="113" fillId="0" borderId="116" xfId="0" applyNumberFormat="1" applyFont="1" applyFill="1" applyBorder="1" applyAlignment="1">
      <alignment horizontal="center" vertical="center" wrapText="1"/>
    </xf>
    <xf numFmtId="0" fontId="113" fillId="0" borderId="116" xfId="0" applyFont="1" applyFill="1" applyBorder="1" applyAlignment="1">
      <alignment horizontal="center"/>
    </xf>
    <xf numFmtId="0" fontId="113" fillId="0" borderId="7" xfId="0" applyFont="1" applyFill="1" applyBorder="1"/>
    <xf numFmtId="0" fontId="113" fillId="0" borderId="116" xfId="0" applyFont="1" applyFill="1" applyBorder="1" applyAlignment="1">
      <alignment horizontal="left" indent="2"/>
    </xf>
    <xf numFmtId="0" fontId="113" fillId="0" borderId="116" xfId="0" applyNumberFormat="1" applyFont="1" applyFill="1" applyBorder="1" applyAlignment="1">
      <alignment horizontal="left" indent="1"/>
    </xf>
    <xf numFmtId="0" fontId="113" fillId="0" borderId="0" xfId="0" applyFont="1" applyFill="1" applyAlignment="1">
      <alignment horizontal="center" vertical="center"/>
    </xf>
    <xf numFmtId="0" fontId="121" fillId="0" borderId="0" xfId="0" applyFont="1" applyFill="1"/>
    <xf numFmtId="0" fontId="121" fillId="0" borderId="0" xfId="0" applyFont="1" applyFill="1" applyAlignment="1">
      <alignment horizontal="center" vertical="center"/>
    </xf>
    <xf numFmtId="0" fontId="115" fillId="0" borderId="116" xfId="0" applyFont="1" applyFill="1" applyBorder="1" applyAlignment="1">
      <alignment horizontal="center" vertical="center" wrapText="1"/>
    </xf>
    <xf numFmtId="0" fontId="113" fillId="79" borderId="116" xfId="0" applyFont="1" applyFill="1" applyBorder="1"/>
    <xf numFmtId="0" fontId="116" fillId="79" borderId="116" xfId="0" applyFont="1" applyFill="1" applyBorder="1"/>
    <xf numFmtId="0" fontId="85" fillId="0" borderId="116" xfId="0" applyFont="1" applyBorder="1"/>
    <xf numFmtId="0" fontId="45" fillId="0" borderId="0" xfId="11" applyFont="1" applyFill="1" applyBorder="1" applyProtection="1"/>
    <xf numFmtId="0" fontId="45" fillId="0" borderId="0" xfId="0" applyFont="1"/>
    <xf numFmtId="179" fontId="45" fillId="0" borderId="0" xfId="0" applyNumberFormat="1" applyFont="1" applyAlignment="1">
      <alignment horizontal="left"/>
    </xf>
    <xf numFmtId="0" fontId="122" fillId="0" borderId="19" xfId="0" applyNumberFormat="1" applyFont="1" applyFill="1" applyBorder="1" applyAlignment="1">
      <alignment horizontal="left" vertical="center" wrapText="1" indent="1"/>
    </xf>
    <xf numFmtId="0" fontId="122" fillId="0" borderId="20" xfId="0" applyNumberFormat="1" applyFont="1" applyFill="1" applyBorder="1" applyAlignment="1">
      <alignment horizontal="left" vertical="center" wrapText="1" indent="1"/>
    </xf>
    <xf numFmtId="10" fontId="2" fillId="0" borderId="3" xfId="20962" applyNumberFormat="1" applyFont="1" applyBorder="1" applyAlignment="1" applyProtection="1">
      <alignment horizontal="right" vertical="center" wrapText="1"/>
      <protection locked="0"/>
    </xf>
    <xf numFmtId="10" fontId="84" fillId="0" borderId="3" xfId="20962" applyNumberFormat="1" applyFont="1" applyBorder="1" applyAlignment="1" applyProtection="1">
      <alignment vertical="center" wrapText="1"/>
      <protection locked="0"/>
    </xf>
    <xf numFmtId="10" fontId="84" fillId="0" borderId="22" xfId="20962" applyNumberFormat="1" applyFont="1" applyBorder="1" applyAlignment="1" applyProtection="1">
      <alignment vertical="center" wrapText="1"/>
      <protection locked="0"/>
    </xf>
    <xf numFmtId="10" fontId="2" fillId="2" borderId="3" xfId="20962" applyNumberFormat="1" applyFont="1" applyFill="1" applyBorder="1" applyAlignment="1" applyProtection="1">
      <alignment vertical="center"/>
      <protection locked="0"/>
    </xf>
    <xf numFmtId="10" fontId="87" fillId="2" borderId="3" xfId="20962" applyNumberFormat="1" applyFont="1" applyFill="1" applyBorder="1" applyAlignment="1" applyProtection="1">
      <alignment vertical="center"/>
      <protection locked="0"/>
    </xf>
    <xf numFmtId="10" fontId="87" fillId="2" borderId="22" xfId="20962" applyNumberFormat="1" applyFont="1" applyFill="1" applyBorder="1" applyAlignment="1" applyProtection="1">
      <alignment vertical="center"/>
      <protection locked="0"/>
    </xf>
    <xf numFmtId="10" fontId="84" fillId="0" borderId="3" xfId="20962" applyNumberFormat="1" applyFont="1" applyFill="1" applyBorder="1" applyAlignment="1" applyProtection="1">
      <alignment horizontal="center" vertical="center" wrapText="1"/>
      <protection locked="0"/>
    </xf>
    <xf numFmtId="10" fontId="84" fillId="0" borderId="22" xfId="20962" applyNumberFormat="1" applyFont="1" applyFill="1" applyBorder="1" applyAlignment="1" applyProtection="1">
      <alignment horizontal="center" vertical="center" wrapText="1"/>
      <protection locked="0"/>
    </xf>
    <xf numFmtId="10" fontId="2" fillId="2" borderId="99" xfId="20962" applyNumberFormat="1" applyFont="1" applyFill="1" applyBorder="1" applyAlignment="1" applyProtection="1">
      <alignment vertical="center"/>
      <protection locked="0"/>
    </xf>
    <xf numFmtId="10" fontId="87" fillId="2" borderId="99" xfId="20962" applyNumberFormat="1" applyFont="1" applyFill="1" applyBorder="1" applyAlignment="1" applyProtection="1">
      <alignment vertical="center"/>
      <protection locked="0"/>
    </xf>
    <xf numFmtId="10" fontId="87" fillId="2" borderId="93" xfId="20962" applyNumberFormat="1" applyFont="1" applyFill="1" applyBorder="1" applyAlignment="1" applyProtection="1">
      <alignment vertical="center"/>
      <protection locked="0"/>
    </xf>
    <xf numFmtId="10" fontId="2" fillId="2" borderId="25" xfId="20962" applyNumberFormat="1" applyFont="1" applyFill="1" applyBorder="1" applyAlignment="1" applyProtection="1">
      <alignment vertical="center"/>
      <protection locked="0"/>
    </xf>
    <xf numFmtId="10" fontId="87" fillId="2" borderId="25" xfId="20962" applyNumberFormat="1" applyFont="1" applyFill="1" applyBorder="1" applyAlignment="1" applyProtection="1">
      <alignment vertical="center"/>
      <protection locked="0"/>
    </xf>
    <xf numFmtId="10" fontId="87" fillId="2" borderId="26" xfId="20962" applyNumberFormat="1" applyFont="1" applyFill="1" applyBorder="1" applyAlignment="1" applyProtection="1">
      <alignment vertical="center"/>
      <protection locked="0"/>
    </xf>
    <xf numFmtId="10" fontId="123" fillId="0" borderId="3" xfId="20962" applyNumberFormat="1" applyFont="1" applyFill="1" applyBorder="1" applyAlignment="1" applyProtection="1">
      <alignment horizontal="center" vertical="center" wrapText="1"/>
      <protection locked="0"/>
    </xf>
    <xf numFmtId="0" fontId="65" fillId="0" borderId="0" xfId="0" applyFont="1" applyFill="1" applyBorder="1" applyProtection="1">
      <protection locked="0"/>
    </xf>
    <xf numFmtId="0" fontId="45" fillId="0" borderId="118" xfId="0" applyFont="1" applyFill="1" applyBorder="1" applyAlignment="1" applyProtection="1">
      <alignment horizontal="center"/>
    </xf>
    <xf numFmtId="0" fontId="45" fillId="0" borderId="116" xfId="0" applyFont="1" applyFill="1" applyBorder="1" applyAlignment="1" applyProtection="1">
      <alignment horizontal="center" vertical="center" wrapText="1"/>
    </xf>
    <xf numFmtId="0" fontId="45" fillId="0" borderId="87" xfId="0" applyFont="1" applyFill="1" applyBorder="1" applyAlignment="1" applyProtection="1">
      <alignment horizontal="center" vertical="center" wrapText="1"/>
    </xf>
    <xf numFmtId="0" fontId="2" fillId="0" borderId="118" xfId="0" applyFont="1" applyFill="1" applyBorder="1" applyAlignment="1" applyProtection="1">
      <alignment horizontal="left"/>
    </xf>
    <xf numFmtId="164" fontId="97" fillId="0" borderId="116" xfId="7" applyNumberFormat="1" applyFont="1" applyFill="1" applyBorder="1" applyAlignment="1" applyProtection="1">
      <alignment horizontal="right"/>
    </xf>
    <xf numFmtId="164" fontId="96" fillId="36" borderId="116" xfId="7" applyNumberFormat="1" applyFont="1" applyFill="1" applyBorder="1" applyAlignment="1" applyProtection="1">
      <alignment horizontal="right"/>
    </xf>
    <xf numFmtId="164" fontId="97" fillId="0" borderId="120" xfId="7" applyNumberFormat="1" applyFont="1" applyFill="1" applyBorder="1" applyAlignment="1" applyProtection="1">
      <alignment horizontal="right"/>
    </xf>
    <xf numFmtId="164" fontId="96" fillId="36" borderId="87" xfId="7" applyNumberFormat="1" applyFont="1" applyFill="1" applyBorder="1" applyAlignment="1" applyProtection="1">
      <alignment horizontal="right"/>
    </xf>
    <xf numFmtId="0" fontId="2" fillId="0" borderId="118" xfId="0" applyFont="1" applyFill="1" applyBorder="1" applyAlignment="1" applyProtection="1">
      <alignment horizontal="left" indent="2"/>
    </xf>
    <xf numFmtId="38" fontId="97" fillId="0" borderId="116" xfId="7" applyNumberFormat="1" applyFont="1" applyFill="1" applyBorder="1" applyAlignment="1" applyProtection="1">
      <alignment horizontal="right"/>
    </xf>
    <xf numFmtId="38" fontId="96" fillId="36" borderId="116" xfId="7" applyNumberFormat="1" applyFont="1" applyFill="1" applyBorder="1" applyAlignment="1" applyProtection="1">
      <alignment horizontal="right"/>
    </xf>
    <xf numFmtId="38" fontId="97" fillId="0" borderId="120" xfId="7" applyNumberFormat="1" applyFont="1" applyFill="1" applyBorder="1" applyAlignment="1" applyProtection="1">
      <alignment horizontal="right"/>
    </xf>
    <xf numFmtId="38" fontId="96" fillId="36" borderId="87" xfId="7" applyNumberFormat="1" applyFont="1" applyFill="1" applyBorder="1" applyAlignment="1" applyProtection="1">
      <alignment horizontal="right"/>
    </xf>
    <xf numFmtId="0" fontId="45" fillId="0" borderId="118" xfId="0" applyFont="1" applyFill="1" applyBorder="1" applyAlignment="1" applyProtection="1"/>
    <xf numFmtId="164" fontId="97" fillId="0" borderId="116" xfId="7" applyNumberFormat="1" applyFont="1" applyFill="1" applyBorder="1" applyAlignment="1" applyProtection="1">
      <alignment horizontal="right"/>
      <protection locked="0"/>
    </xf>
    <xf numFmtId="164" fontId="97" fillId="0" borderId="120" xfId="7" applyNumberFormat="1" applyFont="1" applyFill="1" applyBorder="1" applyAlignment="1" applyProtection="1">
      <alignment horizontal="right"/>
      <protection locked="0"/>
    </xf>
    <xf numFmtId="164" fontId="97" fillId="0" borderId="87" xfId="7" applyNumberFormat="1" applyFont="1" applyFill="1" applyBorder="1" applyAlignment="1" applyProtection="1">
      <alignment horizontal="right"/>
    </xf>
    <xf numFmtId="0" fontId="2" fillId="0" borderId="118" xfId="0" applyFont="1" applyFill="1" applyBorder="1" applyAlignment="1" applyProtection="1">
      <alignment horizontal="left" indent="1"/>
    </xf>
    <xf numFmtId="0" fontId="45" fillId="0" borderId="118" xfId="0" applyFont="1" applyFill="1" applyBorder="1" applyAlignment="1" applyProtection="1">
      <alignment horizontal="left"/>
    </xf>
    <xf numFmtId="164" fontId="96" fillId="0" borderId="116" xfId="7" applyNumberFormat="1" applyFont="1" applyFill="1" applyBorder="1" applyAlignment="1" applyProtection="1">
      <alignment horizontal="right"/>
    </xf>
    <xf numFmtId="164" fontId="96" fillId="36" borderId="25" xfId="7" applyNumberFormat="1" applyFont="1" applyFill="1" applyBorder="1" applyAlignment="1" applyProtection="1">
      <alignment horizontal="right"/>
    </xf>
    <xf numFmtId="164" fontId="96" fillId="36" borderId="26" xfId="7" applyNumberFormat="1" applyFont="1" applyFill="1" applyBorder="1" applyAlignment="1" applyProtection="1">
      <alignment horizontal="right"/>
    </xf>
    <xf numFmtId="0" fontId="65" fillId="0" borderId="0" xfId="0" applyFont="1" applyFill="1" applyBorder="1" applyAlignment="1" applyProtection="1">
      <alignment horizontal="right"/>
      <protection locked="0"/>
    </xf>
    <xf numFmtId="0" fontId="2" fillId="0" borderId="116" xfId="0" applyFont="1" applyFill="1" applyBorder="1" applyAlignment="1">
      <alignment horizontal="left" vertical="center"/>
    </xf>
    <xf numFmtId="0" fontId="45" fillId="0" borderId="116" xfId="0" applyFont="1" applyFill="1" applyBorder="1" applyAlignment="1">
      <alignment horizontal="center" vertical="center" wrapText="1"/>
    </xf>
    <xf numFmtId="0" fontId="45" fillId="0" borderId="87" xfId="0" applyFont="1" applyFill="1" applyBorder="1" applyAlignment="1">
      <alignment horizontal="center" vertical="center" wrapText="1"/>
    </xf>
    <xf numFmtId="38" fontId="2" fillId="0" borderId="116" xfId="0" applyNumberFormat="1" applyFont="1" applyFill="1" applyBorder="1" applyAlignment="1" applyProtection="1">
      <alignment horizontal="right"/>
      <protection locked="0"/>
    </xf>
    <xf numFmtId="38" fontId="2" fillId="0" borderId="87" xfId="0" applyNumberFormat="1" applyFont="1" applyFill="1" applyBorder="1" applyAlignment="1" applyProtection="1">
      <alignment horizontal="right"/>
      <protection locked="0"/>
    </xf>
    <xf numFmtId="0" fontId="2" fillId="0" borderId="116" xfId="0" applyFont="1" applyFill="1" applyBorder="1" applyAlignment="1">
      <alignment horizontal="left" wrapText="1" indent="1"/>
    </xf>
    <xf numFmtId="38" fontId="97" fillId="0" borderId="50" xfId="0" applyNumberFormat="1" applyFont="1" applyFill="1" applyBorder="1" applyAlignment="1" applyProtection="1">
      <alignment horizontal="right"/>
      <protection locked="0"/>
    </xf>
    <xf numFmtId="38" fontId="97" fillId="0" borderId="116" xfId="0" applyNumberFormat="1" applyFont="1" applyFill="1" applyBorder="1" applyAlignment="1" applyProtection="1">
      <alignment horizontal="right"/>
      <protection locked="0"/>
    </xf>
    <xf numFmtId="38" fontId="96" fillId="36" borderId="116" xfId="0" applyNumberFormat="1" applyFont="1" applyFill="1" applyBorder="1" applyAlignment="1">
      <alignment horizontal="right"/>
    </xf>
    <xf numFmtId="0" fontId="2" fillId="0" borderId="116" xfId="0" applyFont="1" applyFill="1" applyBorder="1" applyAlignment="1">
      <alignment horizontal="left" wrapText="1" indent="2"/>
    </xf>
    <xf numFmtId="0" fontId="45" fillId="0" borderId="116" xfId="0" applyFont="1" applyFill="1" applyBorder="1" applyAlignment="1"/>
    <xf numFmtId="38" fontId="97" fillId="0" borderId="87" xfId="7" applyNumberFormat="1" applyFont="1" applyFill="1" applyBorder="1" applyAlignment="1" applyProtection="1">
      <alignment horizontal="right"/>
    </xf>
    <xf numFmtId="0" fontId="45" fillId="0" borderId="116" xfId="0" applyFont="1" applyFill="1" applyBorder="1" applyAlignment="1">
      <alignment horizontal="left"/>
    </xf>
    <xf numFmtId="0" fontId="45" fillId="0" borderId="116" xfId="0" applyFont="1" applyFill="1" applyBorder="1" applyAlignment="1">
      <alignment horizontal="center"/>
    </xf>
    <xf numFmtId="38" fontId="96" fillId="0" borderId="116" xfId="0" applyNumberFormat="1" applyFont="1" applyFill="1" applyBorder="1" applyAlignment="1">
      <alignment horizontal="center"/>
    </xf>
    <xf numFmtId="38" fontId="96" fillId="0" borderId="87" xfId="0" applyNumberFormat="1" applyFont="1" applyFill="1" applyBorder="1" applyAlignment="1">
      <alignment horizontal="center"/>
    </xf>
    <xf numFmtId="0" fontId="2" fillId="0" borderId="116" xfId="0" applyFont="1" applyFill="1" applyBorder="1" applyAlignment="1">
      <alignment horizontal="left" indent="1"/>
    </xf>
    <xf numFmtId="38" fontId="96" fillId="36" borderId="116" xfId="0" applyNumberFormat="1" applyFont="1" applyFill="1" applyBorder="1" applyAlignment="1" applyProtection="1">
      <alignment horizontal="right"/>
    </xf>
    <xf numFmtId="38" fontId="97" fillId="0" borderId="87" xfId="0" applyNumberFormat="1" applyFont="1" applyFill="1" applyBorder="1" applyAlignment="1" applyProtection="1">
      <alignment horizontal="right"/>
      <protection locked="0"/>
    </xf>
    <xf numFmtId="38" fontId="96" fillId="36" borderId="116" xfId="7" applyNumberFormat="1" applyFont="1" applyFill="1" applyBorder="1" applyAlignment="1" applyProtection="1"/>
    <xf numFmtId="38" fontId="97" fillId="0" borderId="116" xfId="0" applyNumberFormat="1" applyFont="1" applyFill="1" applyBorder="1" applyAlignment="1" applyProtection="1">
      <protection locked="0"/>
    </xf>
    <xf numFmtId="38" fontId="96" fillId="36" borderId="87" xfId="7" applyNumberFormat="1" applyFont="1" applyFill="1" applyBorder="1" applyAlignment="1" applyProtection="1"/>
    <xf numFmtId="0" fontId="45" fillId="0" borderId="116" xfId="0" applyFont="1" applyFill="1" applyBorder="1" applyAlignment="1">
      <alignment horizontal="left" indent="1"/>
    </xf>
    <xf numFmtId="0" fontId="45" fillId="0" borderId="116" xfId="0" applyFont="1" applyFill="1" applyBorder="1" applyAlignment="1">
      <alignment horizontal="left" vertical="center" wrapText="1"/>
    </xf>
    <xf numFmtId="38" fontId="97" fillId="0" borderId="116" xfId="0" applyNumberFormat="1" applyFont="1" applyFill="1" applyBorder="1" applyAlignment="1" applyProtection="1">
      <alignment horizontal="right" vertical="center"/>
      <protection locked="0"/>
    </xf>
    <xf numFmtId="38" fontId="96" fillId="36" borderId="25" xfId="0" applyNumberFormat="1" applyFont="1" applyFill="1" applyBorder="1" applyAlignment="1">
      <alignment horizontal="right"/>
    </xf>
    <xf numFmtId="38" fontId="96" fillId="36" borderId="25" xfId="7" applyNumberFormat="1" applyFont="1" applyFill="1" applyBorder="1" applyAlignment="1" applyProtection="1">
      <alignment horizontal="right"/>
    </xf>
    <xf numFmtId="38" fontId="96" fillId="36" borderId="26" xfId="7" applyNumberFormat="1" applyFont="1" applyFill="1" applyBorder="1" applyAlignment="1" applyProtection="1">
      <alignment horizontal="right"/>
    </xf>
    <xf numFmtId="0" fontId="45" fillId="0" borderId="0" xfId="0" applyFont="1" applyFill="1" applyBorder="1" applyAlignment="1">
      <alignment horizontal="center"/>
    </xf>
    <xf numFmtId="0" fontId="45" fillId="0" borderId="0" xfId="0" applyFont="1" applyFill="1" applyAlignment="1">
      <alignment horizontal="center"/>
    </xf>
    <xf numFmtId="0" fontId="65" fillId="0" borderId="0" xfId="0" applyFont="1" applyFill="1" applyAlignment="1">
      <alignment horizontal="right"/>
    </xf>
    <xf numFmtId="0" fontId="45" fillId="0" borderId="116" xfId="0" applyFont="1" applyFill="1" applyBorder="1" applyAlignment="1" applyProtection="1">
      <alignment horizontal="left"/>
      <protection locked="0"/>
    </xf>
    <xf numFmtId="0" fontId="2" fillId="0" borderId="116" xfId="0" applyFont="1" applyFill="1" applyBorder="1" applyAlignment="1" applyProtection="1">
      <alignment horizontal="left" indent="4"/>
      <protection locked="0"/>
    </xf>
    <xf numFmtId="38" fontId="97" fillId="0" borderId="116" xfId="0" applyNumberFormat="1" applyFont="1" applyFill="1" applyBorder="1" applyAlignment="1" applyProtection="1">
      <alignment horizontal="right"/>
    </xf>
    <xf numFmtId="0" fontId="45" fillId="0" borderId="120" xfId="0" applyNumberFormat="1" applyFont="1" applyFill="1" applyBorder="1" applyAlignment="1">
      <alignment vertical="center" wrapText="1"/>
    </xf>
    <xf numFmtId="0" fontId="2" fillId="0" borderId="120" xfId="0" applyNumberFormat="1" applyFont="1" applyFill="1" applyBorder="1" applyAlignment="1">
      <alignment horizontal="left" vertical="center" wrapText="1" indent="4"/>
    </xf>
    <xf numFmtId="0" fontId="96" fillId="0" borderId="120" xfId="0" applyNumberFormat="1" applyFont="1" applyFill="1" applyBorder="1" applyAlignment="1">
      <alignment vertical="center" wrapText="1"/>
    </xf>
    <xf numFmtId="0" fontId="2" fillId="0" borderId="116" xfId="0" applyFont="1" applyFill="1" applyBorder="1" applyAlignment="1" applyProtection="1">
      <alignment horizontal="left" vertical="center" indent="11"/>
      <protection locked="0"/>
    </xf>
    <xf numFmtId="38" fontId="96" fillId="78" borderId="116" xfId="0" applyNumberFormat="1" applyFont="1" applyFill="1" applyBorder="1" applyAlignment="1" applyProtection="1">
      <alignment horizontal="right"/>
    </xf>
    <xf numFmtId="0" fontId="46" fillId="0" borderId="116" xfId="0" applyFont="1" applyFill="1" applyBorder="1" applyAlignment="1" applyProtection="1">
      <alignment horizontal="left" vertical="center" indent="17"/>
      <protection locked="0"/>
    </xf>
    <xf numFmtId="0" fontId="97" fillId="0" borderId="120" xfId="0" applyNumberFormat="1" applyFont="1" applyFill="1" applyBorder="1" applyAlignment="1">
      <alignment horizontal="left" vertical="center" wrapText="1"/>
    </xf>
    <xf numFmtId="0" fontId="2" fillId="0" borderId="120" xfId="0" applyNumberFormat="1" applyFont="1" applyFill="1" applyBorder="1" applyAlignment="1">
      <alignment horizontal="left" vertical="center" wrapText="1"/>
    </xf>
    <xf numFmtId="38" fontId="96" fillId="36" borderId="25" xfId="0" applyNumberFormat="1" applyFont="1" applyFill="1" applyBorder="1" applyAlignment="1" applyProtection="1">
      <alignment horizontal="right"/>
    </xf>
    <xf numFmtId="38" fontId="4" fillId="36" borderId="116" xfId="7" applyNumberFormat="1" applyFont="1" applyFill="1" applyBorder="1" applyAlignment="1">
      <alignment vertical="center" wrapText="1"/>
    </xf>
    <xf numFmtId="38" fontId="4" fillId="0" borderId="116" xfId="7" applyNumberFormat="1" applyFont="1" applyBorder="1" applyAlignment="1">
      <alignment vertical="center" wrapText="1"/>
    </xf>
    <xf numFmtId="38" fontId="4" fillId="0" borderId="116" xfId="7" applyNumberFormat="1" applyFont="1" applyFill="1" applyBorder="1" applyAlignment="1">
      <alignment vertical="center" wrapText="1"/>
    </xf>
    <xf numFmtId="38" fontId="4" fillId="36" borderId="25" xfId="7" applyNumberFormat="1" applyFont="1" applyFill="1" applyBorder="1" applyAlignment="1">
      <alignment vertical="center" wrapText="1"/>
    </xf>
    <xf numFmtId="0" fontId="124" fillId="0" borderId="19" xfId="0" applyFont="1" applyBorder="1" applyAlignment="1">
      <alignment horizontal="center" vertical="center" wrapText="1"/>
    </xf>
    <xf numFmtId="0" fontId="124" fillId="0" borderId="20" xfId="0" applyFont="1" applyBorder="1" applyAlignment="1">
      <alignment horizontal="center" vertical="center" wrapText="1"/>
    </xf>
    <xf numFmtId="0" fontId="84" fillId="0" borderId="116" xfId="0" applyFont="1" applyBorder="1" applyAlignment="1">
      <alignment vertical="center" wrapText="1"/>
    </xf>
    <xf numFmtId="38" fontId="4" fillId="36" borderId="87" xfId="7" applyNumberFormat="1" applyFont="1" applyFill="1" applyBorder="1" applyAlignment="1">
      <alignment vertical="center" wrapText="1"/>
    </xf>
    <xf numFmtId="38" fontId="4" fillId="0" borderId="87" xfId="7" applyNumberFormat="1" applyFont="1" applyBorder="1" applyAlignment="1">
      <alignment vertical="center" wrapText="1"/>
    </xf>
    <xf numFmtId="14" fontId="2" fillId="3" borderId="116" xfId="8" quotePrefix="1" applyNumberFormat="1" applyFont="1" applyFill="1" applyBorder="1" applyAlignment="1" applyProtection="1">
      <alignment horizontal="left"/>
      <protection locked="0"/>
    </xf>
    <xf numFmtId="38" fontId="4" fillId="0" borderId="87" xfId="7" applyNumberFormat="1" applyFont="1" applyFill="1" applyBorder="1" applyAlignment="1">
      <alignment vertical="center" wrapText="1"/>
    </xf>
    <xf numFmtId="38" fontId="4" fillId="36" borderId="26" xfId="7" applyNumberFormat="1" applyFont="1" applyFill="1" applyBorder="1" applyAlignment="1">
      <alignment vertical="center" wrapText="1"/>
    </xf>
    <xf numFmtId="0" fontId="125" fillId="0" borderId="0" xfId="0" applyFont="1" applyFill="1" applyAlignment="1">
      <alignment horizontal="center"/>
    </xf>
    <xf numFmtId="9" fontId="84" fillId="0" borderId="23" xfId="0" applyNumberFormat="1" applyFont="1" applyBorder="1" applyAlignment="1"/>
    <xf numFmtId="10" fontId="84" fillId="0" borderId="23" xfId="0" applyNumberFormat="1" applyFont="1" applyBorder="1" applyAlignment="1"/>
    <xf numFmtId="10" fontId="84" fillId="0" borderId="42" xfId="0" applyNumberFormat="1" applyFont="1" applyBorder="1" applyAlignment="1"/>
    <xf numFmtId="193" fontId="86" fillId="36" borderId="20" xfId="0" applyNumberFormat="1" applyFont="1" applyFill="1" applyBorder="1" applyAlignment="1">
      <alignment horizontal="center" vertical="center"/>
    </xf>
    <xf numFmtId="0" fontId="84" fillId="0" borderId="116" xfId="0" applyFont="1" applyFill="1" applyBorder="1" applyAlignment="1"/>
    <xf numFmtId="193" fontId="84" fillId="0" borderId="87" xfId="0" applyNumberFormat="1" applyFont="1" applyBorder="1" applyAlignment="1"/>
    <xf numFmtId="0" fontId="84" fillId="0" borderId="116" xfId="0" applyFont="1" applyFill="1" applyBorder="1" applyAlignment="1">
      <alignment vertical="center" wrapText="1"/>
    </xf>
    <xf numFmtId="193" fontId="84" fillId="0" borderId="87" xfId="0" applyNumberFormat="1" applyFont="1" applyBorder="1" applyAlignment="1">
      <alignment wrapText="1"/>
    </xf>
    <xf numFmtId="0" fontId="86" fillId="36" borderId="116" xfId="0" applyFont="1" applyFill="1" applyBorder="1" applyAlignment="1">
      <alignment wrapText="1"/>
    </xf>
    <xf numFmtId="193" fontId="86" fillId="36" borderId="87" xfId="0" applyNumberFormat="1" applyFont="1" applyFill="1" applyBorder="1" applyAlignment="1">
      <alignment horizontal="center" vertical="center" wrapText="1"/>
    </xf>
    <xf numFmtId="193" fontId="86" fillId="0" borderId="87" xfId="0" applyNumberFormat="1" applyFont="1" applyBorder="1" applyAlignment="1">
      <alignment wrapText="1"/>
    </xf>
    <xf numFmtId="0" fontId="84" fillId="0" borderId="116" xfId="0" applyFont="1" applyBorder="1" applyAlignment="1">
      <alignment wrapText="1"/>
    </xf>
    <xf numFmtId="193" fontId="86" fillId="36" borderId="26" xfId="0" applyNumberFormat="1" applyFont="1" applyFill="1" applyBorder="1" applyAlignment="1">
      <alignment horizontal="center" vertical="center" wrapText="1"/>
    </xf>
    <xf numFmtId="0" fontId="86" fillId="36" borderId="116" xfId="0" applyFont="1" applyFill="1" applyBorder="1" applyAlignment="1">
      <alignment horizontal="left" vertical="top" wrapText="1"/>
    </xf>
    <xf numFmtId="38" fontId="96" fillId="36" borderId="87" xfId="2" applyNumberFormat="1" applyFont="1" applyFill="1" applyBorder="1" applyAlignment="1" applyProtection="1">
      <alignment vertical="top"/>
    </xf>
    <xf numFmtId="38" fontId="97" fillId="3" borderId="87" xfId="2" applyNumberFormat="1" applyFont="1" applyFill="1" applyBorder="1" applyAlignment="1" applyProtection="1">
      <alignment vertical="top"/>
      <protection locked="0"/>
    </xf>
    <xf numFmtId="0" fontId="2" fillId="3" borderId="116" xfId="13" applyFont="1" applyFill="1" applyBorder="1" applyAlignment="1" applyProtection="1">
      <alignment vertical="center" wrapText="1"/>
      <protection locked="0"/>
    </xf>
    <xf numFmtId="0" fontId="2" fillId="3" borderId="117" xfId="13" applyFont="1" applyFill="1" applyBorder="1" applyAlignment="1" applyProtection="1">
      <alignment vertical="center" wrapText="1"/>
      <protection locked="0"/>
    </xf>
    <xf numFmtId="38" fontId="96" fillId="36" borderId="87" xfId="2" applyNumberFormat="1" applyFont="1" applyFill="1" applyBorder="1" applyAlignment="1" applyProtection="1">
      <alignment vertical="top" wrapText="1"/>
    </xf>
    <xf numFmtId="38" fontId="97" fillId="3" borderId="87" xfId="2" applyNumberFormat="1" applyFont="1" applyFill="1" applyBorder="1" applyAlignment="1" applyProtection="1">
      <alignment vertical="top" wrapText="1"/>
      <protection locked="0"/>
    </xf>
    <xf numFmtId="0" fontId="2" fillId="3" borderId="116" xfId="13" applyFont="1" applyFill="1" applyBorder="1" applyAlignment="1" applyProtection="1">
      <alignment horizontal="left" vertical="center" wrapText="1"/>
      <protection locked="0"/>
    </xf>
    <xf numFmtId="0" fontId="2" fillId="3" borderId="116" xfId="9" applyFont="1" applyFill="1" applyBorder="1" applyAlignment="1" applyProtection="1">
      <alignment horizontal="left" vertical="center" wrapText="1"/>
      <protection locked="0"/>
    </xf>
    <xf numFmtId="0" fontId="2" fillId="0" borderId="116" xfId="13" applyFont="1" applyBorder="1" applyAlignment="1" applyProtection="1">
      <alignment horizontal="left" vertical="center" wrapText="1"/>
      <protection locked="0"/>
    </xf>
    <xf numFmtId="0" fontId="2" fillId="0" borderId="116" xfId="13" applyFont="1" applyFill="1" applyBorder="1" applyAlignment="1" applyProtection="1">
      <alignment horizontal="left" vertical="center" wrapText="1"/>
      <protection locked="0"/>
    </xf>
    <xf numFmtId="1" fontId="45" fillId="36" borderId="116" xfId="2" applyNumberFormat="1" applyFont="1" applyFill="1" applyBorder="1" applyAlignment="1" applyProtection="1">
      <alignment horizontal="left" vertical="top" wrapText="1"/>
    </xf>
    <xf numFmtId="0" fontId="45" fillId="3" borderId="116" xfId="13" applyFont="1" applyFill="1" applyBorder="1" applyAlignment="1" applyProtection="1">
      <alignment vertical="center" wrapText="1"/>
      <protection locked="0"/>
    </xf>
    <xf numFmtId="38" fontId="96" fillId="36" borderId="87" xfId="2" applyNumberFormat="1" applyFont="1" applyFill="1" applyBorder="1" applyAlignment="1" applyProtection="1">
      <alignment vertical="top" wrapText="1"/>
      <protection locked="0"/>
    </xf>
    <xf numFmtId="0" fontId="2" fillId="3" borderId="116" xfId="13" applyFont="1" applyFill="1" applyBorder="1" applyAlignment="1" applyProtection="1">
      <alignment horizontal="left" vertical="center" wrapText="1" indent="2"/>
      <protection locked="0"/>
    </xf>
    <xf numFmtId="0" fontId="45" fillId="36" borderId="116" xfId="13" applyFont="1" applyFill="1" applyBorder="1" applyAlignment="1" applyProtection="1">
      <alignment vertical="center" wrapText="1"/>
      <protection locked="0"/>
    </xf>
    <xf numFmtId="38" fontId="96" fillId="36" borderId="26" xfId="2" applyNumberFormat="1" applyFont="1" applyFill="1" applyBorder="1" applyAlignment="1" applyProtection="1">
      <alignment vertical="top" wrapText="1"/>
    </xf>
    <xf numFmtId="38" fontId="84" fillId="0" borderId="0" xfId="0" applyNumberFormat="1" applyFont="1" applyAlignment="1">
      <alignment wrapText="1"/>
    </xf>
    <xf numFmtId="0" fontId="126" fillId="0" borderId="0" xfId="0" applyFont="1" applyFill="1"/>
    <xf numFmtId="0" fontId="4" fillId="36" borderId="116" xfId="0" applyFont="1" applyFill="1" applyBorder="1" applyAlignment="1">
      <alignment horizontal="left" vertical="center" wrapText="1"/>
    </xf>
    <xf numFmtId="0" fontId="3" fillId="0" borderId="116" xfId="0" applyFont="1" applyFill="1" applyBorder="1" applyAlignment="1">
      <alignment horizontal="left" vertical="center" wrapText="1"/>
    </xf>
    <xf numFmtId="10" fontId="3" fillId="0" borderId="116" xfId="0" applyNumberFormat="1" applyFont="1" applyFill="1" applyBorder="1" applyAlignment="1">
      <alignment horizontal="left" vertical="center" wrapText="1"/>
    </xf>
    <xf numFmtId="164" fontId="3" fillId="0" borderId="87" xfId="7" applyNumberFormat="1" applyFont="1" applyFill="1" applyBorder="1" applyAlignment="1">
      <alignment horizontal="left" vertical="center" wrapText="1"/>
    </xf>
    <xf numFmtId="10" fontId="3" fillId="0" borderId="116" xfId="20962" applyNumberFormat="1" applyFont="1" applyFill="1" applyBorder="1" applyAlignment="1">
      <alignment horizontal="left" vertical="center" wrapText="1"/>
    </xf>
    <xf numFmtId="0" fontId="101" fillId="0" borderId="116" xfId="0" applyFont="1" applyFill="1" applyBorder="1" applyAlignment="1">
      <alignment horizontal="left" vertical="center" wrapText="1"/>
    </xf>
    <xf numFmtId="10" fontId="101" fillId="0" borderId="116" xfId="20962" applyNumberFormat="1" applyFont="1" applyFill="1" applyBorder="1" applyAlignment="1">
      <alignment horizontal="left" vertical="center" wrapText="1"/>
    </xf>
    <xf numFmtId="164" fontId="101" fillId="0" borderId="87" xfId="7" applyNumberFormat="1" applyFont="1" applyFill="1" applyBorder="1" applyAlignment="1">
      <alignment horizontal="left" vertical="center" wrapText="1"/>
    </xf>
    <xf numFmtId="9" fontId="4" fillId="36" borderId="116" xfId="20962" applyFont="1" applyFill="1" applyBorder="1" applyAlignment="1">
      <alignment horizontal="left" vertical="center" wrapText="1"/>
    </xf>
    <xf numFmtId="164" fontId="4" fillId="36" borderId="87" xfId="7" applyNumberFormat="1" applyFont="1" applyFill="1" applyBorder="1" applyAlignment="1">
      <alignment horizontal="left" vertical="center" wrapText="1"/>
    </xf>
    <xf numFmtId="10" fontId="101" fillId="0" borderId="117" xfId="20962" applyNumberFormat="1" applyFont="1" applyFill="1" applyBorder="1" applyAlignment="1">
      <alignment horizontal="left" vertical="center" wrapText="1"/>
    </xf>
    <xf numFmtId="164" fontId="101" fillId="0" borderId="93" xfId="7" applyNumberFormat="1" applyFont="1" applyFill="1" applyBorder="1" applyAlignment="1">
      <alignment horizontal="left" vertical="center" wrapText="1"/>
    </xf>
    <xf numFmtId="0" fontId="4" fillId="36" borderId="116" xfId="0" applyFont="1" applyFill="1" applyBorder="1" applyAlignment="1">
      <alignment horizontal="center" vertical="center" wrapText="1"/>
    </xf>
    <xf numFmtId="164" fontId="127" fillId="0" borderId="87" xfId="7" applyNumberFormat="1" applyFont="1" applyFill="1" applyBorder="1" applyAlignment="1">
      <alignment horizontal="left" vertical="center" wrapText="1"/>
    </xf>
    <xf numFmtId="164" fontId="128" fillId="0" borderId="26" xfId="7" applyNumberFormat="1" applyFont="1" applyFill="1" applyBorder="1" applyAlignment="1" applyProtection="1">
      <alignment horizontal="left" vertical="center"/>
    </xf>
    <xf numFmtId="167" fontId="86" fillId="36" borderId="116" xfId="0" applyNumberFormat="1" applyFont="1" applyFill="1" applyBorder="1"/>
    <xf numFmtId="167" fontId="86" fillId="36" borderId="25" xfId="0" applyNumberFormat="1" applyFont="1" applyFill="1" applyBorder="1"/>
    <xf numFmtId="193" fontId="129" fillId="36" borderId="25" xfId="0" applyNumberFormat="1" applyFont="1" applyFill="1" applyBorder="1"/>
    <xf numFmtId="193" fontId="84" fillId="0" borderId="116" xfId="0" applyNumberFormat="1" applyFont="1" applyBorder="1" applyAlignment="1"/>
    <xf numFmtId="193" fontId="86" fillId="0" borderId="89" xfId="0" applyNumberFormat="1" applyFont="1" applyBorder="1" applyAlignment="1"/>
    <xf numFmtId="193" fontId="86" fillId="36" borderId="56" xfId="0" applyNumberFormat="1" applyFont="1" applyFill="1" applyBorder="1" applyAlignment="1"/>
    <xf numFmtId="193" fontId="86" fillId="36" borderId="24" xfId="0" applyNumberFormat="1" applyFont="1" applyFill="1" applyBorder="1"/>
    <xf numFmtId="193" fontId="86" fillId="36" borderId="25" xfId="0" applyNumberFormat="1" applyFont="1" applyFill="1" applyBorder="1"/>
    <xf numFmtId="193" fontId="86" fillId="36" borderId="26" xfId="0" applyNumberFormat="1" applyFont="1" applyFill="1" applyBorder="1"/>
    <xf numFmtId="193" fontId="86" fillId="36" borderId="57" xfId="0" applyNumberFormat="1" applyFont="1" applyFill="1" applyBorder="1"/>
    <xf numFmtId="193" fontId="126" fillId="36" borderId="25" xfId="0" applyNumberFormat="1" applyFont="1" applyFill="1" applyBorder="1"/>
    <xf numFmtId="9" fontId="126" fillId="36" borderId="26" xfId="20962" applyFont="1" applyFill="1" applyBorder="1"/>
    <xf numFmtId="9" fontId="126" fillId="0" borderId="22" xfId="20962" applyFont="1" applyBorder="1"/>
    <xf numFmtId="0" fontId="100" fillId="3" borderId="123" xfId="0" applyFont="1" applyFill="1" applyBorder="1" applyAlignment="1">
      <alignment horizontal="left"/>
    </xf>
    <xf numFmtId="0" fontId="45" fillId="0" borderId="124" xfId="0" applyFont="1" applyFill="1" applyBorder="1" applyAlignment="1">
      <alignment horizontal="center" vertical="center" wrapText="1"/>
    </xf>
    <xf numFmtId="0" fontId="45" fillId="0" borderId="125" xfId="0" applyFont="1" applyFill="1" applyBorder="1" applyAlignment="1">
      <alignment horizontal="center" vertical="center" wrapText="1"/>
    </xf>
    <xf numFmtId="0" fontId="45" fillId="0" borderId="126" xfId="0" applyFont="1" applyFill="1" applyBorder="1" applyAlignment="1">
      <alignment horizontal="center" vertical="center" wrapText="1"/>
    </xf>
    <xf numFmtId="0" fontId="4" fillId="3" borderId="127" xfId="0" applyFont="1" applyFill="1" applyBorder="1" applyAlignment="1">
      <alignment vertical="center"/>
    </xf>
    <xf numFmtId="0" fontId="3" fillId="3" borderId="128" xfId="0" applyFont="1" applyFill="1" applyBorder="1" applyAlignment="1">
      <alignment vertical="center"/>
    </xf>
    <xf numFmtId="0" fontId="3" fillId="3" borderId="127" xfId="0" applyFont="1" applyFill="1" applyBorder="1" applyAlignment="1">
      <alignment vertical="center"/>
    </xf>
    <xf numFmtId="0" fontId="3" fillId="3" borderId="129" xfId="0" applyFont="1" applyFill="1" applyBorder="1" applyAlignment="1">
      <alignment vertical="center"/>
    </xf>
    <xf numFmtId="169" fontId="9" fillId="37" borderId="69" xfId="20" applyBorder="1"/>
    <xf numFmtId="169" fontId="9" fillId="37" borderId="98" xfId="20" applyBorder="1"/>
    <xf numFmtId="194" fontId="3" fillId="0" borderId="127" xfId="7" applyNumberFormat="1" applyFont="1" applyFill="1" applyBorder="1" applyAlignment="1">
      <alignment vertical="center"/>
    </xf>
    <xf numFmtId="194" fontId="3" fillId="0" borderId="90" xfId="7" applyNumberFormat="1" applyFont="1" applyFill="1" applyBorder="1" applyAlignment="1">
      <alignment vertical="center"/>
    </xf>
    <xf numFmtId="194" fontId="4" fillId="0" borderId="125" xfId="7" applyNumberFormat="1" applyFont="1" applyFill="1" applyBorder="1" applyAlignment="1">
      <alignment vertical="center"/>
    </xf>
    <xf numFmtId="194" fontId="3" fillId="0" borderId="128" xfId="7" applyNumberFormat="1" applyFont="1" applyFill="1" applyBorder="1" applyAlignment="1">
      <alignment vertical="center"/>
    </xf>
    <xf numFmtId="0" fontId="3" fillId="0" borderId="130" xfId="0" applyFont="1" applyFill="1" applyBorder="1" applyAlignment="1">
      <alignment vertical="center"/>
    </xf>
    <xf numFmtId="194" fontId="3" fillId="0" borderId="124" xfId="7" applyNumberFormat="1" applyFont="1" applyFill="1" applyBorder="1" applyAlignment="1">
      <alignment vertical="center"/>
    </xf>
    <xf numFmtId="0" fontId="3" fillId="0" borderId="21" xfId="0" applyFont="1" applyFill="1" applyBorder="1" applyAlignment="1">
      <alignment vertical="center"/>
    </xf>
    <xf numFmtId="0" fontId="3" fillId="0" borderId="126" xfId="0" applyFont="1" applyFill="1" applyBorder="1" applyAlignment="1">
      <alignment vertical="center"/>
    </xf>
    <xf numFmtId="0" fontId="4" fillId="0" borderId="130" xfId="0" applyFont="1" applyFill="1" applyBorder="1" applyAlignment="1">
      <alignment vertical="center"/>
    </xf>
    <xf numFmtId="194" fontId="4" fillId="0" borderId="127" xfId="0" applyNumberFormat="1" applyFont="1" applyFill="1" applyBorder="1" applyAlignment="1">
      <alignment vertical="center"/>
    </xf>
    <xf numFmtId="194" fontId="4" fillId="0" borderId="124" xfId="0" applyNumberFormat="1" applyFont="1" applyFill="1" applyBorder="1" applyAlignment="1">
      <alignment vertical="center"/>
    </xf>
    <xf numFmtId="194" fontId="4" fillId="0" borderId="128" xfId="0" applyNumberFormat="1" applyFont="1" applyFill="1" applyBorder="1" applyAlignment="1">
      <alignment vertical="center"/>
    </xf>
    <xf numFmtId="194" fontId="3" fillId="0" borderId="21" xfId="7" applyNumberFormat="1" applyFont="1" applyFill="1" applyBorder="1" applyAlignment="1">
      <alignment vertical="center"/>
    </xf>
    <xf numFmtId="194" fontId="3" fillId="0" borderId="130" xfId="7" applyNumberFormat="1" applyFont="1" applyFill="1" applyBorder="1" applyAlignment="1">
      <alignment vertical="center"/>
    </xf>
    <xf numFmtId="194" fontId="3" fillId="0" borderId="126" xfId="7" applyNumberFormat="1" applyFont="1" applyFill="1" applyBorder="1" applyAlignment="1">
      <alignment vertical="center"/>
    </xf>
    <xf numFmtId="0" fontId="4" fillId="0" borderId="27" xfId="0" applyFont="1" applyFill="1" applyBorder="1" applyAlignment="1">
      <alignment vertical="center"/>
    </xf>
    <xf numFmtId="194" fontId="4" fillId="0" borderId="131" xfId="0" applyNumberFormat="1" applyFont="1" applyFill="1" applyBorder="1" applyAlignment="1">
      <alignment vertical="center"/>
    </xf>
    <xf numFmtId="194" fontId="4" fillId="0" borderId="25" xfId="0" applyNumberFormat="1" applyFont="1" applyFill="1" applyBorder="1" applyAlignment="1">
      <alignment vertical="center"/>
    </xf>
    <xf numFmtId="194" fontId="4" fillId="0" borderId="26" xfId="7" applyNumberFormat="1" applyFont="1" applyFill="1" applyBorder="1" applyAlignment="1">
      <alignment vertical="center"/>
    </xf>
    <xf numFmtId="194" fontId="4" fillId="0" borderId="92" xfId="0" applyNumberFormat="1" applyFont="1" applyFill="1" applyBorder="1" applyAlignment="1">
      <alignment vertical="center"/>
    </xf>
    <xf numFmtId="194" fontId="3" fillId="0" borderId="76" xfId="7" applyNumberFormat="1" applyFont="1" applyFill="1" applyBorder="1" applyAlignment="1">
      <alignment vertical="center"/>
    </xf>
    <xf numFmtId="194" fontId="3" fillId="0" borderId="29" xfId="7" applyNumberFormat="1" applyFont="1" applyFill="1" applyBorder="1" applyAlignment="1">
      <alignment vertical="center"/>
    </xf>
    <xf numFmtId="194" fontId="4" fillId="0" borderId="20" xfId="7" applyNumberFormat="1" applyFont="1" applyFill="1" applyBorder="1" applyAlignment="1">
      <alignment vertical="center"/>
    </xf>
    <xf numFmtId="0" fontId="3" fillId="0" borderId="132" xfId="0" applyFont="1" applyFill="1" applyBorder="1" applyAlignment="1">
      <alignment horizontal="center" vertical="center"/>
    </xf>
    <xf numFmtId="0" fontId="3" fillId="0" borderId="133" xfId="0" applyFont="1" applyFill="1" applyBorder="1" applyAlignment="1">
      <alignment vertical="center"/>
    </xf>
    <xf numFmtId="194" fontId="3" fillId="0" borderId="134" xfId="0" applyNumberFormat="1" applyFont="1" applyFill="1" applyBorder="1" applyAlignment="1">
      <alignment vertical="center"/>
    </xf>
    <xf numFmtId="194" fontId="3" fillId="0" borderId="135" xfId="7" applyNumberFormat="1" applyFont="1" applyFill="1" applyBorder="1" applyAlignment="1">
      <alignment vertical="center"/>
    </xf>
    <xf numFmtId="194" fontId="4" fillId="0" borderId="136" xfId="7" applyNumberFormat="1" applyFont="1" applyFill="1" applyBorder="1" applyAlignment="1">
      <alignment vertical="center"/>
    </xf>
    <xf numFmtId="43" fontId="3" fillId="0" borderId="134" xfId="0" applyNumberFormat="1" applyFont="1" applyFill="1" applyBorder="1" applyAlignment="1">
      <alignment vertical="center"/>
    </xf>
    <xf numFmtId="10" fontId="4" fillId="0" borderId="137" xfId="20962" applyNumberFormat="1" applyFont="1" applyFill="1" applyBorder="1" applyAlignment="1">
      <alignment vertical="center"/>
    </xf>
    <xf numFmtId="10" fontId="4" fillId="0" borderId="96" xfId="20962" applyNumberFormat="1" applyFont="1" applyFill="1" applyBorder="1" applyAlignment="1">
      <alignment vertical="center"/>
    </xf>
    <xf numFmtId="10" fontId="4" fillId="0" borderId="97" xfId="20962" applyNumberFormat="1" applyFont="1" applyFill="1" applyBorder="1" applyAlignment="1">
      <alignment vertical="center"/>
    </xf>
    <xf numFmtId="194" fontId="4" fillId="0" borderId="21" xfId="0" applyNumberFormat="1" applyFont="1" applyFill="1" applyBorder="1" applyAlignment="1">
      <alignment vertical="center"/>
    </xf>
    <xf numFmtId="194" fontId="4" fillId="0" borderId="24" xfId="0" applyNumberFormat="1" applyFont="1" applyFill="1" applyBorder="1" applyAlignment="1">
      <alignment vertical="center"/>
    </xf>
    <xf numFmtId="164" fontId="3" fillId="0" borderId="25" xfId="0" applyNumberFormat="1" applyFont="1" applyFill="1" applyBorder="1" applyAlignment="1">
      <alignment vertical="center"/>
    </xf>
    <xf numFmtId="10" fontId="130" fillId="0" borderId="101" xfId="20962" applyNumberFormat="1" applyFont="1" applyFill="1" applyBorder="1" applyAlignment="1" applyProtection="1">
      <alignment horizontal="right" vertical="center"/>
      <protection locked="0"/>
    </xf>
    <xf numFmtId="164" fontId="116" fillId="0" borderId="116" xfId="7" applyNumberFormat="1" applyFont="1" applyFill="1" applyBorder="1"/>
    <xf numFmtId="164" fontId="131" fillId="0" borderId="116" xfId="7" applyNumberFormat="1" applyFont="1" applyFill="1" applyBorder="1"/>
    <xf numFmtId="164" fontId="113" fillId="0" borderId="116" xfId="7" applyNumberFormat="1" applyFont="1" applyFill="1" applyBorder="1"/>
    <xf numFmtId="164" fontId="133" fillId="0" borderId="116" xfId="7" applyNumberFormat="1" applyFont="1" applyFill="1" applyBorder="1"/>
    <xf numFmtId="164" fontId="113" fillId="0" borderId="116" xfId="7" applyNumberFormat="1" applyFont="1" applyFill="1" applyBorder="1" applyAlignment="1">
      <alignment horizontal="left" indent="1"/>
    </xf>
    <xf numFmtId="164" fontId="116" fillId="0" borderId="116" xfId="0" applyNumberFormat="1" applyFont="1" applyFill="1" applyBorder="1"/>
    <xf numFmtId="164" fontId="112" fillId="0" borderId="116" xfId="7" applyNumberFormat="1" applyFont="1" applyFill="1" applyBorder="1" applyAlignment="1">
      <alignment horizontal="left" vertical="center" wrapText="1"/>
    </xf>
    <xf numFmtId="164" fontId="113" fillId="0" borderId="116" xfId="7" applyNumberFormat="1" applyFont="1" applyFill="1" applyBorder="1" applyAlignment="1">
      <alignment horizontal="center" vertical="center" wrapText="1"/>
    </xf>
    <xf numFmtId="164" fontId="113" fillId="0" borderId="116" xfId="7" applyNumberFormat="1" applyFont="1" applyFill="1" applyBorder="1" applyAlignment="1">
      <alignment horizontal="center" vertical="center"/>
    </xf>
    <xf numFmtId="164" fontId="115" fillId="0" borderId="116" xfId="7" applyNumberFormat="1" applyFont="1" applyFill="1" applyBorder="1" applyAlignment="1">
      <alignment horizontal="left" vertical="center" wrapText="1"/>
    </xf>
    <xf numFmtId="164" fontId="116" fillId="0" borderId="7" xfId="7" applyNumberFormat="1" applyFont="1" applyFill="1" applyBorder="1"/>
    <xf numFmtId="164" fontId="113" fillId="0" borderId="116" xfId="7" applyNumberFormat="1" applyFont="1" applyFill="1" applyBorder="1" applyAlignment="1">
      <alignment horizontal="left" indent="2"/>
    </xf>
    <xf numFmtId="164" fontId="113" fillId="0" borderId="116" xfId="7" applyNumberFormat="1" applyFont="1" applyFill="1" applyBorder="1" applyAlignment="1">
      <alignment horizontal="left" indent="3"/>
    </xf>
    <xf numFmtId="164" fontId="113" fillId="0" borderId="116" xfId="7" applyNumberFormat="1" applyFont="1" applyFill="1" applyBorder="1" applyAlignment="1">
      <alignment horizontal="left" vertical="top" wrapText="1" indent="2"/>
    </xf>
    <xf numFmtId="164" fontId="113" fillId="0" borderId="116" xfId="7" applyNumberFormat="1" applyFont="1" applyFill="1" applyBorder="1" applyAlignment="1">
      <alignment horizontal="left" wrapText="1" indent="3"/>
    </xf>
    <xf numFmtId="164" fontId="113" fillId="0" borderId="116" xfId="7" applyNumberFormat="1" applyFont="1" applyFill="1" applyBorder="1" applyAlignment="1">
      <alignment horizontal="left" wrapText="1" indent="2"/>
    </xf>
    <xf numFmtId="164" fontId="113" fillId="0" borderId="116" xfId="7" applyNumberFormat="1" applyFont="1" applyFill="1" applyBorder="1" applyAlignment="1">
      <alignment horizontal="left" wrapText="1" indent="1"/>
    </xf>
    <xf numFmtId="194" fontId="132" fillId="36" borderId="124" xfId="20965" applyNumberFormat="1" applyFont="1" applyFill="1" applyBorder="1"/>
    <xf numFmtId="0" fontId="113" fillId="80" borderId="124" xfId="0" applyFont="1" applyFill="1" applyBorder="1"/>
    <xf numFmtId="0" fontId="113" fillId="81" borderId="124" xfId="0" applyFont="1" applyFill="1" applyBorder="1"/>
    <xf numFmtId="164" fontId="126" fillId="0" borderId="101" xfId="7" applyNumberFormat="1" applyFont="1" applyBorder="1"/>
    <xf numFmtId="164" fontId="126" fillId="0" borderId="87" xfId="7" applyNumberFormat="1" applyFont="1" applyBorder="1"/>
    <xf numFmtId="164" fontId="3" fillId="0" borderId="101" xfId="7" applyNumberFormat="1" applyFont="1" applyBorder="1" applyAlignment="1"/>
    <xf numFmtId="164" fontId="3" fillId="0" borderId="87" xfId="7" applyNumberFormat="1" applyFont="1" applyBorder="1" applyAlignment="1"/>
    <xf numFmtId="164" fontId="126" fillId="0" borderId="101" xfId="7" applyNumberFormat="1" applyFont="1" applyBorder="1" applyAlignment="1">
      <alignment vertical="center"/>
    </xf>
    <xf numFmtId="0" fontId="0" fillId="0" borderId="124" xfId="0" applyBorder="1" applyAlignment="1">
      <alignment horizontal="left" indent="2"/>
    </xf>
    <xf numFmtId="0" fontId="135" fillId="0" borderId="138" xfId="0" applyNumberFormat="1" applyFont="1" applyFill="1" applyBorder="1" applyAlignment="1">
      <alignment vertical="center" wrapText="1" readingOrder="1"/>
    </xf>
    <xf numFmtId="0" fontId="135" fillId="0" borderId="139" xfId="0" applyNumberFormat="1" applyFont="1" applyFill="1" applyBorder="1" applyAlignment="1">
      <alignment vertical="center" wrapText="1" readingOrder="1"/>
    </xf>
    <xf numFmtId="0" fontId="0" fillId="0" borderId="124" xfId="0" applyBorder="1" applyAlignment="1">
      <alignment horizontal="left" indent="3"/>
    </xf>
    <xf numFmtId="0" fontId="135" fillId="0" borderId="139" xfId="0" applyNumberFormat="1" applyFont="1" applyFill="1" applyBorder="1" applyAlignment="1">
      <alignment horizontal="left" vertical="center" wrapText="1" indent="1" readingOrder="1"/>
    </xf>
    <xf numFmtId="0" fontId="0" fillId="0" borderId="133" xfId="0" applyBorder="1" applyAlignment="1">
      <alignment horizontal="left" indent="2"/>
    </xf>
    <xf numFmtId="0" fontId="135" fillId="0" borderId="140" xfId="0" applyNumberFormat="1" applyFont="1" applyFill="1" applyBorder="1" applyAlignment="1">
      <alignment vertical="center" wrapText="1" readingOrder="1"/>
    </xf>
    <xf numFmtId="0" fontId="0" fillId="0" borderId="124" xfId="0" applyFill="1" applyBorder="1" applyAlignment="1">
      <alignment horizontal="left" indent="2"/>
    </xf>
    <xf numFmtId="0" fontId="136" fillId="0" borderId="124" xfId="0" applyNumberFormat="1" applyFont="1" applyFill="1" applyBorder="1" applyAlignment="1">
      <alignment vertical="center" wrapText="1" readingOrder="1"/>
    </xf>
    <xf numFmtId="164" fontId="121" fillId="0" borderId="124" xfId="7" applyNumberFormat="1" applyFont="1" applyBorder="1"/>
    <xf numFmtId="164" fontId="0" fillId="0" borderId="124" xfId="7" applyNumberFormat="1" applyFont="1" applyBorder="1"/>
    <xf numFmtId="164" fontId="121" fillId="0" borderId="133" xfId="7" applyNumberFormat="1" applyFont="1" applyBorder="1"/>
    <xf numFmtId="164" fontId="0" fillId="0" borderId="133" xfId="7" applyNumberFormat="1" applyFont="1" applyBorder="1"/>
    <xf numFmtId="164" fontId="137" fillId="0" borderId="124" xfId="7" applyNumberFormat="1" applyFont="1" applyBorder="1"/>
    <xf numFmtId="164" fontId="138" fillId="0" borderId="124" xfId="7" applyNumberFormat="1" applyFont="1" applyBorder="1"/>
    <xf numFmtId="10" fontId="0" fillId="0" borderId="124" xfId="20962" applyNumberFormat="1" applyFont="1" applyBorder="1"/>
    <xf numFmtId="10" fontId="0" fillId="0" borderId="133" xfId="20962" applyNumberFormat="1" applyFont="1" applyBorder="1"/>
    <xf numFmtId="0" fontId="111" fillId="0" borderId="7" xfId="0" applyFont="1" applyBorder="1"/>
    <xf numFmtId="0" fontId="116" fillId="0" borderId="133" xfId="0" applyFont="1" applyFill="1" applyBorder="1" applyAlignment="1">
      <alignment horizontal="center" vertical="center" wrapText="1"/>
    </xf>
    <xf numFmtId="0" fontId="116" fillId="0" borderId="135" xfId="0" applyFont="1" applyFill="1" applyBorder="1" applyAlignment="1">
      <alignment horizontal="center" vertical="center" wrapText="1"/>
    </xf>
    <xf numFmtId="0" fontId="84" fillId="0" borderId="124" xfId="0" applyFont="1" applyFill="1" applyBorder="1"/>
    <xf numFmtId="0" fontId="6" fillId="0" borderId="124" xfId="17" applyFill="1" applyBorder="1" applyAlignment="1" applyProtection="1"/>
    <xf numFmtId="0" fontId="94" fillId="0" borderId="72" xfId="0" applyFont="1" applyBorder="1" applyAlignment="1">
      <alignment horizontal="left" wrapText="1"/>
    </xf>
    <xf numFmtId="0" fontId="94" fillId="0" borderId="71" xfId="0" applyFont="1" applyBorder="1" applyAlignment="1">
      <alignment horizontal="left" wrapText="1"/>
    </xf>
    <xf numFmtId="0" fontId="45" fillId="0" borderId="29" xfId="0" applyFont="1" applyFill="1" applyBorder="1" applyAlignment="1" applyProtection="1">
      <alignment horizontal="center"/>
    </xf>
    <xf numFmtId="0" fontId="45" fillId="0" borderId="30" xfId="0" applyFont="1" applyFill="1" applyBorder="1" applyAlignment="1" applyProtection="1">
      <alignment horizontal="center"/>
    </xf>
    <xf numFmtId="0" fontId="45" fillId="0" borderId="32" xfId="0" applyFont="1" applyFill="1" applyBorder="1" applyAlignment="1" applyProtection="1">
      <alignment horizontal="center"/>
    </xf>
    <xf numFmtId="0" fontId="45" fillId="0" borderId="31" xfId="0" applyFont="1" applyFill="1" applyBorder="1" applyAlignment="1" applyProtection="1">
      <alignment horizontal="center"/>
    </xf>
    <xf numFmtId="0" fontId="86" fillId="0" borderId="4" xfId="0" applyFont="1" applyBorder="1" applyAlignment="1">
      <alignment horizontal="center" vertical="center"/>
    </xf>
    <xf numFmtId="0" fontId="86" fillId="0" borderId="73" xfId="0" applyFont="1" applyBorder="1" applyAlignment="1">
      <alignment horizontal="center" vertical="center"/>
    </xf>
    <xf numFmtId="0" fontId="45" fillId="0" borderId="5"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0" fontId="86" fillId="0" borderId="86" xfId="0" applyFont="1" applyFill="1" applyBorder="1" applyAlignment="1">
      <alignment horizontal="center" vertical="center" wrapText="1"/>
    </xf>
    <xf numFmtId="0" fontId="84" fillId="0" borderId="86" xfId="0" applyFont="1" applyFill="1" applyBorder="1" applyAlignment="1">
      <alignment horizontal="center" vertical="center" wrapText="1"/>
    </xf>
    <xf numFmtId="0" fontId="45" fillId="0" borderId="86" xfId="11" applyFont="1" applyFill="1" applyBorder="1" applyAlignment="1" applyProtection="1">
      <alignment horizontal="center" vertical="center" wrapText="1"/>
    </xf>
    <xf numFmtId="0" fontId="45" fillId="0" borderId="87" xfId="11" applyFont="1" applyFill="1" applyBorder="1" applyAlignment="1" applyProtection="1">
      <alignment horizontal="center" vertical="center" wrapText="1"/>
    </xf>
    <xf numFmtId="0" fontId="45" fillId="0" borderId="77"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0" fontId="4" fillId="36" borderId="76" xfId="0" applyFont="1" applyFill="1" applyBorder="1" applyAlignment="1">
      <alignment horizontal="center" vertical="center" wrapText="1"/>
    </xf>
    <xf numFmtId="0" fontId="4" fillId="36" borderId="32" xfId="0" applyFont="1" applyFill="1" applyBorder="1" applyAlignment="1">
      <alignment horizontal="center" vertical="center" wrapText="1"/>
    </xf>
    <xf numFmtId="0" fontId="4" fillId="36" borderId="88" xfId="0" applyFont="1" applyFill="1" applyBorder="1" applyAlignment="1">
      <alignment horizontal="center" vertical="center" wrapText="1"/>
    </xf>
    <xf numFmtId="0" fontId="4" fillId="36" borderId="120" xfId="0" applyFont="1" applyFill="1" applyBorder="1" applyAlignment="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9" fillId="3" borderId="78" xfId="13" applyFont="1" applyFill="1" applyBorder="1" applyAlignment="1" applyProtection="1">
      <alignment horizontal="center" vertical="center" wrapText="1"/>
      <protection locked="0"/>
    </xf>
    <xf numFmtId="0" fontId="99" fillId="3" borderId="70"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76" xfId="1" applyNumberFormat="1" applyFont="1" applyFill="1" applyBorder="1" applyAlignment="1" applyProtection="1">
      <alignment horizontal="center"/>
      <protection locked="0"/>
    </xf>
    <xf numFmtId="164" fontId="45" fillId="3" borderId="30" xfId="1" applyNumberFormat="1" applyFont="1" applyFill="1" applyBorder="1" applyAlignment="1" applyProtection="1">
      <alignment horizontal="center"/>
      <protection locked="0"/>
    </xf>
    <xf numFmtId="164" fontId="45" fillId="3" borderId="31" xfId="1" applyNumberFormat="1" applyFont="1" applyFill="1" applyBorder="1" applyAlignment="1" applyProtection="1">
      <alignment horizontal="center"/>
      <protection locked="0"/>
    </xf>
    <xf numFmtId="164" fontId="45" fillId="0" borderId="18" xfId="1" applyNumberFormat="1" applyFont="1" applyFill="1" applyBorder="1" applyAlignment="1" applyProtection="1">
      <alignment horizontal="center"/>
      <protection locked="0"/>
    </xf>
    <xf numFmtId="164" fontId="45" fillId="0" borderId="19" xfId="1" applyNumberFormat="1" applyFont="1" applyFill="1" applyBorder="1" applyAlignment="1" applyProtection="1">
      <alignment horizontal="center"/>
      <protection locked="0"/>
    </xf>
    <xf numFmtId="164" fontId="45" fillId="0" borderId="20" xfId="1" applyNumberFormat="1" applyFont="1" applyFill="1" applyBorder="1" applyAlignment="1" applyProtection="1">
      <alignment horizontal="center"/>
      <protection locked="0"/>
    </xf>
    <xf numFmtId="0" fontId="86" fillId="0" borderId="55" xfId="0" applyFont="1" applyBorder="1" applyAlignment="1">
      <alignment horizontal="center" vertical="center" wrapText="1"/>
    </xf>
    <xf numFmtId="0" fontId="86" fillId="0" borderId="56" xfId="0" applyFont="1" applyBorder="1" applyAlignment="1">
      <alignment horizontal="center" vertical="center" wrapText="1"/>
    </xf>
    <xf numFmtId="164" fontId="45" fillId="0" borderId="79" xfId="1" applyNumberFormat="1" applyFont="1" applyFill="1" applyBorder="1" applyAlignment="1" applyProtection="1">
      <alignment horizontal="center" vertical="center" wrapText="1"/>
      <protection locked="0"/>
    </xf>
    <xf numFmtId="164" fontId="45" fillId="0" borderId="80" xfId="1" applyNumberFormat="1" applyFont="1" applyFill="1" applyBorder="1" applyAlignment="1" applyProtection="1">
      <alignment horizontal="center" vertical="center" wrapText="1"/>
      <protection locked="0"/>
    </xf>
    <xf numFmtId="0" fontId="3" fillId="0" borderId="78"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86" fillId="0" borderId="81" xfId="0" applyFont="1" applyBorder="1" applyAlignment="1">
      <alignment horizontal="center"/>
    </xf>
    <xf numFmtId="0" fontId="86" fillId="0" borderId="82"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100" fillId="0" borderId="58" xfId="0" applyFont="1" applyFill="1" applyBorder="1" applyAlignment="1">
      <alignment horizontal="left" vertical="center"/>
    </xf>
    <xf numFmtId="0" fontId="100" fillId="0" borderId="59" xfId="0" applyFont="1" applyFill="1" applyBorder="1" applyAlignment="1">
      <alignment horizontal="left" vertical="center"/>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8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84" xfId="0" applyFont="1" applyFill="1" applyBorder="1" applyAlignment="1">
      <alignment horizontal="center" vertical="center" wrapText="1"/>
    </xf>
    <xf numFmtId="0" fontId="3" fillId="0" borderId="19" xfId="0" applyFont="1" applyBorder="1" applyAlignment="1">
      <alignment horizontal="center"/>
    </xf>
    <xf numFmtId="0" fontId="3" fillId="0" borderId="20" xfId="0" applyFont="1" applyBorder="1" applyAlignment="1">
      <alignment horizontal="center" vertical="center" wrapText="1"/>
    </xf>
    <xf numFmtId="0" fontId="3" fillId="0" borderId="87" xfId="0" applyFont="1" applyBorder="1" applyAlignment="1">
      <alignment horizontal="center" vertical="center" wrapText="1"/>
    </xf>
    <xf numFmtId="0" fontId="115" fillId="0" borderId="106" xfId="0" applyNumberFormat="1" applyFont="1" applyFill="1" applyBorder="1" applyAlignment="1">
      <alignment horizontal="left" vertical="center" wrapText="1"/>
    </xf>
    <xf numFmtId="0" fontId="115" fillId="0" borderId="107" xfId="0" applyNumberFormat="1" applyFont="1" applyFill="1" applyBorder="1" applyAlignment="1">
      <alignment horizontal="left" vertical="center" wrapText="1"/>
    </xf>
    <xf numFmtId="0" fontId="115" fillId="0" borderId="111" xfId="0" applyNumberFormat="1" applyFont="1" applyFill="1" applyBorder="1" applyAlignment="1">
      <alignment horizontal="left" vertical="center" wrapText="1"/>
    </xf>
    <xf numFmtId="0" fontId="115" fillId="0" borderId="112" xfId="0" applyNumberFormat="1" applyFont="1" applyFill="1" applyBorder="1" applyAlignment="1">
      <alignment horizontal="left" vertical="center" wrapText="1"/>
    </xf>
    <xf numFmtId="0" fontId="115" fillId="0" borderId="114" xfId="0" applyNumberFormat="1" applyFont="1" applyFill="1" applyBorder="1" applyAlignment="1">
      <alignment horizontal="left" vertical="center" wrapText="1"/>
    </xf>
    <xf numFmtId="0" fontId="115" fillId="0" borderId="115" xfId="0" applyNumberFormat="1" applyFont="1" applyFill="1" applyBorder="1" applyAlignment="1">
      <alignment horizontal="left" vertical="center" wrapText="1"/>
    </xf>
    <xf numFmtId="0" fontId="116" fillId="0" borderId="108" xfId="0" applyFont="1" applyFill="1" applyBorder="1" applyAlignment="1">
      <alignment horizontal="center" vertical="center" wrapText="1"/>
    </xf>
    <xf numFmtId="0" fontId="116" fillId="0" borderId="109" xfId="0" applyFont="1" applyFill="1" applyBorder="1" applyAlignment="1">
      <alignment horizontal="center" vertical="center" wrapText="1"/>
    </xf>
    <xf numFmtId="0" fontId="116" fillId="0" borderId="110" xfId="0" applyFont="1" applyFill="1" applyBorder="1" applyAlignment="1">
      <alignment horizontal="center" vertical="center" wrapText="1"/>
    </xf>
    <xf numFmtId="0" fontId="116" fillId="0" borderId="90" xfId="0" applyFont="1" applyFill="1" applyBorder="1" applyAlignment="1">
      <alignment horizontal="center" vertical="center" wrapText="1"/>
    </xf>
    <xf numFmtId="0" fontId="116" fillId="0" borderId="113" xfId="0" applyFont="1" applyFill="1" applyBorder="1" applyAlignment="1">
      <alignment horizontal="center" vertical="center" wrapText="1"/>
    </xf>
    <xf numFmtId="0" fontId="116" fillId="0" borderId="82" xfId="0" applyFont="1" applyFill="1" applyBorder="1" applyAlignment="1">
      <alignment horizontal="center" vertical="center" wrapText="1"/>
    </xf>
    <xf numFmtId="0" fontId="113" fillId="0" borderId="117"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3" fillId="0" borderId="116" xfId="0" applyFont="1" applyFill="1" applyBorder="1" applyAlignment="1">
      <alignment horizontal="center" vertical="center" wrapText="1"/>
    </xf>
    <xf numFmtId="0" fontId="120" fillId="0" borderId="116" xfId="0" applyFont="1" applyFill="1" applyBorder="1" applyAlignment="1">
      <alignment horizontal="center" vertical="center"/>
    </xf>
    <xf numFmtId="0" fontId="120" fillId="0" borderId="108" xfId="0" applyFont="1" applyFill="1" applyBorder="1" applyAlignment="1">
      <alignment horizontal="center" vertical="center"/>
    </xf>
    <xf numFmtId="0" fontId="120" fillId="0" borderId="110" xfId="0" applyFont="1" applyFill="1" applyBorder="1" applyAlignment="1">
      <alignment horizontal="center" vertical="center"/>
    </xf>
    <xf numFmtId="0" fontId="120" fillId="0" borderId="90" xfId="0" applyFont="1" applyFill="1" applyBorder="1" applyAlignment="1">
      <alignment horizontal="center" vertical="center"/>
    </xf>
    <xf numFmtId="0" fontId="120" fillId="0" borderId="82" xfId="0" applyFont="1" applyFill="1" applyBorder="1" applyAlignment="1">
      <alignment horizontal="center" vertical="center"/>
    </xf>
    <xf numFmtId="0" fontId="116" fillId="0" borderId="116" xfId="0" applyFont="1" applyFill="1" applyBorder="1" applyAlignment="1">
      <alignment horizontal="center" vertical="center" wrapText="1"/>
    </xf>
    <xf numFmtId="0" fontId="116" fillId="0" borderId="77" xfId="0" applyFont="1" applyFill="1" applyBorder="1" applyAlignment="1">
      <alignment horizontal="center" vertical="center" wrapText="1"/>
    </xf>
    <xf numFmtId="0" fontId="116" fillId="0" borderId="75" xfId="0" applyFont="1" applyFill="1" applyBorder="1" applyAlignment="1">
      <alignment horizontal="center" vertical="center" wrapText="1"/>
    </xf>
    <xf numFmtId="0" fontId="113" fillId="0" borderId="118" xfId="0" applyFont="1" applyFill="1" applyBorder="1" applyAlignment="1">
      <alignment horizontal="center" vertical="center" wrapText="1"/>
    </xf>
    <xf numFmtId="0" fontId="113" fillId="0" borderId="119" xfId="0" applyFont="1" applyFill="1" applyBorder="1" applyAlignment="1">
      <alignment horizontal="center" vertical="center" wrapText="1"/>
    </xf>
    <xf numFmtId="0" fontId="113" fillId="0" borderId="120" xfId="0" applyFont="1" applyFill="1" applyBorder="1" applyAlignment="1">
      <alignment horizontal="center" vertical="center" wrapText="1"/>
    </xf>
    <xf numFmtId="0" fontId="116" fillId="0" borderId="83"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3" fillId="0" borderId="83" xfId="0" applyFont="1" applyFill="1" applyBorder="1" applyAlignment="1">
      <alignment horizontal="center" vertical="center" wrapText="1"/>
    </xf>
    <xf numFmtId="0" fontId="113" fillId="0" borderId="77"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3" fillId="0" borderId="75" xfId="0" applyFont="1" applyFill="1" applyBorder="1" applyAlignment="1">
      <alignment horizontal="center" vertical="center" wrapText="1"/>
    </xf>
    <xf numFmtId="0" fontId="113" fillId="0" borderId="82" xfId="0" applyFont="1" applyFill="1" applyBorder="1" applyAlignment="1">
      <alignment horizontal="center" vertical="center" wrapText="1"/>
    </xf>
    <xf numFmtId="0" fontId="116" fillId="0" borderId="108" xfId="0" applyFont="1" applyFill="1" applyBorder="1" applyAlignment="1">
      <alignment horizontal="center" vertical="top" wrapText="1"/>
    </xf>
    <xf numFmtId="0" fontId="116" fillId="0" borderId="110" xfId="0" applyFont="1" applyFill="1" applyBorder="1" applyAlignment="1">
      <alignment horizontal="center" vertical="top" wrapText="1"/>
    </xf>
    <xf numFmtId="0" fontId="116" fillId="0" borderId="77" xfId="0" applyFont="1" applyFill="1" applyBorder="1" applyAlignment="1">
      <alignment horizontal="center" vertical="top" wrapText="1"/>
    </xf>
    <xf numFmtId="0" fontId="116" fillId="0" borderId="75" xfId="0" applyFont="1" applyFill="1" applyBorder="1" applyAlignment="1">
      <alignment horizontal="center" vertical="top" wrapText="1"/>
    </xf>
    <xf numFmtId="0" fontId="116" fillId="0" borderId="90" xfId="0" applyFont="1" applyFill="1" applyBorder="1" applyAlignment="1">
      <alignment horizontal="center" vertical="top" wrapText="1"/>
    </xf>
    <xf numFmtId="0" fontId="116" fillId="0" borderId="82" xfId="0" applyFont="1" applyFill="1" applyBorder="1" applyAlignment="1">
      <alignment horizontal="center" vertical="top" wrapText="1"/>
    </xf>
    <xf numFmtId="0" fontId="113" fillId="0" borderId="0" xfId="0" applyFont="1" applyFill="1" applyBorder="1" applyAlignment="1">
      <alignment horizontal="center" vertical="center"/>
    </xf>
    <xf numFmtId="0" fontId="113" fillId="0" borderId="75" xfId="0" applyFont="1" applyFill="1" applyBorder="1" applyAlignment="1">
      <alignment horizontal="center" vertical="center"/>
    </xf>
    <xf numFmtId="0" fontId="113" fillId="0" borderId="77" xfId="0" applyFont="1" applyFill="1" applyBorder="1" applyAlignment="1">
      <alignment horizontal="center" vertical="center"/>
    </xf>
    <xf numFmtId="0" fontId="113" fillId="0" borderId="118" xfId="0" applyFont="1" applyFill="1" applyBorder="1" applyAlignment="1">
      <alignment horizontal="center" vertical="center"/>
    </xf>
    <xf numFmtId="0" fontId="113" fillId="0" borderId="119" xfId="0" applyFont="1" applyFill="1" applyBorder="1" applyAlignment="1">
      <alignment horizontal="center" vertical="center"/>
    </xf>
    <xf numFmtId="0" fontId="113" fillId="0" borderId="120" xfId="0" applyFont="1" applyFill="1" applyBorder="1" applyAlignment="1">
      <alignment horizontal="center" vertical="center"/>
    </xf>
    <xf numFmtId="0" fontId="113" fillId="0" borderId="108" xfId="0" applyFont="1" applyFill="1" applyBorder="1" applyAlignment="1">
      <alignment horizontal="center" vertical="top" wrapText="1"/>
    </xf>
    <xf numFmtId="0" fontId="113" fillId="0" borderId="109" xfId="0" applyFont="1" applyFill="1" applyBorder="1" applyAlignment="1">
      <alignment horizontal="center" vertical="top" wrapText="1"/>
    </xf>
    <xf numFmtId="0" fontId="113" fillId="0" borderId="110" xfId="0" applyFont="1" applyFill="1" applyBorder="1" applyAlignment="1">
      <alignment horizontal="center" vertical="top" wrapText="1"/>
    </xf>
    <xf numFmtId="0" fontId="113" fillId="0" borderId="119" xfId="0" applyFont="1" applyFill="1" applyBorder="1" applyAlignment="1">
      <alignment horizontal="center" vertical="top" wrapText="1"/>
    </xf>
    <xf numFmtId="0" fontId="113" fillId="0" borderId="120" xfId="0" applyFont="1" applyFill="1" applyBorder="1" applyAlignment="1">
      <alignment horizontal="center" vertical="top" wrapText="1"/>
    </xf>
    <xf numFmtId="0" fontId="113" fillId="0" borderId="117" xfId="0" applyFont="1" applyFill="1" applyBorder="1" applyAlignment="1">
      <alignment horizontal="center" vertical="top" wrapText="1"/>
    </xf>
    <xf numFmtId="0" fontId="113" fillId="0" borderId="7" xfId="0" applyFont="1" applyFill="1" applyBorder="1" applyAlignment="1">
      <alignment horizontal="center" vertical="top" wrapText="1"/>
    </xf>
    <xf numFmtId="0" fontId="115" fillId="0" borderId="121" xfId="0" applyNumberFormat="1" applyFont="1" applyFill="1" applyBorder="1" applyAlignment="1">
      <alignment horizontal="left" vertical="top" wrapText="1"/>
    </xf>
    <xf numFmtId="0" fontId="115" fillId="0" borderId="122" xfId="0" applyNumberFormat="1" applyFont="1" applyFill="1" applyBorder="1" applyAlignment="1">
      <alignment horizontal="left" vertical="top" wrapText="1"/>
    </xf>
    <xf numFmtId="0" fontId="139" fillId="0" borderId="124" xfId="0" applyFont="1" applyBorder="1" applyAlignment="1">
      <alignment horizontal="center" vertical="center" wrapText="1"/>
    </xf>
    <xf numFmtId="0" fontId="137" fillId="0" borderId="124" xfId="0" applyFont="1" applyBorder="1" applyAlignment="1">
      <alignment horizontal="center" vertical="center"/>
    </xf>
    <xf numFmtId="0" fontId="134" fillId="0" borderId="133" xfId="0" applyFont="1" applyBorder="1" applyAlignment="1">
      <alignment horizontal="center" vertical="center" wrapText="1"/>
    </xf>
    <xf numFmtId="0" fontId="134" fillId="0" borderId="135" xfId="0" applyFont="1" applyBorder="1" applyAlignment="1">
      <alignment horizontal="center" vertical="center" wrapText="1"/>
    </xf>
  </cellXfs>
  <cellStyles count="20966">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zoomScaleNormal="100" workbookViewId="0">
      <selection activeCell="B1" sqref="B1"/>
    </sheetView>
  </sheetViews>
  <sheetFormatPr defaultColWidth="9.28515625" defaultRowHeight="14.25"/>
  <cols>
    <col min="1" max="1" width="10.28515625" style="4" customWidth="1"/>
    <col min="2" max="2" width="138.28515625" style="5" bestFit="1" customWidth="1"/>
    <col min="3" max="3" width="39.42578125" style="5" customWidth="1"/>
    <col min="4" max="6" width="9.28515625" style="5"/>
    <col min="7" max="7" width="25" style="5" customWidth="1"/>
    <col min="8" max="16384" width="9.28515625" style="5"/>
  </cols>
  <sheetData>
    <row r="1" spans="1:3" ht="15">
      <c r="A1" s="136"/>
      <c r="B1" s="174" t="s">
        <v>344</v>
      </c>
      <c r="C1" s="136"/>
    </row>
    <row r="2" spans="1:3">
      <c r="A2" s="175">
        <v>1</v>
      </c>
      <c r="B2" s="289" t="s">
        <v>345</v>
      </c>
      <c r="C2" s="448" t="s">
        <v>709</v>
      </c>
    </row>
    <row r="3" spans="1:3">
      <c r="A3" s="175">
        <v>2</v>
      </c>
      <c r="B3" s="290" t="s">
        <v>341</v>
      </c>
      <c r="C3" s="448" t="s">
        <v>710</v>
      </c>
    </row>
    <row r="4" spans="1:3">
      <c r="A4" s="175">
        <v>3</v>
      </c>
      <c r="B4" s="291" t="s">
        <v>346</v>
      </c>
      <c r="C4" s="448" t="s">
        <v>711</v>
      </c>
    </row>
    <row r="5" spans="1:3">
      <c r="A5" s="176">
        <v>4</v>
      </c>
      <c r="B5" s="292" t="s">
        <v>342</v>
      </c>
      <c r="C5" s="419" t="s">
        <v>712</v>
      </c>
    </row>
    <row r="6" spans="1:3" s="177" customFormat="1" ht="45.75" customHeight="1">
      <c r="A6" s="702" t="s">
        <v>420</v>
      </c>
      <c r="B6" s="703"/>
      <c r="C6" s="703"/>
    </row>
    <row r="7" spans="1:3" ht="15">
      <c r="A7" s="178" t="s">
        <v>29</v>
      </c>
      <c r="B7" s="174" t="s">
        <v>343</v>
      </c>
    </row>
    <row r="8" spans="1:3">
      <c r="A8" s="136">
        <v>1</v>
      </c>
      <c r="B8" s="211" t="s">
        <v>20</v>
      </c>
    </row>
    <row r="9" spans="1:3">
      <c r="A9" s="136">
        <v>2</v>
      </c>
      <c r="B9" s="212" t="s">
        <v>21</v>
      </c>
    </row>
    <row r="10" spans="1:3">
      <c r="A10" s="136">
        <v>3</v>
      </c>
      <c r="B10" s="212" t="s">
        <v>22</v>
      </c>
    </row>
    <row r="11" spans="1:3">
      <c r="A11" s="136">
        <v>4</v>
      </c>
      <c r="B11" s="212" t="s">
        <v>23</v>
      </c>
      <c r="C11" s="71"/>
    </row>
    <row r="12" spans="1:3">
      <c r="A12" s="136">
        <v>5</v>
      </c>
      <c r="B12" s="212" t="s">
        <v>24</v>
      </c>
    </row>
    <row r="13" spans="1:3">
      <c r="A13" s="136">
        <v>6</v>
      </c>
      <c r="B13" s="213" t="s">
        <v>353</v>
      </c>
    </row>
    <row r="14" spans="1:3">
      <c r="A14" s="136">
        <v>7</v>
      </c>
      <c r="B14" s="212" t="s">
        <v>347</v>
      </c>
    </row>
    <row r="15" spans="1:3">
      <c r="A15" s="136">
        <v>8</v>
      </c>
      <c r="B15" s="212" t="s">
        <v>348</v>
      </c>
    </row>
    <row r="16" spans="1:3">
      <c r="A16" s="136">
        <v>9</v>
      </c>
      <c r="B16" s="212" t="s">
        <v>25</v>
      </c>
    </row>
    <row r="17" spans="1:2">
      <c r="A17" s="288" t="s">
        <v>419</v>
      </c>
      <c r="B17" s="287" t="s">
        <v>406</v>
      </c>
    </row>
    <row r="18" spans="1:2">
      <c r="A18" s="136">
        <v>10</v>
      </c>
      <c r="B18" s="212" t="s">
        <v>26</v>
      </c>
    </row>
    <row r="19" spans="1:2">
      <c r="A19" s="136">
        <v>11</v>
      </c>
      <c r="B19" s="213" t="s">
        <v>349</v>
      </c>
    </row>
    <row r="20" spans="1:2">
      <c r="A20" s="136">
        <v>12</v>
      </c>
      <c r="B20" s="213" t="s">
        <v>27</v>
      </c>
    </row>
    <row r="21" spans="1:2">
      <c r="A21" s="327">
        <v>13</v>
      </c>
      <c r="B21" s="328" t="s">
        <v>350</v>
      </c>
    </row>
    <row r="22" spans="1:2">
      <c r="A22" s="327">
        <v>14</v>
      </c>
      <c r="B22" s="329" t="s">
        <v>377</v>
      </c>
    </row>
    <row r="23" spans="1:2">
      <c r="A23" s="330">
        <v>15</v>
      </c>
      <c r="B23" s="331" t="s">
        <v>28</v>
      </c>
    </row>
    <row r="24" spans="1:2">
      <c r="A24" s="330">
        <v>15.1</v>
      </c>
      <c r="B24" s="332" t="s">
        <v>433</v>
      </c>
    </row>
    <row r="25" spans="1:2">
      <c r="A25" s="330">
        <v>16</v>
      </c>
      <c r="B25" s="332" t="s">
        <v>497</v>
      </c>
    </row>
    <row r="26" spans="1:2">
      <c r="A26" s="330">
        <v>17</v>
      </c>
      <c r="B26" s="332" t="s">
        <v>538</v>
      </c>
    </row>
    <row r="27" spans="1:2">
      <c r="A27" s="330">
        <v>18</v>
      </c>
      <c r="B27" s="332" t="s">
        <v>539</v>
      </c>
    </row>
    <row r="28" spans="1:2">
      <c r="A28" s="330">
        <v>19</v>
      </c>
      <c r="B28" s="332" t="s">
        <v>540</v>
      </c>
    </row>
    <row r="29" spans="1:2">
      <c r="A29" s="330">
        <v>20</v>
      </c>
      <c r="B29" s="419" t="s">
        <v>541</v>
      </c>
    </row>
    <row r="30" spans="1:2">
      <c r="A30" s="330">
        <v>21</v>
      </c>
      <c r="B30" s="332" t="s">
        <v>706</v>
      </c>
    </row>
    <row r="31" spans="1:2">
      <c r="A31" s="330">
        <v>22</v>
      </c>
      <c r="B31" s="332" t="s">
        <v>542</v>
      </c>
    </row>
    <row r="32" spans="1:2">
      <c r="A32" s="330">
        <v>23</v>
      </c>
      <c r="B32" s="332" t="s">
        <v>543</v>
      </c>
    </row>
    <row r="33" spans="1:2">
      <c r="A33" s="330">
        <v>24</v>
      </c>
      <c r="B33" s="332" t="s">
        <v>544</v>
      </c>
    </row>
    <row r="34" spans="1:2">
      <c r="A34" s="330">
        <v>25</v>
      </c>
      <c r="B34" s="332" t="s">
        <v>545</v>
      </c>
    </row>
    <row r="35" spans="1:2">
      <c r="A35" s="700">
        <v>26</v>
      </c>
      <c r="B35" s="701" t="s">
        <v>755</v>
      </c>
    </row>
  </sheetData>
  <mergeCells count="1">
    <mergeCell ref="A6:C6"/>
  </mergeCells>
  <hyperlinks>
    <hyperlink ref="B9" location="'2.RC'!A1" display="Balance Sheet"/>
    <hyperlink ref="B12" location="'5. RWA '!A1" display="Risk-Weighted Assets (RWA)"/>
    <hyperlink ref="B8" location="'1. key ratios '!A1" display="Key ratios"/>
    <hyperlink ref="B10" location="'3.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C5" r:id="rId1"/>
    <hyperlink ref="B35" location="'26. Retail Products'!A1" display="General and Qualitative information on Retail Products"/>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9.5703125" style="74" bestFit="1" customWidth="1"/>
    <col min="2" max="2" width="132.42578125" style="4" customWidth="1"/>
    <col min="3" max="3" width="18.42578125" style="4" customWidth="1"/>
    <col min="4" max="4" width="9.28515625" style="4"/>
    <col min="5" max="5" width="10.7109375" style="4" bestFit="1" customWidth="1"/>
    <col min="6" max="16384" width="9.28515625" style="4"/>
  </cols>
  <sheetData>
    <row r="1" spans="1:5">
      <c r="A1" s="449" t="s">
        <v>30</v>
      </c>
      <c r="B1" s="450" t="str">
        <f>'Info '!C2</f>
        <v>JSC Isbank Georgia</v>
      </c>
    </row>
    <row r="2" spans="1:5" s="62" customFormat="1" ht="15.75" customHeight="1">
      <c r="A2" s="449" t="s">
        <v>31</v>
      </c>
      <c r="B2" s="451">
        <f>'1. key ratios '!B2</f>
        <v>44561</v>
      </c>
    </row>
    <row r="3" spans="1:5" s="62" customFormat="1" ht="15.75" customHeight="1"/>
    <row r="4" spans="1:5" ht="13.5" thickBot="1">
      <c r="A4" s="74" t="s">
        <v>246</v>
      </c>
      <c r="B4" s="122" t="s">
        <v>245</v>
      </c>
    </row>
    <row r="5" spans="1:5">
      <c r="A5" s="75" t="s">
        <v>6</v>
      </c>
      <c r="B5" s="76"/>
      <c r="C5" s="77" t="s">
        <v>73</v>
      </c>
    </row>
    <row r="6" spans="1:5">
      <c r="A6" s="78">
        <v>1</v>
      </c>
      <c r="B6" s="562" t="s">
        <v>244</v>
      </c>
      <c r="C6" s="563">
        <f>SUM(C7:C11)</f>
        <v>94603031.328289479</v>
      </c>
    </row>
    <row r="7" spans="1:5">
      <c r="A7" s="78">
        <v>2</v>
      </c>
      <c r="B7" s="79" t="s">
        <v>243</v>
      </c>
      <c r="C7" s="564">
        <f>'2.RC'!E33</f>
        <v>69161600</v>
      </c>
    </row>
    <row r="8" spans="1:5">
      <c r="A8" s="78">
        <v>3</v>
      </c>
      <c r="B8" s="565" t="s">
        <v>242</v>
      </c>
      <c r="C8" s="564"/>
    </row>
    <row r="9" spans="1:5">
      <c r="A9" s="78">
        <v>4</v>
      </c>
      <c r="B9" s="565" t="s">
        <v>241</v>
      </c>
      <c r="C9" s="564"/>
    </row>
    <row r="10" spans="1:5">
      <c r="A10" s="78">
        <v>5</v>
      </c>
      <c r="B10" s="565" t="s">
        <v>240</v>
      </c>
      <c r="C10" s="564"/>
    </row>
    <row r="11" spans="1:5">
      <c r="A11" s="78">
        <v>6</v>
      </c>
      <c r="B11" s="566" t="s">
        <v>239</v>
      </c>
      <c r="C11" s="564">
        <f>'2.RC'!E38</f>
        <v>25441431.328289483</v>
      </c>
    </row>
    <row r="12" spans="1:5" s="48" customFormat="1">
      <c r="A12" s="78">
        <v>7</v>
      </c>
      <c r="B12" s="562" t="s">
        <v>238</v>
      </c>
      <c r="C12" s="567">
        <f>SUM(C13:C27)</f>
        <v>211491.8899999999</v>
      </c>
      <c r="E12" s="579"/>
    </row>
    <row r="13" spans="1:5" s="48" customFormat="1">
      <c r="A13" s="78">
        <v>8</v>
      </c>
      <c r="B13" s="80" t="s">
        <v>237</v>
      </c>
      <c r="C13" s="568"/>
    </row>
    <row r="14" spans="1:5" s="48" customFormat="1" ht="25.5">
      <c r="A14" s="78">
        <v>9</v>
      </c>
      <c r="B14" s="569" t="s">
        <v>236</v>
      </c>
      <c r="C14" s="568"/>
    </row>
    <row r="15" spans="1:5" s="48" customFormat="1">
      <c r="A15" s="78">
        <v>10</v>
      </c>
      <c r="B15" s="570" t="s">
        <v>235</v>
      </c>
      <c r="C15" s="568">
        <f>'7. LI1 '!D19</f>
        <v>211491.8899999999</v>
      </c>
    </row>
    <row r="16" spans="1:5" s="48" customFormat="1">
      <c r="A16" s="78">
        <v>11</v>
      </c>
      <c r="B16" s="571" t="s">
        <v>234</v>
      </c>
      <c r="C16" s="568"/>
    </row>
    <row r="17" spans="1:3" s="48" customFormat="1">
      <c r="A17" s="78">
        <v>12</v>
      </c>
      <c r="B17" s="570" t="s">
        <v>233</v>
      </c>
      <c r="C17" s="568"/>
    </row>
    <row r="18" spans="1:3" s="48" customFormat="1">
      <c r="A18" s="78">
        <v>13</v>
      </c>
      <c r="B18" s="570" t="s">
        <v>232</v>
      </c>
      <c r="C18" s="568"/>
    </row>
    <row r="19" spans="1:3" s="48" customFormat="1">
      <c r="A19" s="78">
        <v>14</v>
      </c>
      <c r="B19" s="570" t="s">
        <v>231</v>
      </c>
      <c r="C19" s="568"/>
    </row>
    <row r="20" spans="1:3" s="48" customFormat="1">
      <c r="A20" s="78">
        <v>15</v>
      </c>
      <c r="B20" s="570" t="s">
        <v>230</v>
      </c>
      <c r="C20" s="568"/>
    </row>
    <row r="21" spans="1:3" s="48" customFormat="1" ht="25.5">
      <c r="A21" s="78">
        <v>16</v>
      </c>
      <c r="B21" s="569" t="s">
        <v>229</v>
      </c>
      <c r="C21" s="568"/>
    </row>
    <row r="22" spans="1:3" s="48" customFormat="1">
      <c r="A22" s="78">
        <v>17</v>
      </c>
      <c r="B22" s="81" t="s">
        <v>228</v>
      </c>
      <c r="C22" s="568"/>
    </row>
    <row r="23" spans="1:3" s="48" customFormat="1">
      <c r="A23" s="78">
        <v>18</v>
      </c>
      <c r="B23" s="569" t="s">
        <v>227</v>
      </c>
      <c r="C23" s="568"/>
    </row>
    <row r="24" spans="1:3" s="48" customFormat="1" ht="25.5">
      <c r="A24" s="78">
        <v>19</v>
      </c>
      <c r="B24" s="569" t="s">
        <v>204</v>
      </c>
      <c r="C24" s="568"/>
    </row>
    <row r="25" spans="1:3" s="48" customFormat="1">
      <c r="A25" s="78">
        <v>20</v>
      </c>
      <c r="B25" s="572" t="s">
        <v>226</v>
      </c>
      <c r="C25" s="568"/>
    </row>
    <row r="26" spans="1:3" s="48" customFormat="1">
      <c r="A26" s="78">
        <v>21</v>
      </c>
      <c r="B26" s="572" t="s">
        <v>225</v>
      </c>
      <c r="C26" s="568"/>
    </row>
    <row r="27" spans="1:3" s="48" customFormat="1">
      <c r="A27" s="78">
        <v>22</v>
      </c>
      <c r="B27" s="572" t="s">
        <v>224</v>
      </c>
      <c r="C27" s="568"/>
    </row>
    <row r="28" spans="1:3" s="48" customFormat="1">
      <c r="A28" s="78">
        <v>23</v>
      </c>
      <c r="B28" s="573" t="s">
        <v>223</v>
      </c>
      <c r="C28" s="567">
        <f>C6-C12</f>
        <v>94391539.438289478</v>
      </c>
    </row>
    <row r="29" spans="1:3" s="48" customFormat="1">
      <c r="A29" s="82"/>
      <c r="B29" s="574"/>
      <c r="C29" s="568"/>
    </row>
    <row r="30" spans="1:3" s="48" customFormat="1">
      <c r="A30" s="82">
        <v>24</v>
      </c>
      <c r="B30" s="573" t="s">
        <v>222</v>
      </c>
      <c r="C30" s="567">
        <f>C31+C34</f>
        <v>0</v>
      </c>
    </row>
    <row r="31" spans="1:3" s="48" customFormat="1">
      <c r="A31" s="82">
        <v>25</v>
      </c>
      <c r="B31" s="565" t="s">
        <v>221</v>
      </c>
      <c r="C31" s="575">
        <f>C32+C33</f>
        <v>0</v>
      </c>
    </row>
    <row r="32" spans="1:3" s="48" customFormat="1">
      <c r="A32" s="82">
        <v>26</v>
      </c>
      <c r="B32" s="576" t="s">
        <v>302</v>
      </c>
      <c r="C32" s="568"/>
    </row>
    <row r="33" spans="1:3" s="48" customFormat="1">
      <c r="A33" s="82">
        <v>27</v>
      </c>
      <c r="B33" s="576" t="s">
        <v>220</v>
      </c>
      <c r="C33" s="568"/>
    </row>
    <row r="34" spans="1:3" s="48" customFormat="1">
      <c r="A34" s="82">
        <v>28</v>
      </c>
      <c r="B34" s="565" t="s">
        <v>219</v>
      </c>
      <c r="C34" s="568"/>
    </row>
    <row r="35" spans="1:3" s="48" customFormat="1">
      <c r="A35" s="82">
        <v>29</v>
      </c>
      <c r="B35" s="573" t="s">
        <v>218</v>
      </c>
      <c r="C35" s="567">
        <f>SUM(C36:C40)</f>
        <v>0</v>
      </c>
    </row>
    <row r="36" spans="1:3" s="48" customFormat="1">
      <c r="A36" s="82">
        <v>30</v>
      </c>
      <c r="B36" s="569" t="s">
        <v>217</v>
      </c>
      <c r="C36" s="568"/>
    </row>
    <row r="37" spans="1:3" s="48" customFormat="1">
      <c r="A37" s="82">
        <v>31</v>
      </c>
      <c r="B37" s="570" t="s">
        <v>216</v>
      </c>
      <c r="C37" s="568"/>
    </row>
    <row r="38" spans="1:3" s="48" customFormat="1" ht="25.5">
      <c r="A38" s="82">
        <v>32</v>
      </c>
      <c r="B38" s="569" t="s">
        <v>215</v>
      </c>
      <c r="C38" s="568"/>
    </row>
    <row r="39" spans="1:3" s="48" customFormat="1" ht="25.5">
      <c r="A39" s="82">
        <v>33</v>
      </c>
      <c r="B39" s="569" t="s">
        <v>204</v>
      </c>
      <c r="C39" s="568"/>
    </row>
    <row r="40" spans="1:3" s="48" customFormat="1">
      <c r="A40" s="82">
        <v>34</v>
      </c>
      <c r="B40" s="572" t="s">
        <v>214</v>
      </c>
      <c r="C40" s="568"/>
    </row>
    <row r="41" spans="1:3" s="48" customFormat="1">
      <c r="A41" s="82">
        <v>35</v>
      </c>
      <c r="B41" s="573" t="s">
        <v>213</v>
      </c>
      <c r="C41" s="567">
        <f>C30-C35</f>
        <v>0</v>
      </c>
    </row>
    <row r="42" spans="1:3" s="48" customFormat="1">
      <c r="A42" s="82"/>
      <c r="B42" s="574"/>
      <c r="C42" s="568"/>
    </row>
    <row r="43" spans="1:3" s="48" customFormat="1">
      <c r="A43" s="82">
        <v>36</v>
      </c>
      <c r="B43" s="577" t="s">
        <v>212</v>
      </c>
      <c r="C43" s="567">
        <f>SUM(C44:C46)</f>
        <v>4932033.9153226763</v>
      </c>
    </row>
    <row r="44" spans="1:3" s="48" customFormat="1">
      <c r="A44" s="82">
        <v>37</v>
      </c>
      <c r="B44" s="565" t="s">
        <v>211</v>
      </c>
      <c r="C44" s="568"/>
    </row>
    <row r="45" spans="1:3" s="48" customFormat="1">
      <c r="A45" s="82">
        <v>38</v>
      </c>
      <c r="B45" s="565" t="s">
        <v>210</v>
      </c>
      <c r="C45" s="568"/>
    </row>
    <row r="46" spans="1:3" s="48" customFormat="1">
      <c r="A46" s="82">
        <v>39</v>
      </c>
      <c r="B46" s="565" t="s">
        <v>209</v>
      </c>
      <c r="C46" s="568">
        <f>'8. LI2'!C9</f>
        <v>4932033.9153226763</v>
      </c>
    </row>
    <row r="47" spans="1:3" s="48" customFormat="1">
      <c r="A47" s="82">
        <v>40</v>
      </c>
      <c r="B47" s="577" t="s">
        <v>208</v>
      </c>
      <c r="C47" s="567">
        <f>SUM(C48:C51)</f>
        <v>0</v>
      </c>
    </row>
    <row r="48" spans="1:3" s="48" customFormat="1">
      <c r="A48" s="82">
        <v>41</v>
      </c>
      <c r="B48" s="569" t="s">
        <v>207</v>
      </c>
      <c r="C48" s="568"/>
    </row>
    <row r="49" spans="1:3" s="48" customFormat="1">
      <c r="A49" s="82">
        <v>42</v>
      </c>
      <c r="B49" s="570" t="s">
        <v>206</v>
      </c>
      <c r="C49" s="568"/>
    </row>
    <row r="50" spans="1:3" s="48" customFormat="1">
      <c r="A50" s="82">
        <v>43</v>
      </c>
      <c r="B50" s="569" t="s">
        <v>205</v>
      </c>
      <c r="C50" s="568"/>
    </row>
    <row r="51" spans="1:3" s="48" customFormat="1" ht="25.5">
      <c r="A51" s="82">
        <v>44</v>
      </c>
      <c r="B51" s="569" t="s">
        <v>204</v>
      </c>
      <c r="C51" s="568"/>
    </row>
    <row r="52" spans="1:3" s="48" customFormat="1" ht="13.5" thickBot="1">
      <c r="A52" s="83">
        <v>45</v>
      </c>
      <c r="B52" s="84" t="s">
        <v>203</v>
      </c>
      <c r="C52" s="578">
        <f>C43-C47</f>
        <v>4932033.9153226763</v>
      </c>
    </row>
    <row r="55" spans="1:3">
      <c r="B55" s="4" t="s">
        <v>7</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election activeCell="B4" sqref="B4"/>
    </sheetView>
  </sheetViews>
  <sheetFormatPr defaultColWidth="9.28515625" defaultRowHeight="12.75"/>
  <cols>
    <col min="1" max="1" width="9.42578125" style="225" bestFit="1" customWidth="1"/>
    <col min="2" max="2" width="59" style="225" customWidth="1"/>
    <col min="3" max="3" width="16.7109375" style="225" bestFit="1" customWidth="1"/>
    <col min="4" max="4" width="13.28515625" style="225" bestFit="1" customWidth="1"/>
    <col min="5" max="16384" width="9.28515625" style="225"/>
  </cols>
  <sheetData>
    <row r="1" spans="1:4">
      <c r="A1" s="449" t="s">
        <v>30</v>
      </c>
      <c r="B1" s="450" t="str">
        <f>'Info '!C2</f>
        <v>JSC Isbank Georgia</v>
      </c>
    </row>
    <row r="2" spans="1:4" s="199" customFormat="1" ht="15.75" customHeight="1">
      <c r="A2" s="449" t="s">
        <v>31</v>
      </c>
      <c r="B2" s="451">
        <f>'1. key ratios '!B2</f>
        <v>44561</v>
      </c>
    </row>
    <row r="3" spans="1:4" s="199" customFormat="1" ht="15.75" customHeight="1"/>
    <row r="4" spans="1:4" ht="13.5" thickBot="1">
      <c r="A4" s="580" t="s">
        <v>405</v>
      </c>
      <c r="B4" s="281" t="s">
        <v>406</v>
      </c>
    </row>
    <row r="5" spans="1:4" s="282" customFormat="1" ht="12.75" customHeight="1">
      <c r="A5" s="720"/>
      <c r="B5" s="721" t="s">
        <v>409</v>
      </c>
      <c r="C5" s="274" t="s">
        <v>407</v>
      </c>
      <c r="D5" s="275" t="s">
        <v>408</v>
      </c>
    </row>
    <row r="6" spans="1:4" s="283" customFormat="1">
      <c r="A6" s="276">
        <v>1</v>
      </c>
      <c r="B6" s="581" t="s">
        <v>410</v>
      </c>
      <c r="C6" s="581"/>
      <c r="D6" s="277"/>
    </row>
    <row r="7" spans="1:4" s="283" customFormat="1">
      <c r="A7" s="278" t="s">
        <v>396</v>
      </c>
      <c r="B7" s="582" t="s">
        <v>411</v>
      </c>
      <c r="C7" s="583">
        <v>4.4999999999999998E-2</v>
      </c>
      <c r="D7" s="584">
        <f>C7*'5. RWA '!$C$13</f>
        <v>19340867.761009302</v>
      </c>
    </row>
    <row r="8" spans="1:4" s="283" customFormat="1">
      <c r="A8" s="278" t="s">
        <v>397</v>
      </c>
      <c r="B8" s="582" t="s">
        <v>412</v>
      </c>
      <c r="C8" s="585">
        <v>0.06</v>
      </c>
      <c r="D8" s="584">
        <f>C8*'5. RWA '!$C$13</f>
        <v>25787823.681345735</v>
      </c>
    </row>
    <row r="9" spans="1:4" s="283" customFormat="1">
      <c r="A9" s="278" t="s">
        <v>398</v>
      </c>
      <c r="B9" s="582" t="s">
        <v>413</v>
      </c>
      <c r="C9" s="585">
        <v>0.08</v>
      </c>
      <c r="D9" s="584">
        <f>C9*'5. RWA '!$C$13</f>
        <v>34383764.908460982</v>
      </c>
    </row>
    <row r="10" spans="1:4" s="283" customFormat="1">
      <c r="A10" s="276" t="s">
        <v>399</v>
      </c>
      <c r="B10" s="581" t="s">
        <v>414</v>
      </c>
      <c r="C10" s="581"/>
      <c r="D10" s="277"/>
    </row>
    <row r="11" spans="1:4" s="284" customFormat="1">
      <c r="A11" s="279" t="s">
        <v>400</v>
      </c>
      <c r="B11" s="586" t="s">
        <v>480</v>
      </c>
      <c r="C11" s="587">
        <v>0</v>
      </c>
      <c r="D11" s="588">
        <f>C11*'5. RWA '!$C$13</f>
        <v>0</v>
      </c>
    </row>
    <row r="12" spans="1:4" s="284" customFormat="1">
      <c r="A12" s="279" t="s">
        <v>401</v>
      </c>
      <c r="B12" s="586" t="s">
        <v>415</v>
      </c>
      <c r="C12" s="587">
        <v>0</v>
      </c>
      <c r="D12" s="588">
        <f>C12*'5. RWA '!$C$13</f>
        <v>0</v>
      </c>
    </row>
    <row r="13" spans="1:4" s="284" customFormat="1">
      <c r="A13" s="279" t="s">
        <v>402</v>
      </c>
      <c r="B13" s="586" t="s">
        <v>416</v>
      </c>
      <c r="C13" s="586"/>
      <c r="D13" s="588">
        <f>C13*'5. RWA '!$C$13</f>
        <v>0</v>
      </c>
    </row>
    <row r="14" spans="1:4" s="284" customFormat="1">
      <c r="A14" s="276" t="s">
        <v>403</v>
      </c>
      <c r="B14" s="581" t="s">
        <v>477</v>
      </c>
      <c r="C14" s="589"/>
      <c r="D14" s="590"/>
    </row>
    <row r="15" spans="1:4" s="284" customFormat="1">
      <c r="A15" s="279">
        <v>3.1</v>
      </c>
      <c r="B15" s="586" t="s">
        <v>421</v>
      </c>
      <c r="C15" s="587">
        <v>2.5651464362009664E-2</v>
      </c>
      <c r="D15" s="588">
        <f>C15*'5. RWA '!$C$13</f>
        <v>11024924.002263816</v>
      </c>
    </row>
    <row r="16" spans="1:4" s="284" customFormat="1">
      <c r="A16" s="279">
        <v>3.2</v>
      </c>
      <c r="B16" s="586" t="s">
        <v>422</v>
      </c>
      <c r="C16" s="587">
        <v>3.4225190565461597E-2</v>
      </c>
      <c r="D16" s="588">
        <f>C16*'5. RWA '!$C$13</f>
        <v>14709886.329376353</v>
      </c>
    </row>
    <row r="17" spans="1:6" s="283" customFormat="1">
      <c r="A17" s="279">
        <v>3.3</v>
      </c>
      <c r="B17" s="586" t="s">
        <v>423</v>
      </c>
      <c r="C17" s="591">
        <v>7.9462979683367435E-2</v>
      </c>
      <c r="D17" s="592">
        <f>C17*'5. RWA '!$C$13</f>
        <v>34152955.154483959</v>
      </c>
    </row>
    <row r="18" spans="1:6" s="282" customFormat="1" ht="12.75" customHeight="1">
      <c r="A18" s="722"/>
      <c r="B18" s="723" t="s">
        <v>476</v>
      </c>
      <c r="C18" s="593" t="s">
        <v>407</v>
      </c>
      <c r="D18" s="326" t="s">
        <v>408</v>
      </c>
    </row>
    <row r="19" spans="1:6" s="283" customFormat="1">
      <c r="A19" s="280">
        <v>4</v>
      </c>
      <c r="B19" s="586" t="s">
        <v>417</v>
      </c>
      <c r="C19" s="587">
        <f>C7+C11+C12+C13+C15</f>
        <v>7.0651464362009669E-2</v>
      </c>
      <c r="D19" s="594">
        <f>C19*'5. RWA '!$C$13</f>
        <v>30365791.76327312</v>
      </c>
    </row>
    <row r="20" spans="1:6" s="283" customFormat="1">
      <c r="A20" s="280">
        <v>5</v>
      </c>
      <c r="B20" s="586" t="s">
        <v>137</v>
      </c>
      <c r="C20" s="587">
        <f>C8+C11+C12+C13+C16</f>
        <v>9.4225190565461595E-2</v>
      </c>
      <c r="D20" s="594">
        <f>C20*'5. RWA '!$C$13</f>
        <v>40497710.010722086</v>
      </c>
    </row>
    <row r="21" spans="1:6" s="283" customFormat="1" ht="13.5" thickBot="1">
      <c r="A21" s="285" t="s">
        <v>404</v>
      </c>
      <c r="B21" s="286" t="s">
        <v>418</v>
      </c>
      <c r="C21" s="325">
        <f>C9+C11+C12+C13+C17</f>
        <v>0.15946297968336742</v>
      </c>
      <c r="D21" s="595">
        <f>C21*'5. RWA '!$C$13</f>
        <v>68536720.062944934</v>
      </c>
    </row>
    <row r="22" spans="1:6">
      <c r="F22" s="246"/>
    </row>
    <row r="23" spans="1:6" ht="51">
      <c r="B23" s="245" t="s">
        <v>479</v>
      </c>
    </row>
  </sheetData>
  <mergeCells count="2">
    <mergeCell ref="A5:B5"/>
    <mergeCell ref="A18:B18"/>
  </mergeCells>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zoomScaleNormal="100" workbookViewId="0">
      <pane xSplit="1" ySplit="5" topLeftCell="B6" activePane="bottomRight" state="frozen"/>
      <selection activeCell="B47" sqref="B47"/>
      <selection pane="topRight" activeCell="B47" sqref="B47"/>
      <selection pane="bottomLeft" activeCell="B47" sqref="B47"/>
      <selection pane="bottomRight" activeCell="B4" sqref="B4"/>
    </sheetView>
  </sheetViews>
  <sheetFormatPr defaultColWidth="9.28515625" defaultRowHeight="14.25"/>
  <cols>
    <col min="1" max="1" width="10.7109375" style="4" customWidth="1"/>
    <col min="2" max="2" width="91.7109375" style="4" customWidth="1"/>
    <col min="3" max="3" width="53.28515625" style="4" customWidth="1"/>
    <col min="4" max="4" width="32.28515625" style="4" customWidth="1"/>
    <col min="5" max="5" width="9.42578125" style="5" customWidth="1"/>
    <col min="6" max="16384" width="9.28515625" style="5"/>
  </cols>
  <sheetData>
    <row r="1" spans="1:6">
      <c r="A1" s="449" t="s">
        <v>30</v>
      </c>
      <c r="B1" s="450" t="str">
        <f>'Info '!C2</f>
        <v>JSC Isbank Georgia</v>
      </c>
      <c r="E1" s="4"/>
      <c r="F1" s="4"/>
    </row>
    <row r="2" spans="1:6" s="62" customFormat="1" ht="15.75" customHeight="1">
      <c r="A2" s="449" t="s">
        <v>31</v>
      </c>
      <c r="B2" s="451">
        <f>'1. key ratios '!B2</f>
        <v>44561</v>
      </c>
    </row>
    <row r="3" spans="1:6" s="62" customFormat="1" ht="15.75" customHeight="1">
      <c r="A3" s="85"/>
    </row>
    <row r="4" spans="1:6" s="62" customFormat="1" ht="15.75" customHeight="1" thickBot="1">
      <c r="A4" s="62" t="s">
        <v>86</v>
      </c>
      <c r="B4" s="190" t="s">
        <v>286</v>
      </c>
      <c r="D4" s="35" t="s">
        <v>73</v>
      </c>
    </row>
    <row r="5" spans="1:6" ht="25.5">
      <c r="A5" s="86" t="s">
        <v>6</v>
      </c>
      <c r="B5" s="216" t="s">
        <v>340</v>
      </c>
      <c r="C5" s="87" t="s">
        <v>93</v>
      </c>
      <c r="D5" s="88" t="s">
        <v>94</v>
      </c>
    </row>
    <row r="6" spans="1:6">
      <c r="A6" s="67">
        <v>1</v>
      </c>
      <c r="B6" s="89" t="s">
        <v>35</v>
      </c>
      <c r="C6" s="90">
        <f>'2.RC'!E7</f>
        <v>2973609.72</v>
      </c>
      <c r="D6" s="91"/>
      <c r="E6" s="92"/>
    </row>
    <row r="7" spans="1:6">
      <c r="A7" s="67">
        <v>2</v>
      </c>
      <c r="B7" s="93" t="s">
        <v>36</v>
      </c>
      <c r="C7" s="90">
        <f>'2.RC'!E8</f>
        <v>76104397.340000004</v>
      </c>
      <c r="D7" s="95"/>
      <c r="E7" s="92"/>
    </row>
    <row r="8" spans="1:6">
      <c r="A8" s="67">
        <v>3</v>
      </c>
      <c r="B8" s="93" t="s">
        <v>37</v>
      </c>
      <c r="C8" s="90">
        <f>'2.RC'!E9</f>
        <v>11384405.330332998</v>
      </c>
      <c r="D8" s="95"/>
      <c r="E8" s="92"/>
    </row>
    <row r="9" spans="1:6">
      <c r="A9" s="67">
        <v>4</v>
      </c>
      <c r="B9" s="93" t="s">
        <v>38</v>
      </c>
      <c r="C9" s="90">
        <f>'2.RC'!E10</f>
        <v>0</v>
      </c>
      <c r="D9" s="95"/>
      <c r="E9" s="92"/>
    </row>
    <row r="10" spans="1:6">
      <c r="A10" s="67">
        <v>5</v>
      </c>
      <c r="B10" s="93" t="s">
        <v>39</v>
      </c>
      <c r="C10" s="90">
        <f>'2.RC'!E11</f>
        <v>34489096.700040996</v>
      </c>
      <c r="D10" s="95"/>
      <c r="E10" s="92"/>
    </row>
    <row r="11" spans="1:6">
      <c r="A11" s="67">
        <v>6.1</v>
      </c>
      <c r="B11" s="191" t="s">
        <v>40</v>
      </c>
      <c r="C11" s="90">
        <f>'2.RC'!E12</f>
        <v>247836863.618128</v>
      </c>
      <c r="D11" s="97"/>
      <c r="E11" s="98"/>
    </row>
    <row r="12" spans="1:6">
      <c r="A12" s="67">
        <v>6.2</v>
      </c>
      <c r="B12" s="192" t="s">
        <v>41</v>
      </c>
      <c r="C12" s="90">
        <f>'2.RC'!E13</f>
        <v>-10979625.361928001</v>
      </c>
      <c r="D12" s="97"/>
      <c r="E12" s="98"/>
    </row>
    <row r="13" spans="1:6">
      <c r="A13" s="67">
        <v>6</v>
      </c>
      <c r="B13" s="93" t="s">
        <v>42</v>
      </c>
      <c r="C13" s="99">
        <f>C11+C12</f>
        <v>236857238.25620002</v>
      </c>
      <c r="D13" s="97"/>
      <c r="E13" s="92"/>
    </row>
    <row r="14" spans="1:6">
      <c r="A14" s="67">
        <v>7</v>
      </c>
      <c r="B14" s="93" t="s">
        <v>43</v>
      </c>
      <c r="C14" s="90">
        <f>'2.RC'!E15</f>
        <v>2153869.3257760005</v>
      </c>
      <c r="D14" s="95"/>
      <c r="E14" s="92"/>
    </row>
    <row r="15" spans="1:6">
      <c r="A15" s="67">
        <v>8</v>
      </c>
      <c r="B15" s="214" t="s">
        <v>199</v>
      </c>
      <c r="C15" s="90">
        <f>'2.RC'!E16</f>
        <v>735525.39</v>
      </c>
      <c r="D15" s="95"/>
      <c r="E15" s="92"/>
    </row>
    <row r="16" spans="1:6">
      <c r="A16" s="67">
        <v>9</v>
      </c>
      <c r="B16" s="93" t="s">
        <v>44</v>
      </c>
      <c r="C16" s="90">
        <f>'2.RC'!E17</f>
        <v>0</v>
      </c>
      <c r="D16" s="95"/>
      <c r="E16" s="92"/>
    </row>
    <row r="17" spans="1:5">
      <c r="A17" s="67">
        <v>9.1</v>
      </c>
      <c r="B17" s="100" t="s">
        <v>88</v>
      </c>
      <c r="C17" s="96"/>
      <c r="D17" s="95"/>
      <c r="E17" s="92"/>
    </row>
    <row r="18" spans="1:5">
      <c r="A18" s="67">
        <v>9.1999999999999993</v>
      </c>
      <c r="B18" s="100" t="s">
        <v>89</v>
      </c>
      <c r="C18" s="96"/>
      <c r="D18" s="95"/>
      <c r="E18" s="92"/>
    </row>
    <row r="19" spans="1:5">
      <c r="A19" s="67">
        <v>9.3000000000000007</v>
      </c>
      <c r="B19" s="193" t="s">
        <v>268</v>
      </c>
      <c r="C19" s="96"/>
      <c r="D19" s="95"/>
      <c r="E19" s="92"/>
    </row>
    <row r="20" spans="1:5">
      <c r="A20" s="67">
        <v>10</v>
      </c>
      <c r="B20" s="93" t="s">
        <v>45</v>
      </c>
      <c r="C20" s="90">
        <f>'2.RC'!E18</f>
        <v>7914683.459999999</v>
      </c>
      <c r="D20" s="95"/>
      <c r="E20" s="92"/>
    </row>
    <row r="21" spans="1:5">
      <c r="A21" s="67">
        <v>10.1</v>
      </c>
      <c r="B21" s="100" t="s">
        <v>90</v>
      </c>
      <c r="C21" s="94">
        <f>'9.Capital'!C15</f>
        <v>211491.8899999999</v>
      </c>
      <c r="D21" s="101" t="s">
        <v>92</v>
      </c>
      <c r="E21" s="92"/>
    </row>
    <row r="22" spans="1:5">
      <c r="A22" s="67">
        <v>11</v>
      </c>
      <c r="B22" s="102" t="s">
        <v>46</v>
      </c>
      <c r="C22" s="103">
        <f>'2.RC'!E19</f>
        <v>4110914.0179234701</v>
      </c>
      <c r="D22" s="104"/>
      <c r="E22" s="92"/>
    </row>
    <row r="23" spans="1:5" ht="15">
      <c r="A23" s="67">
        <v>12</v>
      </c>
      <c r="B23" s="105" t="s">
        <v>47</v>
      </c>
      <c r="C23" s="106">
        <f>SUM(C6:C10,C13:C16,C20,C22)</f>
        <v>376723739.54027343</v>
      </c>
      <c r="D23" s="107"/>
      <c r="E23" s="108"/>
    </row>
    <row r="24" spans="1:5">
      <c r="A24" s="67">
        <v>13</v>
      </c>
      <c r="B24" s="93" t="s">
        <v>49</v>
      </c>
      <c r="C24" s="109">
        <f>'2.RC'!E22</f>
        <v>90628699.900000006</v>
      </c>
      <c r="D24" s="110"/>
      <c r="E24" s="92"/>
    </row>
    <row r="25" spans="1:5">
      <c r="A25" s="67">
        <v>14</v>
      </c>
      <c r="B25" s="93" t="s">
        <v>50</v>
      </c>
      <c r="C25" s="109">
        <f>'2.RC'!E23</f>
        <v>54032352.56000001</v>
      </c>
      <c r="D25" s="95"/>
      <c r="E25" s="92"/>
    </row>
    <row r="26" spans="1:5">
      <c r="A26" s="67">
        <v>15</v>
      </c>
      <c r="B26" s="93" t="s">
        <v>51</v>
      </c>
      <c r="C26" s="109">
        <f>'2.RC'!E24</f>
        <v>0</v>
      </c>
      <c r="D26" s="95"/>
      <c r="E26" s="92"/>
    </row>
    <row r="27" spans="1:5">
      <c r="A27" s="67">
        <v>16</v>
      </c>
      <c r="B27" s="93" t="s">
        <v>52</v>
      </c>
      <c r="C27" s="109">
        <f>'2.RC'!E25</f>
        <v>50742702.219999999</v>
      </c>
      <c r="D27" s="95"/>
      <c r="E27" s="92"/>
    </row>
    <row r="28" spans="1:5">
      <c r="A28" s="67">
        <v>17</v>
      </c>
      <c r="B28" s="93" t="s">
        <v>53</v>
      </c>
      <c r="C28" s="109">
        <f>'2.RC'!E26</f>
        <v>0</v>
      </c>
      <c r="D28" s="95"/>
      <c r="E28" s="92"/>
    </row>
    <row r="29" spans="1:5">
      <c r="A29" s="67">
        <v>18</v>
      </c>
      <c r="B29" s="93" t="s">
        <v>54</v>
      </c>
      <c r="C29" s="109">
        <f>'2.RC'!E27</f>
        <v>73641566.940032005</v>
      </c>
      <c r="D29" s="95"/>
      <c r="E29" s="92"/>
    </row>
    <row r="30" spans="1:5">
      <c r="A30" s="67">
        <v>19</v>
      </c>
      <c r="B30" s="93" t="s">
        <v>55</v>
      </c>
      <c r="C30" s="109">
        <f>'2.RC'!E28</f>
        <v>951666.04999999993</v>
      </c>
      <c r="D30" s="95"/>
      <c r="E30" s="92"/>
    </row>
    <row r="31" spans="1:5">
      <c r="A31" s="67">
        <v>20</v>
      </c>
      <c r="B31" s="93" t="s">
        <v>56</v>
      </c>
      <c r="C31" s="109">
        <f>'2.RC'!E29</f>
        <v>12123720.509399999</v>
      </c>
      <c r="D31" s="95"/>
      <c r="E31" s="92"/>
    </row>
    <row r="32" spans="1:5">
      <c r="A32" s="67">
        <v>21</v>
      </c>
      <c r="B32" s="102" t="s">
        <v>57</v>
      </c>
      <c r="C32" s="109">
        <f>'2.RC'!E30</f>
        <v>0</v>
      </c>
      <c r="D32" s="104"/>
      <c r="E32" s="92"/>
    </row>
    <row r="33" spans="1:5">
      <c r="A33" s="67">
        <v>21.1</v>
      </c>
      <c r="B33" s="111" t="s">
        <v>91</v>
      </c>
      <c r="C33" s="112">
        <f>'9.Capital'!C44</f>
        <v>0</v>
      </c>
      <c r="D33" s="101" t="s">
        <v>728</v>
      </c>
      <c r="E33" s="92"/>
    </row>
    <row r="34" spans="1:5" ht="15">
      <c r="A34" s="67">
        <v>22</v>
      </c>
      <c r="B34" s="105" t="s">
        <v>58</v>
      </c>
      <c r="C34" s="106">
        <f>SUM(C24:C32)</f>
        <v>282120708.17943203</v>
      </c>
      <c r="D34" s="107"/>
      <c r="E34" s="108"/>
    </row>
    <row r="35" spans="1:5">
      <c r="A35" s="67">
        <v>23</v>
      </c>
      <c r="B35" s="102" t="s">
        <v>60</v>
      </c>
      <c r="C35" s="94">
        <f>'9.Capital'!C7</f>
        <v>69161600</v>
      </c>
      <c r="D35" s="101" t="s">
        <v>729</v>
      </c>
      <c r="E35" s="92"/>
    </row>
    <row r="36" spans="1:5">
      <c r="A36" s="67">
        <v>24</v>
      </c>
      <c r="B36" s="102" t="s">
        <v>61</v>
      </c>
      <c r="C36" s="94"/>
      <c r="D36" s="95"/>
      <c r="E36" s="92"/>
    </row>
    <row r="37" spans="1:5">
      <c r="A37" s="67">
        <v>25</v>
      </c>
      <c r="B37" s="102" t="s">
        <v>62</v>
      </c>
      <c r="C37" s="94"/>
      <c r="D37" s="95"/>
      <c r="E37" s="92"/>
    </row>
    <row r="38" spans="1:5">
      <c r="A38" s="67">
        <v>26</v>
      </c>
      <c r="B38" s="102" t="s">
        <v>63</v>
      </c>
      <c r="C38" s="94"/>
      <c r="D38" s="95"/>
      <c r="E38" s="92"/>
    </row>
    <row r="39" spans="1:5">
      <c r="A39" s="67">
        <v>27</v>
      </c>
      <c r="B39" s="102" t="s">
        <v>64</v>
      </c>
      <c r="C39" s="94"/>
      <c r="D39" s="95"/>
      <c r="E39" s="92"/>
    </row>
    <row r="40" spans="1:5">
      <c r="A40" s="67">
        <v>28</v>
      </c>
      <c r="B40" s="102" t="s">
        <v>65</v>
      </c>
      <c r="C40" s="94">
        <f>'9.Capital'!C11</f>
        <v>25441431.328289483</v>
      </c>
      <c r="D40" s="101" t="s">
        <v>730</v>
      </c>
      <c r="E40" s="92"/>
    </row>
    <row r="41" spans="1:5">
      <c r="A41" s="67">
        <v>29</v>
      </c>
      <c r="B41" s="102" t="s">
        <v>66</v>
      </c>
      <c r="C41" s="94"/>
      <c r="D41" s="95"/>
      <c r="E41" s="92"/>
    </row>
    <row r="42" spans="1:5" ht="15.75" thickBot="1">
      <c r="A42" s="113">
        <v>30</v>
      </c>
      <c r="B42" s="114" t="s">
        <v>266</v>
      </c>
      <c r="C42" s="115">
        <f>SUM(C35:C41)</f>
        <v>94603031.328289479</v>
      </c>
      <c r="D42" s="116"/>
      <c r="E42" s="108"/>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10.5703125" style="4" bestFit="1" customWidth="1"/>
    <col min="2" max="2" width="72.42578125" style="4" bestFit="1" customWidth="1"/>
    <col min="3" max="3" width="12.28515625" style="4" bestFit="1" customWidth="1"/>
    <col min="4" max="4" width="15.5703125" style="4" bestFit="1" customWidth="1"/>
    <col min="5" max="5" width="12.28515625" style="4" bestFit="1" customWidth="1"/>
    <col min="6" max="6" width="15.5703125" style="4" bestFit="1" customWidth="1"/>
    <col min="7" max="11" width="12.28515625" style="4" bestFit="1" customWidth="1"/>
    <col min="12" max="18" width="12.28515625" style="33" bestFit="1" customWidth="1"/>
    <col min="19" max="19" width="31.5703125" style="33" bestFit="1" customWidth="1"/>
    <col min="20" max="16384" width="9.28515625" style="33"/>
  </cols>
  <sheetData>
    <row r="1" spans="1:19">
      <c r="A1" s="449" t="s">
        <v>30</v>
      </c>
      <c r="B1" s="450" t="str">
        <f>'Info '!C2</f>
        <v>JSC Isbank Georgia</v>
      </c>
    </row>
    <row r="2" spans="1:19">
      <c r="A2" s="449" t="s">
        <v>31</v>
      </c>
      <c r="B2" s="451">
        <f>'1. key ratios '!B2</f>
        <v>44561</v>
      </c>
    </row>
    <row r="4" spans="1:19" ht="26.25" thickBot="1">
      <c r="A4" s="4" t="s">
        <v>249</v>
      </c>
      <c r="B4" s="233" t="s">
        <v>375</v>
      </c>
    </row>
    <row r="5" spans="1:19" s="223" customFormat="1">
      <c r="A5" s="218"/>
      <c r="B5" s="219"/>
      <c r="C5" s="220" t="s">
        <v>0</v>
      </c>
      <c r="D5" s="220" t="s">
        <v>1</v>
      </c>
      <c r="E5" s="220" t="s">
        <v>2</v>
      </c>
      <c r="F5" s="220" t="s">
        <v>3</v>
      </c>
      <c r="G5" s="220" t="s">
        <v>4</v>
      </c>
      <c r="H5" s="220" t="s">
        <v>5</v>
      </c>
      <c r="I5" s="220" t="s">
        <v>8</v>
      </c>
      <c r="J5" s="220" t="s">
        <v>9</v>
      </c>
      <c r="K5" s="220" t="s">
        <v>10</v>
      </c>
      <c r="L5" s="220" t="s">
        <v>11</v>
      </c>
      <c r="M5" s="220" t="s">
        <v>12</v>
      </c>
      <c r="N5" s="220" t="s">
        <v>13</v>
      </c>
      <c r="O5" s="220" t="s">
        <v>358</v>
      </c>
      <c r="P5" s="220" t="s">
        <v>359</v>
      </c>
      <c r="Q5" s="220" t="s">
        <v>360</v>
      </c>
      <c r="R5" s="221" t="s">
        <v>361</v>
      </c>
      <c r="S5" s="222" t="s">
        <v>362</v>
      </c>
    </row>
    <row r="6" spans="1:19" s="223" customFormat="1" ht="99" customHeight="1">
      <c r="A6" s="224"/>
      <c r="B6" s="728" t="s">
        <v>363</v>
      </c>
      <c r="C6" s="724">
        <v>0</v>
      </c>
      <c r="D6" s="725"/>
      <c r="E6" s="724">
        <v>0.2</v>
      </c>
      <c r="F6" s="725"/>
      <c r="G6" s="724">
        <v>0.35</v>
      </c>
      <c r="H6" s="725"/>
      <c r="I6" s="724">
        <v>0.5</v>
      </c>
      <c r="J6" s="725"/>
      <c r="K6" s="724">
        <v>0.75</v>
      </c>
      <c r="L6" s="725"/>
      <c r="M6" s="724">
        <v>1</v>
      </c>
      <c r="N6" s="725"/>
      <c r="O6" s="724">
        <v>1.5</v>
      </c>
      <c r="P6" s="725"/>
      <c r="Q6" s="724">
        <v>2.5</v>
      </c>
      <c r="R6" s="725"/>
      <c r="S6" s="726" t="s">
        <v>248</v>
      </c>
    </row>
    <row r="7" spans="1:19" s="223" customFormat="1" ht="30.75" customHeight="1">
      <c r="A7" s="224"/>
      <c r="B7" s="729"/>
      <c r="C7" s="215" t="s">
        <v>251</v>
      </c>
      <c r="D7" s="215" t="s">
        <v>250</v>
      </c>
      <c r="E7" s="215" t="s">
        <v>251</v>
      </c>
      <c r="F7" s="215" t="s">
        <v>250</v>
      </c>
      <c r="G7" s="215" t="s">
        <v>251</v>
      </c>
      <c r="H7" s="215" t="s">
        <v>250</v>
      </c>
      <c r="I7" s="215" t="s">
        <v>251</v>
      </c>
      <c r="J7" s="215" t="s">
        <v>250</v>
      </c>
      <c r="K7" s="215" t="s">
        <v>251</v>
      </c>
      <c r="L7" s="215" t="s">
        <v>250</v>
      </c>
      <c r="M7" s="215" t="s">
        <v>251</v>
      </c>
      <c r="N7" s="215" t="s">
        <v>250</v>
      </c>
      <c r="O7" s="215" t="s">
        <v>251</v>
      </c>
      <c r="P7" s="215" t="s">
        <v>250</v>
      </c>
      <c r="Q7" s="215" t="s">
        <v>251</v>
      </c>
      <c r="R7" s="215" t="s">
        <v>250</v>
      </c>
      <c r="S7" s="727"/>
    </row>
    <row r="8" spans="1:19" s="119" customFormat="1">
      <c r="A8" s="117">
        <v>1</v>
      </c>
      <c r="B8" s="1" t="s">
        <v>96</v>
      </c>
      <c r="C8" s="118">
        <v>26831041.750782836</v>
      </c>
      <c r="D8" s="118"/>
      <c r="E8" s="118"/>
      <c r="F8" s="118"/>
      <c r="G8" s="118"/>
      <c r="H8" s="118"/>
      <c r="I8" s="118"/>
      <c r="J8" s="118"/>
      <c r="K8" s="118"/>
      <c r="L8" s="118"/>
      <c r="M8" s="118">
        <v>64360457.517386883</v>
      </c>
      <c r="N8" s="118"/>
      <c r="O8" s="118"/>
      <c r="P8" s="118"/>
      <c r="Q8" s="118"/>
      <c r="R8" s="118"/>
      <c r="S8" s="596">
        <f>$C$6*SUM(C8:D8)+$E$6*SUM(E8:F8)+$G$6*SUM(G8:H8)+$I$6*SUM(I8:J8)+$K$6*SUM(K8:L8)+$M$6*SUM(M8:N8)+$O$6*SUM(O8:P8)+$Q$6*SUM(Q8:R8)</f>
        <v>64360457.517386883</v>
      </c>
    </row>
    <row r="9" spans="1:19" s="119" customFormat="1">
      <c r="A9" s="117">
        <v>2</v>
      </c>
      <c r="B9" s="1" t="s">
        <v>97</v>
      </c>
      <c r="C9" s="118"/>
      <c r="D9" s="118"/>
      <c r="E9" s="118"/>
      <c r="F9" s="118"/>
      <c r="G9" s="118"/>
      <c r="H9" s="118"/>
      <c r="I9" s="118"/>
      <c r="J9" s="118"/>
      <c r="K9" s="118"/>
      <c r="L9" s="118"/>
      <c r="M9" s="118"/>
      <c r="N9" s="118"/>
      <c r="O9" s="118"/>
      <c r="P9" s="118"/>
      <c r="Q9" s="118"/>
      <c r="R9" s="118"/>
      <c r="S9" s="596">
        <f t="shared" ref="S9:S21" si="0">$C$6*SUM(C9:D9)+$E$6*SUM(E9:F9)+$G$6*SUM(G9:H9)+$I$6*SUM(I9:J9)+$K$6*SUM(K9:L9)+$M$6*SUM(M9:N9)+$O$6*SUM(O9:P9)+$Q$6*SUM(Q9:R9)</f>
        <v>0</v>
      </c>
    </row>
    <row r="10" spans="1:19" s="119" customFormat="1">
      <c r="A10" s="117">
        <v>3</v>
      </c>
      <c r="B10" s="1" t="s">
        <v>269</v>
      </c>
      <c r="C10" s="118"/>
      <c r="D10" s="118"/>
      <c r="E10" s="118"/>
      <c r="F10" s="118"/>
      <c r="G10" s="118"/>
      <c r="H10" s="118"/>
      <c r="I10" s="118"/>
      <c r="J10" s="118"/>
      <c r="K10" s="118"/>
      <c r="L10" s="118"/>
      <c r="M10" s="118"/>
      <c r="N10" s="118"/>
      <c r="O10" s="118"/>
      <c r="P10" s="118"/>
      <c r="Q10" s="118"/>
      <c r="R10" s="118"/>
      <c r="S10" s="596">
        <f t="shared" si="0"/>
        <v>0</v>
      </c>
    </row>
    <row r="11" spans="1:19" s="119" customFormat="1">
      <c r="A11" s="117">
        <v>4</v>
      </c>
      <c r="B11" s="1" t="s">
        <v>98</v>
      </c>
      <c r="C11" s="118"/>
      <c r="D11" s="118"/>
      <c r="E11" s="118"/>
      <c r="F11" s="118"/>
      <c r="G11" s="118"/>
      <c r="H11" s="118"/>
      <c r="I11" s="118"/>
      <c r="J11" s="118"/>
      <c r="K11" s="118"/>
      <c r="L11" s="118"/>
      <c r="M11" s="118"/>
      <c r="N11" s="118"/>
      <c r="O11" s="118"/>
      <c r="P11" s="118"/>
      <c r="Q11" s="118"/>
      <c r="R11" s="118"/>
      <c r="S11" s="596">
        <f t="shared" si="0"/>
        <v>0</v>
      </c>
    </row>
    <row r="12" spans="1:19" s="119" customFormat="1">
      <c r="A12" s="117">
        <v>5</v>
      </c>
      <c r="B12" s="1" t="s">
        <v>99</v>
      </c>
      <c r="C12" s="118"/>
      <c r="D12" s="118"/>
      <c r="E12" s="118"/>
      <c r="F12" s="118"/>
      <c r="G12" s="118"/>
      <c r="H12" s="118"/>
      <c r="I12" s="118"/>
      <c r="J12" s="118"/>
      <c r="K12" s="118"/>
      <c r="L12" s="118"/>
      <c r="M12" s="118"/>
      <c r="N12" s="118"/>
      <c r="O12" s="118"/>
      <c r="P12" s="118"/>
      <c r="Q12" s="118"/>
      <c r="R12" s="118"/>
      <c r="S12" s="596">
        <f t="shared" si="0"/>
        <v>0</v>
      </c>
    </row>
    <row r="13" spans="1:19" s="119" customFormat="1">
      <c r="A13" s="117">
        <v>6</v>
      </c>
      <c r="B13" s="1" t="s">
        <v>100</v>
      </c>
      <c r="C13" s="118"/>
      <c r="D13" s="118"/>
      <c r="E13" s="118">
        <v>5424.82</v>
      </c>
      <c r="F13" s="118"/>
      <c r="G13" s="118"/>
      <c r="H13" s="118"/>
      <c r="I13" s="118">
        <v>17669659.595228996</v>
      </c>
      <c r="J13" s="118">
        <v>23052191.854999997</v>
      </c>
      <c r="K13" s="118"/>
      <c r="L13" s="118"/>
      <c r="M13" s="118">
        <v>2457517.1851039995</v>
      </c>
      <c r="N13" s="118">
        <v>15437570.560000001</v>
      </c>
      <c r="O13" s="118"/>
      <c r="P13" s="118"/>
      <c r="Q13" s="118"/>
      <c r="R13" s="118"/>
      <c r="S13" s="596">
        <f t="shared" si="0"/>
        <v>38257098.434218496</v>
      </c>
    </row>
    <row r="14" spans="1:19" s="119" customFormat="1">
      <c r="A14" s="117">
        <v>7</v>
      </c>
      <c r="B14" s="1" t="s">
        <v>101</v>
      </c>
      <c r="C14" s="118"/>
      <c r="D14" s="118"/>
      <c r="E14" s="118"/>
      <c r="F14" s="118"/>
      <c r="G14" s="118"/>
      <c r="H14" s="118"/>
      <c r="I14" s="118"/>
      <c r="J14" s="118"/>
      <c r="K14" s="118"/>
      <c r="L14" s="118"/>
      <c r="M14" s="118">
        <v>248740614.08628526</v>
      </c>
      <c r="N14" s="118">
        <v>28986956.705000002</v>
      </c>
      <c r="O14" s="118"/>
      <c r="P14" s="118"/>
      <c r="Q14" s="118"/>
      <c r="R14" s="118"/>
      <c r="S14" s="596">
        <f t="shared" si="0"/>
        <v>277727570.79128528</v>
      </c>
    </row>
    <row r="15" spans="1:19" s="119" customFormat="1">
      <c r="A15" s="117">
        <v>8</v>
      </c>
      <c r="B15" s="1" t="s">
        <v>102</v>
      </c>
      <c r="C15" s="118"/>
      <c r="D15" s="118"/>
      <c r="E15" s="118"/>
      <c r="F15" s="118"/>
      <c r="G15" s="118"/>
      <c r="H15" s="118"/>
      <c r="I15" s="118"/>
      <c r="J15" s="118"/>
      <c r="K15" s="118"/>
      <c r="L15" s="118"/>
      <c r="M15" s="118"/>
      <c r="N15" s="118">
        <v>15184.375000000004</v>
      </c>
      <c r="O15" s="118"/>
      <c r="P15" s="118"/>
      <c r="Q15" s="118"/>
      <c r="R15" s="118"/>
      <c r="S15" s="596">
        <f t="shared" si="0"/>
        <v>15184.375000000004</v>
      </c>
    </row>
    <row r="16" spans="1:19" s="119" customFormat="1">
      <c r="A16" s="117">
        <v>9</v>
      </c>
      <c r="B16" s="1" t="s">
        <v>103</v>
      </c>
      <c r="C16" s="118"/>
      <c r="D16" s="118"/>
      <c r="E16" s="118"/>
      <c r="F16" s="118"/>
      <c r="G16" s="118"/>
      <c r="H16" s="118"/>
      <c r="I16" s="118"/>
      <c r="J16" s="118"/>
      <c r="K16" s="118"/>
      <c r="L16" s="118"/>
      <c r="M16" s="118"/>
      <c r="N16" s="118"/>
      <c r="O16" s="118"/>
      <c r="P16" s="118"/>
      <c r="Q16" s="118"/>
      <c r="R16" s="118"/>
      <c r="S16" s="596">
        <f t="shared" si="0"/>
        <v>0</v>
      </c>
    </row>
    <row r="17" spans="1:19" s="119" customFormat="1">
      <c r="A17" s="117">
        <v>10</v>
      </c>
      <c r="B17" s="1" t="s">
        <v>104</v>
      </c>
      <c r="C17" s="118"/>
      <c r="D17" s="118"/>
      <c r="E17" s="118"/>
      <c r="F17" s="118"/>
      <c r="G17" s="118"/>
      <c r="H17" s="118"/>
      <c r="I17" s="118"/>
      <c r="J17" s="118"/>
      <c r="K17" s="118"/>
      <c r="L17" s="118"/>
      <c r="M17" s="118">
        <v>1234054.486</v>
      </c>
      <c r="N17" s="118"/>
      <c r="O17" s="118"/>
      <c r="P17" s="118"/>
      <c r="Q17" s="118"/>
      <c r="R17" s="118"/>
      <c r="S17" s="596">
        <f t="shared" si="0"/>
        <v>1234054.486</v>
      </c>
    </row>
    <row r="18" spans="1:19" s="119" customFormat="1">
      <c r="A18" s="117">
        <v>11</v>
      </c>
      <c r="B18" s="1" t="s">
        <v>105</v>
      </c>
      <c r="C18" s="118"/>
      <c r="D18" s="118"/>
      <c r="E18" s="118"/>
      <c r="F18" s="118"/>
      <c r="G18" s="118"/>
      <c r="H18" s="118"/>
      <c r="I18" s="118"/>
      <c r="J18" s="118"/>
      <c r="K18" s="118"/>
      <c r="L18" s="118"/>
      <c r="M18" s="118"/>
      <c r="N18" s="118"/>
      <c r="O18" s="118"/>
      <c r="P18" s="118"/>
      <c r="Q18" s="118"/>
      <c r="R18" s="118"/>
      <c r="S18" s="596">
        <f t="shared" si="0"/>
        <v>0</v>
      </c>
    </row>
    <row r="19" spans="1:19" s="119" customFormat="1">
      <c r="A19" s="117">
        <v>12</v>
      </c>
      <c r="B19" s="1" t="s">
        <v>106</v>
      </c>
      <c r="C19" s="118"/>
      <c r="D19" s="118"/>
      <c r="E19" s="118"/>
      <c r="F19" s="118"/>
      <c r="G19" s="118"/>
      <c r="H19" s="118"/>
      <c r="I19" s="118"/>
      <c r="J19" s="118"/>
      <c r="K19" s="118"/>
      <c r="L19" s="118"/>
      <c r="M19" s="118"/>
      <c r="N19" s="118"/>
      <c r="O19" s="118"/>
      <c r="P19" s="118"/>
      <c r="Q19" s="118"/>
      <c r="R19" s="118"/>
      <c r="S19" s="596">
        <f t="shared" si="0"/>
        <v>0</v>
      </c>
    </row>
    <row r="20" spans="1:19" s="119" customFormat="1">
      <c r="A20" s="117">
        <v>13</v>
      </c>
      <c r="B20" s="1" t="s">
        <v>247</v>
      </c>
      <c r="C20" s="118"/>
      <c r="D20" s="118"/>
      <c r="E20" s="118"/>
      <c r="F20" s="118"/>
      <c r="G20" s="118"/>
      <c r="H20" s="118"/>
      <c r="I20" s="118"/>
      <c r="J20" s="118"/>
      <c r="K20" s="118"/>
      <c r="L20" s="118"/>
      <c r="M20" s="118"/>
      <c r="N20" s="118"/>
      <c r="O20" s="118"/>
      <c r="P20" s="118"/>
      <c r="Q20" s="118"/>
      <c r="R20" s="118"/>
      <c r="S20" s="596">
        <f t="shared" si="0"/>
        <v>0</v>
      </c>
    </row>
    <row r="21" spans="1:19" s="119" customFormat="1">
      <c r="A21" s="117">
        <v>14</v>
      </c>
      <c r="B21" s="1" t="s">
        <v>108</v>
      </c>
      <c r="C21" s="118">
        <v>2973609.72</v>
      </c>
      <c r="D21" s="118"/>
      <c r="E21" s="118"/>
      <c r="F21" s="118"/>
      <c r="G21" s="118"/>
      <c r="H21" s="118"/>
      <c r="I21" s="118"/>
      <c r="J21" s="118"/>
      <c r="K21" s="118"/>
      <c r="L21" s="118"/>
      <c r="M21" s="118">
        <v>18496197.437923472</v>
      </c>
      <c r="N21" s="118"/>
      <c r="O21" s="118"/>
      <c r="P21" s="118"/>
      <c r="Q21" s="118"/>
      <c r="R21" s="118"/>
      <c r="S21" s="596">
        <f t="shared" si="0"/>
        <v>18496197.437923472</v>
      </c>
    </row>
    <row r="22" spans="1:19" ht="13.5" thickBot="1">
      <c r="A22" s="120"/>
      <c r="B22" s="121" t="s">
        <v>109</v>
      </c>
      <c r="C22" s="598">
        <f>SUM(C8:C21)</f>
        <v>29804651.470782835</v>
      </c>
      <c r="D22" s="598">
        <f t="shared" ref="D22:J22" si="1">SUM(D8:D21)</f>
        <v>0</v>
      </c>
      <c r="E22" s="598">
        <f t="shared" si="1"/>
        <v>5424.82</v>
      </c>
      <c r="F22" s="598">
        <f t="shared" si="1"/>
        <v>0</v>
      </c>
      <c r="G22" s="598">
        <f t="shared" si="1"/>
        <v>0</v>
      </c>
      <c r="H22" s="598">
        <f t="shared" si="1"/>
        <v>0</v>
      </c>
      <c r="I22" s="598">
        <f t="shared" si="1"/>
        <v>17669659.595228996</v>
      </c>
      <c r="J22" s="598">
        <f t="shared" si="1"/>
        <v>23052191.854999997</v>
      </c>
      <c r="K22" s="598">
        <f t="shared" ref="K22:S22" si="2">SUM(K8:K21)</f>
        <v>0</v>
      </c>
      <c r="L22" s="598">
        <f t="shared" si="2"/>
        <v>0</v>
      </c>
      <c r="M22" s="598">
        <f t="shared" si="2"/>
        <v>335288840.71269965</v>
      </c>
      <c r="N22" s="598">
        <f t="shared" si="2"/>
        <v>44439711.640000001</v>
      </c>
      <c r="O22" s="598">
        <f t="shared" si="2"/>
        <v>0</v>
      </c>
      <c r="P22" s="598">
        <f t="shared" si="2"/>
        <v>0</v>
      </c>
      <c r="Q22" s="598">
        <f t="shared" si="2"/>
        <v>0</v>
      </c>
      <c r="R22" s="598">
        <f t="shared" si="2"/>
        <v>0</v>
      </c>
      <c r="S22" s="597">
        <f t="shared" si="2"/>
        <v>400090563.04181415</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pane xSplit="2" ySplit="6" topLeftCell="C7"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10.5703125" style="4" bestFit="1" customWidth="1"/>
    <col min="2" max="2" width="63.7109375" style="4" bestFit="1" customWidth="1"/>
    <col min="3" max="3" width="16.28515625" style="4" bestFit="1" customWidth="1"/>
    <col min="4" max="4" width="15.140625" style="4" bestFit="1" customWidth="1"/>
    <col min="5" max="5" width="31.28515625" style="4" customWidth="1"/>
    <col min="6" max="6" width="29.28515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71093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28515625" style="4" customWidth="1"/>
    <col min="21" max="21" width="24.7109375" style="4" customWidth="1"/>
    <col min="22" max="22" width="20" style="4" customWidth="1"/>
    <col min="23" max="16384" width="9.28515625" style="33"/>
  </cols>
  <sheetData>
    <row r="1" spans="1:22">
      <c r="A1" s="449" t="s">
        <v>30</v>
      </c>
      <c r="B1" s="450" t="str">
        <f>'Info '!C2</f>
        <v>JSC Isbank Georgia</v>
      </c>
    </row>
    <row r="2" spans="1:22">
      <c r="A2" s="449" t="s">
        <v>31</v>
      </c>
      <c r="B2" s="451">
        <f>'1. key ratios '!B2</f>
        <v>44561</v>
      </c>
    </row>
    <row r="4" spans="1:22" ht="13.5" thickBot="1">
      <c r="A4" s="4" t="s">
        <v>366</v>
      </c>
      <c r="B4" s="122" t="s">
        <v>95</v>
      </c>
      <c r="V4" s="35" t="s">
        <v>73</v>
      </c>
    </row>
    <row r="5" spans="1:22" ht="12.75" customHeight="1">
      <c r="A5" s="123"/>
      <c r="B5" s="124"/>
      <c r="C5" s="730" t="s">
        <v>277</v>
      </c>
      <c r="D5" s="731"/>
      <c r="E5" s="731"/>
      <c r="F5" s="731"/>
      <c r="G5" s="731"/>
      <c r="H5" s="731"/>
      <c r="I5" s="731"/>
      <c r="J5" s="731"/>
      <c r="K5" s="731"/>
      <c r="L5" s="732"/>
      <c r="M5" s="733" t="s">
        <v>278</v>
      </c>
      <c r="N5" s="734"/>
      <c r="O5" s="734"/>
      <c r="P5" s="734"/>
      <c r="Q5" s="734"/>
      <c r="R5" s="734"/>
      <c r="S5" s="735"/>
      <c r="T5" s="738" t="s">
        <v>364</v>
      </c>
      <c r="U5" s="738" t="s">
        <v>365</v>
      </c>
      <c r="V5" s="736" t="s">
        <v>121</v>
      </c>
    </row>
    <row r="6" spans="1:22" s="73" customFormat="1" ht="102">
      <c r="A6" s="70"/>
      <c r="B6" s="125"/>
      <c r="C6" s="126" t="s">
        <v>110</v>
      </c>
      <c r="D6" s="196" t="s">
        <v>111</v>
      </c>
      <c r="E6" s="148" t="s">
        <v>280</v>
      </c>
      <c r="F6" s="148" t="s">
        <v>281</v>
      </c>
      <c r="G6" s="196" t="s">
        <v>284</v>
      </c>
      <c r="H6" s="196" t="s">
        <v>279</v>
      </c>
      <c r="I6" s="196" t="s">
        <v>112</v>
      </c>
      <c r="J6" s="196" t="s">
        <v>113</v>
      </c>
      <c r="K6" s="127" t="s">
        <v>114</v>
      </c>
      <c r="L6" s="128" t="s">
        <v>115</v>
      </c>
      <c r="M6" s="126" t="s">
        <v>282</v>
      </c>
      <c r="N6" s="127" t="s">
        <v>116</v>
      </c>
      <c r="O6" s="127" t="s">
        <v>117</v>
      </c>
      <c r="P6" s="127" t="s">
        <v>118</v>
      </c>
      <c r="Q6" s="127" t="s">
        <v>119</v>
      </c>
      <c r="R6" s="127" t="s">
        <v>120</v>
      </c>
      <c r="S6" s="217" t="s">
        <v>283</v>
      </c>
      <c r="T6" s="739"/>
      <c r="U6" s="739"/>
      <c r="V6" s="737"/>
    </row>
    <row r="7" spans="1:22" s="119" customFormat="1">
      <c r="A7" s="129">
        <v>1</v>
      </c>
      <c r="B7" s="1" t="s">
        <v>96</v>
      </c>
      <c r="C7" s="130"/>
      <c r="D7" s="599"/>
      <c r="E7" s="599"/>
      <c r="F7" s="599"/>
      <c r="G7" s="599"/>
      <c r="H7" s="599"/>
      <c r="I7" s="599"/>
      <c r="J7" s="599"/>
      <c r="K7" s="599"/>
      <c r="L7" s="554"/>
      <c r="M7" s="130"/>
      <c r="N7" s="599"/>
      <c r="O7" s="599"/>
      <c r="P7" s="599"/>
      <c r="Q7" s="599"/>
      <c r="R7" s="599"/>
      <c r="S7" s="554"/>
      <c r="T7" s="600"/>
      <c r="U7" s="600"/>
      <c r="V7" s="601">
        <f>SUM(C7:S7)</f>
        <v>0</v>
      </c>
    </row>
    <row r="8" spans="1:22" s="119" customFormat="1">
      <c r="A8" s="129">
        <v>2</v>
      </c>
      <c r="B8" s="1" t="s">
        <v>97</v>
      </c>
      <c r="C8" s="130"/>
      <c r="D8" s="599"/>
      <c r="E8" s="599"/>
      <c r="F8" s="599"/>
      <c r="G8" s="599"/>
      <c r="H8" s="599"/>
      <c r="I8" s="599"/>
      <c r="J8" s="599"/>
      <c r="K8" s="599"/>
      <c r="L8" s="554"/>
      <c r="M8" s="130"/>
      <c r="N8" s="599"/>
      <c r="O8" s="599"/>
      <c r="P8" s="599"/>
      <c r="Q8" s="599"/>
      <c r="R8" s="599"/>
      <c r="S8" s="554"/>
      <c r="T8" s="600"/>
      <c r="U8" s="600"/>
      <c r="V8" s="601">
        <f t="shared" ref="V8:V20" si="0">SUM(C8:S8)</f>
        <v>0</v>
      </c>
    </row>
    <row r="9" spans="1:22" s="119" customFormat="1">
      <c r="A9" s="129">
        <v>3</v>
      </c>
      <c r="B9" s="1" t="s">
        <v>270</v>
      </c>
      <c r="C9" s="130"/>
      <c r="D9" s="599"/>
      <c r="E9" s="599"/>
      <c r="F9" s="599"/>
      <c r="G9" s="599"/>
      <c r="H9" s="599"/>
      <c r="I9" s="599"/>
      <c r="J9" s="599"/>
      <c r="K9" s="599"/>
      <c r="L9" s="554"/>
      <c r="M9" s="130"/>
      <c r="N9" s="599"/>
      <c r="O9" s="599"/>
      <c r="P9" s="599"/>
      <c r="Q9" s="599"/>
      <c r="R9" s="599"/>
      <c r="S9" s="554"/>
      <c r="T9" s="600"/>
      <c r="U9" s="600"/>
      <c r="V9" s="601">
        <f t="shared" si="0"/>
        <v>0</v>
      </c>
    </row>
    <row r="10" spans="1:22" s="119" customFormat="1">
      <c r="A10" s="129">
        <v>4</v>
      </c>
      <c r="B10" s="1" t="s">
        <v>98</v>
      </c>
      <c r="C10" s="130"/>
      <c r="D10" s="599"/>
      <c r="E10" s="599"/>
      <c r="F10" s="599"/>
      <c r="G10" s="599"/>
      <c r="H10" s="599"/>
      <c r="I10" s="599"/>
      <c r="J10" s="599"/>
      <c r="K10" s="599"/>
      <c r="L10" s="554"/>
      <c r="M10" s="130"/>
      <c r="N10" s="599"/>
      <c r="O10" s="599"/>
      <c r="P10" s="599"/>
      <c r="Q10" s="599"/>
      <c r="R10" s="599"/>
      <c r="S10" s="554"/>
      <c r="T10" s="600"/>
      <c r="U10" s="600"/>
      <c r="V10" s="601">
        <f t="shared" si="0"/>
        <v>0</v>
      </c>
    </row>
    <row r="11" spans="1:22" s="119" customFormat="1">
      <c r="A11" s="129">
        <v>5</v>
      </c>
      <c r="B11" s="1" t="s">
        <v>99</v>
      </c>
      <c r="C11" s="130"/>
      <c r="D11" s="599"/>
      <c r="E11" s="599"/>
      <c r="F11" s="599"/>
      <c r="G11" s="599"/>
      <c r="H11" s="599"/>
      <c r="I11" s="599"/>
      <c r="J11" s="599"/>
      <c r="K11" s="599"/>
      <c r="L11" s="554"/>
      <c r="M11" s="130"/>
      <c r="N11" s="599"/>
      <c r="O11" s="599"/>
      <c r="P11" s="599"/>
      <c r="Q11" s="599"/>
      <c r="R11" s="599"/>
      <c r="S11" s="554"/>
      <c r="T11" s="600"/>
      <c r="U11" s="600"/>
      <c r="V11" s="601">
        <f t="shared" si="0"/>
        <v>0</v>
      </c>
    </row>
    <row r="12" spans="1:22" s="119" customFormat="1">
      <c r="A12" s="129">
        <v>6</v>
      </c>
      <c r="B12" s="1" t="s">
        <v>100</v>
      </c>
      <c r="C12" s="130"/>
      <c r="D12" s="599"/>
      <c r="E12" s="599"/>
      <c r="F12" s="599"/>
      <c r="G12" s="599"/>
      <c r="H12" s="599"/>
      <c r="I12" s="599"/>
      <c r="J12" s="599"/>
      <c r="K12" s="599"/>
      <c r="L12" s="554"/>
      <c r="M12" s="130"/>
      <c r="N12" s="599"/>
      <c r="O12" s="599"/>
      <c r="P12" s="599"/>
      <c r="Q12" s="599"/>
      <c r="R12" s="599"/>
      <c r="S12" s="554"/>
      <c r="T12" s="600"/>
      <c r="U12" s="600"/>
      <c r="V12" s="601">
        <f t="shared" si="0"/>
        <v>0</v>
      </c>
    </row>
    <row r="13" spans="1:22" s="119" customFormat="1">
      <c r="A13" s="129">
        <v>7</v>
      </c>
      <c r="B13" s="1" t="s">
        <v>101</v>
      </c>
      <c r="C13" s="130"/>
      <c r="D13" s="599">
        <f>3293749.424+264399.776</f>
        <v>3558149.2</v>
      </c>
      <c r="E13" s="599"/>
      <c r="F13" s="599"/>
      <c r="G13" s="599"/>
      <c r="H13" s="599"/>
      <c r="I13" s="599"/>
      <c r="J13" s="599"/>
      <c r="K13" s="599"/>
      <c r="L13" s="554"/>
      <c r="M13" s="130"/>
      <c r="N13" s="599"/>
      <c r="O13" s="599"/>
      <c r="P13" s="599"/>
      <c r="Q13" s="599"/>
      <c r="R13" s="599"/>
      <c r="S13" s="554"/>
      <c r="T13" s="600">
        <v>3293749.4240000001</v>
      </c>
      <c r="U13" s="600">
        <v>264399.77600000001</v>
      </c>
      <c r="V13" s="601">
        <f t="shared" si="0"/>
        <v>3558149.2</v>
      </c>
    </row>
    <row r="14" spans="1:22" s="119" customFormat="1">
      <c r="A14" s="129">
        <v>8</v>
      </c>
      <c r="B14" s="1" t="s">
        <v>102</v>
      </c>
      <c r="C14" s="130"/>
      <c r="D14" s="599"/>
      <c r="E14" s="599"/>
      <c r="F14" s="599"/>
      <c r="G14" s="599"/>
      <c r="H14" s="599"/>
      <c r="I14" s="599"/>
      <c r="J14" s="599"/>
      <c r="K14" s="599"/>
      <c r="L14" s="554"/>
      <c r="M14" s="130"/>
      <c r="N14" s="599"/>
      <c r="O14" s="599"/>
      <c r="P14" s="599"/>
      <c r="Q14" s="599"/>
      <c r="R14" s="599"/>
      <c r="S14" s="554"/>
      <c r="T14" s="600"/>
      <c r="U14" s="600"/>
      <c r="V14" s="601">
        <f t="shared" si="0"/>
        <v>0</v>
      </c>
    </row>
    <row r="15" spans="1:22" s="119" customFormat="1">
      <c r="A15" s="129">
        <v>9</v>
      </c>
      <c r="B15" s="1" t="s">
        <v>103</v>
      </c>
      <c r="C15" s="130"/>
      <c r="D15" s="599"/>
      <c r="E15" s="599"/>
      <c r="F15" s="599"/>
      <c r="G15" s="599"/>
      <c r="H15" s="599"/>
      <c r="I15" s="599"/>
      <c r="J15" s="599"/>
      <c r="K15" s="599"/>
      <c r="L15" s="554"/>
      <c r="M15" s="130"/>
      <c r="N15" s="599"/>
      <c r="O15" s="599"/>
      <c r="P15" s="599"/>
      <c r="Q15" s="599"/>
      <c r="R15" s="599"/>
      <c r="S15" s="554"/>
      <c r="T15" s="600"/>
      <c r="U15" s="600"/>
      <c r="V15" s="601">
        <f t="shared" si="0"/>
        <v>0</v>
      </c>
    </row>
    <row r="16" spans="1:22" s="119" customFormat="1">
      <c r="A16" s="129">
        <v>10</v>
      </c>
      <c r="B16" s="1" t="s">
        <v>104</v>
      </c>
      <c r="C16" s="130"/>
      <c r="D16" s="599"/>
      <c r="E16" s="599"/>
      <c r="F16" s="599"/>
      <c r="G16" s="599"/>
      <c r="H16" s="599"/>
      <c r="I16" s="599"/>
      <c r="J16" s="599"/>
      <c r="K16" s="599"/>
      <c r="L16" s="554"/>
      <c r="M16" s="130"/>
      <c r="N16" s="599"/>
      <c r="O16" s="599"/>
      <c r="P16" s="599"/>
      <c r="Q16" s="599"/>
      <c r="R16" s="599"/>
      <c r="S16" s="554"/>
      <c r="T16" s="600"/>
      <c r="U16" s="600"/>
      <c r="V16" s="601">
        <f t="shared" si="0"/>
        <v>0</v>
      </c>
    </row>
    <row r="17" spans="1:22" s="119" customFormat="1">
      <c r="A17" s="129">
        <v>11</v>
      </c>
      <c r="B17" s="1" t="s">
        <v>105</v>
      </c>
      <c r="C17" s="130"/>
      <c r="D17" s="599"/>
      <c r="E17" s="599"/>
      <c r="F17" s="599"/>
      <c r="G17" s="599"/>
      <c r="H17" s="599"/>
      <c r="I17" s="599"/>
      <c r="J17" s="599"/>
      <c r="K17" s="599"/>
      <c r="L17" s="554"/>
      <c r="M17" s="130"/>
      <c r="N17" s="599"/>
      <c r="O17" s="599"/>
      <c r="P17" s="599"/>
      <c r="Q17" s="599"/>
      <c r="R17" s="599"/>
      <c r="S17" s="554"/>
      <c r="T17" s="600"/>
      <c r="U17" s="600"/>
      <c r="V17" s="601">
        <f t="shared" si="0"/>
        <v>0</v>
      </c>
    </row>
    <row r="18" spans="1:22" s="119" customFormat="1">
      <c r="A18" s="129">
        <v>12</v>
      </c>
      <c r="B18" s="1" t="s">
        <v>106</v>
      </c>
      <c r="C18" s="130"/>
      <c r="D18" s="599"/>
      <c r="E18" s="599"/>
      <c r="F18" s="599"/>
      <c r="G18" s="599"/>
      <c r="H18" s="599"/>
      <c r="I18" s="599"/>
      <c r="J18" s="599"/>
      <c r="K18" s="599"/>
      <c r="L18" s="554"/>
      <c r="M18" s="130"/>
      <c r="N18" s="599"/>
      <c r="O18" s="599"/>
      <c r="P18" s="599"/>
      <c r="Q18" s="599"/>
      <c r="R18" s="599"/>
      <c r="S18" s="554"/>
      <c r="T18" s="600"/>
      <c r="U18" s="600"/>
      <c r="V18" s="601">
        <f t="shared" si="0"/>
        <v>0</v>
      </c>
    </row>
    <row r="19" spans="1:22" s="119" customFormat="1">
      <c r="A19" s="129">
        <v>13</v>
      </c>
      <c r="B19" s="1" t="s">
        <v>107</v>
      </c>
      <c r="C19" s="130"/>
      <c r="D19" s="599"/>
      <c r="E19" s="599"/>
      <c r="F19" s="599"/>
      <c r="G19" s="599"/>
      <c r="H19" s="599"/>
      <c r="I19" s="599"/>
      <c r="J19" s="599"/>
      <c r="K19" s="599"/>
      <c r="L19" s="554"/>
      <c r="M19" s="130"/>
      <c r="N19" s="599"/>
      <c r="O19" s="599"/>
      <c r="P19" s="599"/>
      <c r="Q19" s="599"/>
      <c r="R19" s="599"/>
      <c r="S19" s="554"/>
      <c r="T19" s="600"/>
      <c r="U19" s="600"/>
      <c r="V19" s="601">
        <f t="shared" si="0"/>
        <v>0</v>
      </c>
    </row>
    <row r="20" spans="1:22" s="119" customFormat="1">
      <c r="A20" s="129">
        <v>14</v>
      </c>
      <c r="B20" s="1" t="s">
        <v>108</v>
      </c>
      <c r="C20" s="130"/>
      <c r="D20" s="599">
        <v>545765.61600000004</v>
      </c>
      <c r="E20" s="599"/>
      <c r="F20" s="599"/>
      <c r="G20" s="599"/>
      <c r="H20" s="599"/>
      <c r="I20" s="599"/>
      <c r="J20" s="599"/>
      <c r="K20" s="599"/>
      <c r="L20" s="554"/>
      <c r="M20" s="130"/>
      <c r="N20" s="599"/>
      <c r="O20" s="599"/>
      <c r="P20" s="599"/>
      <c r="Q20" s="599"/>
      <c r="R20" s="599"/>
      <c r="S20" s="554"/>
      <c r="T20" s="600">
        <v>545765.61600000004</v>
      </c>
      <c r="U20" s="600"/>
      <c r="V20" s="601">
        <f t="shared" si="0"/>
        <v>545765.61600000004</v>
      </c>
    </row>
    <row r="21" spans="1:22" ht="13.5" thickBot="1">
      <c r="A21" s="120"/>
      <c r="B21" s="131" t="s">
        <v>109</v>
      </c>
      <c r="C21" s="602">
        <f>SUM(C7:C20)</f>
        <v>0</v>
      </c>
      <c r="D21" s="603">
        <f t="shared" ref="D21:V21" si="1">SUM(D7:D20)</f>
        <v>4103914.8160000001</v>
      </c>
      <c r="E21" s="603">
        <f t="shared" si="1"/>
        <v>0</v>
      </c>
      <c r="F21" s="603">
        <f t="shared" si="1"/>
        <v>0</v>
      </c>
      <c r="G21" s="603">
        <f t="shared" si="1"/>
        <v>0</v>
      </c>
      <c r="H21" s="603">
        <f t="shared" si="1"/>
        <v>0</v>
      </c>
      <c r="I21" s="603">
        <f t="shared" si="1"/>
        <v>0</v>
      </c>
      <c r="J21" s="603">
        <f t="shared" si="1"/>
        <v>0</v>
      </c>
      <c r="K21" s="603">
        <f t="shared" si="1"/>
        <v>0</v>
      </c>
      <c r="L21" s="604">
        <f t="shared" si="1"/>
        <v>0</v>
      </c>
      <c r="M21" s="602">
        <f t="shared" si="1"/>
        <v>0</v>
      </c>
      <c r="N21" s="603">
        <f t="shared" si="1"/>
        <v>0</v>
      </c>
      <c r="O21" s="603">
        <f t="shared" si="1"/>
        <v>0</v>
      </c>
      <c r="P21" s="603">
        <f t="shared" si="1"/>
        <v>0</v>
      </c>
      <c r="Q21" s="603">
        <f t="shared" si="1"/>
        <v>0</v>
      </c>
      <c r="R21" s="603">
        <f t="shared" si="1"/>
        <v>0</v>
      </c>
      <c r="S21" s="604">
        <f>SUM(S7:S20)</f>
        <v>0</v>
      </c>
      <c r="T21" s="604">
        <f>SUM(T7:T20)</f>
        <v>3839515.04</v>
      </c>
      <c r="U21" s="604">
        <f t="shared" ref="U21" si="2">SUM(U7:U20)</f>
        <v>264399.77600000001</v>
      </c>
      <c r="V21" s="605">
        <f t="shared" si="1"/>
        <v>4103914.8160000001</v>
      </c>
    </row>
    <row r="24" spans="1:22">
      <c r="A24" s="7"/>
      <c r="B24" s="7"/>
      <c r="C24" s="46"/>
      <c r="D24" s="46"/>
      <c r="E24" s="46"/>
    </row>
    <row r="25" spans="1:22">
      <c r="A25" s="132"/>
      <c r="B25" s="132"/>
      <c r="C25" s="7"/>
      <c r="D25" s="46"/>
      <c r="E25" s="46"/>
    </row>
    <row r="26" spans="1:22">
      <c r="A26" s="132"/>
      <c r="B26" s="47"/>
      <c r="C26" s="7"/>
      <c r="D26" s="46"/>
      <c r="E26" s="46"/>
    </row>
    <row r="27" spans="1:22">
      <c r="A27" s="132"/>
      <c r="B27" s="132"/>
      <c r="C27" s="7"/>
      <c r="D27" s="46"/>
      <c r="E27" s="46"/>
    </row>
    <row r="28" spans="1:22">
      <c r="A28" s="132"/>
      <c r="B28" s="47"/>
      <c r="C28" s="7"/>
      <c r="D28" s="46"/>
      <c r="E28" s="46"/>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zoomScaleNormal="100" workbookViewId="0">
      <pane xSplit="1" ySplit="7" topLeftCell="B8"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10.5703125" style="4" bestFit="1" customWidth="1"/>
    <col min="2" max="2" width="63.7109375" style="4" bestFit="1" customWidth="1"/>
    <col min="3" max="3" width="13.7109375" style="225" customWidth="1"/>
    <col min="4" max="4" width="14.7109375" style="225" bestFit="1" customWidth="1"/>
    <col min="5" max="5" width="17.7109375" style="225" customWidth="1"/>
    <col min="6" max="6" width="15.7109375" style="225" customWidth="1"/>
    <col min="7" max="7" width="17.42578125" style="225" customWidth="1"/>
    <col min="8" max="8" width="15.28515625" style="225" customWidth="1"/>
    <col min="9" max="16384" width="9.28515625" style="33"/>
  </cols>
  <sheetData>
    <row r="1" spans="1:9">
      <c r="A1" s="449" t="s">
        <v>30</v>
      </c>
      <c r="B1" s="450" t="str">
        <f>'Info '!C2</f>
        <v>JSC Isbank Georgia</v>
      </c>
      <c r="C1" s="3"/>
    </row>
    <row r="2" spans="1:9">
      <c r="A2" s="449" t="s">
        <v>31</v>
      </c>
      <c r="B2" s="451">
        <f>'1. key ratios '!B2</f>
        <v>44561</v>
      </c>
      <c r="C2" s="339"/>
    </row>
    <row r="4" spans="1:9" ht="13.5" thickBot="1">
      <c r="A4" s="2" t="s">
        <v>253</v>
      </c>
      <c r="B4" s="122" t="s">
        <v>376</v>
      </c>
    </row>
    <row r="5" spans="1:9">
      <c r="A5" s="123"/>
      <c r="B5" s="133"/>
      <c r="C5" s="226" t="s">
        <v>0</v>
      </c>
      <c r="D5" s="226" t="s">
        <v>1</v>
      </c>
      <c r="E5" s="226" t="s">
        <v>2</v>
      </c>
      <c r="F5" s="226" t="s">
        <v>3</v>
      </c>
      <c r="G5" s="227" t="s">
        <v>4</v>
      </c>
      <c r="H5" s="228" t="s">
        <v>5</v>
      </c>
      <c r="I5" s="134"/>
    </row>
    <row r="6" spans="1:9" s="134" customFormat="1" ht="12.75" customHeight="1">
      <c r="A6" s="135"/>
      <c r="B6" s="742" t="s">
        <v>252</v>
      </c>
      <c r="C6" s="744" t="s">
        <v>368</v>
      </c>
      <c r="D6" s="746" t="s">
        <v>367</v>
      </c>
      <c r="E6" s="747"/>
      <c r="F6" s="744" t="s">
        <v>372</v>
      </c>
      <c r="G6" s="744" t="s">
        <v>373</v>
      </c>
      <c r="H6" s="740" t="s">
        <v>371</v>
      </c>
    </row>
    <row r="7" spans="1:9" ht="38.25">
      <c r="A7" s="137"/>
      <c r="B7" s="743"/>
      <c r="C7" s="745"/>
      <c r="D7" s="229" t="s">
        <v>370</v>
      </c>
      <c r="E7" s="229" t="s">
        <v>369</v>
      </c>
      <c r="F7" s="745"/>
      <c r="G7" s="745"/>
      <c r="H7" s="741"/>
      <c r="I7" s="134"/>
    </row>
    <row r="8" spans="1:9">
      <c r="A8" s="135">
        <v>1</v>
      </c>
      <c r="B8" s="1" t="s">
        <v>96</v>
      </c>
      <c r="C8" s="230">
        <f>'11. CRWA '!C8+'11. CRWA '!E8+'11. CRWA '!G8+'11. CRWA '!I8+'11. CRWA '!K8+'11. CRWA '!M8+'11. CRWA '!O8+'11. CRWA '!Q8</f>
        <v>91191499.268169716</v>
      </c>
      <c r="D8" s="231"/>
      <c r="E8" s="230">
        <f>'11. CRWA '!D8+'11. CRWA '!F8+'11. CRWA '!H8+'11. CRWA '!J8+'11. CRWA '!L8+'11. CRWA '!N8+'11. CRWA '!P8+'11. CRWA '!R8</f>
        <v>0</v>
      </c>
      <c r="F8" s="230">
        <f>'11. CRWA '!S8</f>
        <v>64360457.517386883</v>
      </c>
      <c r="G8" s="232">
        <f>F8-'12. CRM'!V7</f>
        <v>64360457.517386883</v>
      </c>
      <c r="H8" s="608">
        <f>IFERROR(G8/(C8+E8),0)</f>
        <v>0.70577255592782895</v>
      </c>
    </row>
    <row r="9" spans="1:9" ht="15" customHeight="1">
      <c r="A9" s="135">
        <v>2</v>
      </c>
      <c r="B9" s="1" t="s">
        <v>97</v>
      </c>
      <c r="C9" s="230">
        <f>'11. CRWA '!C9+'11. CRWA '!E9+'11. CRWA '!G9+'11. CRWA '!I9+'11. CRWA '!K9+'11. CRWA '!M9+'11. CRWA '!O9+'11. CRWA '!Q9</f>
        <v>0</v>
      </c>
      <c r="D9" s="231"/>
      <c r="E9" s="230">
        <f>'11. CRWA '!D9+'11. CRWA '!F9+'11. CRWA '!H9+'11. CRWA '!J9+'11. CRWA '!L9+'11. CRWA '!N9+'11. CRWA '!P9+'11. CRWA '!R9</f>
        <v>0</v>
      </c>
      <c r="F9" s="230">
        <f>'11. CRWA '!S9</f>
        <v>0</v>
      </c>
      <c r="G9" s="232">
        <f>F9-'12. CRM'!V8</f>
        <v>0</v>
      </c>
      <c r="H9" s="608">
        <f t="shared" ref="H9:H21" si="0">IFERROR(G9/(C9+E9),0)</f>
        <v>0</v>
      </c>
    </row>
    <row r="10" spans="1:9">
      <c r="A10" s="135">
        <v>3</v>
      </c>
      <c r="B10" s="1" t="s">
        <v>270</v>
      </c>
      <c r="C10" s="230">
        <f>'11. CRWA '!C10+'11. CRWA '!E10+'11. CRWA '!G10+'11. CRWA '!I10+'11. CRWA '!K10+'11. CRWA '!M10+'11. CRWA '!O10+'11. CRWA '!Q10</f>
        <v>0</v>
      </c>
      <c r="D10" s="231"/>
      <c r="E10" s="230">
        <f>'11. CRWA '!D10+'11. CRWA '!F10+'11. CRWA '!H10+'11. CRWA '!J10+'11. CRWA '!L10+'11. CRWA '!N10+'11. CRWA '!P10+'11. CRWA '!R10</f>
        <v>0</v>
      </c>
      <c r="F10" s="230">
        <f>'11. CRWA '!S10</f>
        <v>0</v>
      </c>
      <c r="G10" s="232">
        <f>F10-'12. CRM'!V9</f>
        <v>0</v>
      </c>
      <c r="H10" s="608">
        <f t="shared" si="0"/>
        <v>0</v>
      </c>
    </row>
    <row r="11" spans="1:9">
      <c r="A11" s="135">
        <v>4</v>
      </c>
      <c r="B11" s="1" t="s">
        <v>98</v>
      </c>
      <c r="C11" s="230">
        <f>'11. CRWA '!C11+'11. CRWA '!E11+'11. CRWA '!G11+'11. CRWA '!I11+'11. CRWA '!K11+'11. CRWA '!M11+'11. CRWA '!O11+'11. CRWA '!Q11</f>
        <v>0</v>
      </c>
      <c r="D11" s="231"/>
      <c r="E11" s="230">
        <f>'11. CRWA '!D11+'11. CRWA '!F11+'11. CRWA '!H11+'11. CRWA '!J11+'11. CRWA '!L11+'11. CRWA '!N11+'11. CRWA '!P11+'11. CRWA '!R11</f>
        <v>0</v>
      </c>
      <c r="F11" s="230">
        <f>'11. CRWA '!S11</f>
        <v>0</v>
      </c>
      <c r="G11" s="232">
        <f>F11-'12. CRM'!V10</f>
        <v>0</v>
      </c>
      <c r="H11" s="608">
        <f t="shared" si="0"/>
        <v>0</v>
      </c>
    </row>
    <row r="12" spans="1:9">
      <c r="A12" s="135">
        <v>5</v>
      </c>
      <c r="B12" s="1" t="s">
        <v>99</v>
      </c>
      <c r="C12" s="230">
        <f>'11. CRWA '!C12+'11. CRWA '!E12+'11. CRWA '!G12+'11. CRWA '!I12+'11. CRWA '!K12+'11. CRWA '!M12+'11. CRWA '!O12+'11. CRWA '!Q12</f>
        <v>0</v>
      </c>
      <c r="D12" s="231"/>
      <c r="E12" s="230">
        <f>'11. CRWA '!D12+'11. CRWA '!F12+'11. CRWA '!H12+'11. CRWA '!J12+'11. CRWA '!L12+'11. CRWA '!N12+'11. CRWA '!P12+'11. CRWA '!R12</f>
        <v>0</v>
      </c>
      <c r="F12" s="230">
        <f>'11. CRWA '!S12</f>
        <v>0</v>
      </c>
      <c r="G12" s="232">
        <f>F12-'12. CRM'!V11</f>
        <v>0</v>
      </c>
      <c r="H12" s="608">
        <f t="shared" si="0"/>
        <v>0</v>
      </c>
    </row>
    <row r="13" spans="1:9">
      <c r="A13" s="135">
        <v>6</v>
      </c>
      <c r="B13" s="1" t="s">
        <v>100</v>
      </c>
      <c r="C13" s="230">
        <f>'11. CRWA '!C13+'11. CRWA '!E13+'11. CRWA '!G13+'11. CRWA '!I13+'11. CRWA '!K13+'11. CRWA '!M13+'11. CRWA '!O13+'11. CRWA '!Q13</f>
        <v>20132601.600332998</v>
      </c>
      <c r="D13" s="231">
        <f>'11. CRWA '!D13+'11. CRWA '!F13+'11. CRWA '!H13+'11. CRWA '!J13+'11. CRWA '!L13+'11. CRWA '!N13+'11. CRWA '!P13+'11. CRWA '!R13</f>
        <v>38489762.414999999</v>
      </c>
      <c r="E13" s="230">
        <f>'11. CRWA '!D13+'11. CRWA '!F13+'11. CRWA '!H13+'11. CRWA '!J13+'11. CRWA '!L13+'11. CRWA '!N13+'11. CRWA '!P13+'11. CRWA '!R13</f>
        <v>38489762.414999999</v>
      </c>
      <c r="F13" s="230">
        <f>'11. CRWA '!S13</f>
        <v>38257098.434218496</v>
      </c>
      <c r="G13" s="232">
        <f>F13-'12. CRM'!V12</f>
        <v>38257098.434218496</v>
      </c>
      <c r="H13" s="608">
        <f t="shared" si="0"/>
        <v>0.65260245090443891</v>
      </c>
    </row>
    <row r="14" spans="1:9">
      <c r="A14" s="135">
        <v>7</v>
      </c>
      <c r="B14" s="1" t="s">
        <v>101</v>
      </c>
      <c r="C14" s="230">
        <f>'11. CRWA '!C14+'11. CRWA '!E14+'11. CRWA '!G14+'11. CRWA '!I14+'11. CRWA '!K14+'11. CRWA '!M14+'11. CRWA '!O14+'11. CRWA '!Q14</f>
        <v>248740614.08628526</v>
      </c>
      <c r="D14" s="231">
        <f>'4. Off-Balance'!E7-D13</f>
        <v>72053715.63499999</v>
      </c>
      <c r="E14" s="230">
        <f>'11. CRWA '!D14+'11. CRWA '!F14+'11. CRWA '!H14+'11. CRWA '!J14+'11. CRWA '!L14+'11. CRWA '!N14+'11. CRWA '!P14+'11. CRWA '!R14</f>
        <v>28986956.705000002</v>
      </c>
      <c r="F14" s="230">
        <f>'11. CRWA '!S14</f>
        <v>277727570.79128528</v>
      </c>
      <c r="G14" s="232">
        <f>F14-'12. CRM'!V13</f>
        <v>274169421.59128529</v>
      </c>
      <c r="H14" s="608">
        <f t="shared" si="0"/>
        <v>0.98718834723588189</v>
      </c>
    </row>
    <row r="15" spans="1:9">
      <c r="A15" s="135">
        <v>8</v>
      </c>
      <c r="B15" s="1" t="s">
        <v>102</v>
      </c>
      <c r="C15" s="230">
        <f>'11. CRWA '!C15+'11. CRWA '!E15+'11. CRWA '!G15+'11. CRWA '!I15+'11. CRWA '!K15+'11. CRWA '!M15+'11. CRWA '!O15+'11. CRWA '!Q15</f>
        <v>0</v>
      </c>
      <c r="D15" s="231"/>
      <c r="E15" s="230">
        <f>'11. CRWA '!D15+'11. CRWA '!F15+'11. CRWA '!H15+'11. CRWA '!J15+'11. CRWA '!L15+'11. CRWA '!N15+'11. CRWA '!P15+'11. CRWA '!R15</f>
        <v>15184.375000000004</v>
      </c>
      <c r="F15" s="230">
        <f>'11. CRWA '!S15</f>
        <v>15184.375000000004</v>
      </c>
      <c r="G15" s="232">
        <f>F15-'12. CRM'!V14</f>
        <v>15184.375000000004</v>
      </c>
      <c r="H15" s="608">
        <f t="shared" si="0"/>
        <v>1</v>
      </c>
    </row>
    <row r="16" spans="1:9">
      <c r="A16" s="135">
        <v>9</v>
      </c>
      <c r="B16" s="1" t="s">
        <v>103</v>
      </c>
      <c r="C16" s="230">
        <f>'11. CRWA '!C16+'11. CRWA '!E16+'11. CRWA '!G16+'11. CRWA '!I16+'11. CRWA '!K16+'11. CRWA '!M16+'11. CRWA '!O16+'11. CRWA '!Q16</f>
        <v>0</v>
      </c>
      <c r="D16" s="231"/>
      <c r="E16" s="230">
        <f>'11. CRWA '!D16+'11. CRWA '!F16+'11. CRWA '!H16+'11. CRWA '!J16+'11. CRWA '!L16+'11. CRWA '!N16+'11. CRWA '!P16+'11. CRWA '!R16</f>
        <v>0</v>
      </c>
      <c r="F16" s="230">
        <f>'11. CRWA '!S16</f>
        <v>0</v>
      </c>
      <c r="G16" s="232">
        <f>F16-'12. CRM'!V15</f>
        <v>0</v>
      </c>
      <c r="H16" s="608">
        <f t="shared" si="0"/>
        <v>0</v>
      </c>
    </row>
    <row r="17" spans="1:8">
      <c r="A17" s="135">
        <v>10</v>
      </c>
      <c r="B17" s="1" t="s">
        <v>104</v>
      </c>
      <c r="C17" s="230">
        <f>'11. CRWA '!C17+'11. CRWA '!E17+'11. CRWA '!G17+'11. CRWA '!I17+'11. CRWA '!K17+'11. CRWA '!M17+'11. CRWA '!O17+'11. CRWA '!Q17</f>
        <v>1234054.486</v>
      </c>
      <c r="D17" s="231"/>
      <c r="E17" s="230">
        <f>'11. CRWA '!D17+'11. CRWA '!F17+'11. CRWA '!H17+'11. CRWA '!J17+'11. CRWA '!L17+'11. CRWA '!N17+'11. CRWA '!P17+'11. CRWA '!R17</f>
        <v>0</v>
      </c>
      <c r="F17" s="230">
        <f>'11. CRWA '!S17</f>
        <v>1234054.486</v>
      </c>
      <c r="G17" s="232">
        <f>F17-'12. CRM'!V16</f>
        <v>1234054.486</v>
      </c>
      <c r="H17" s="608">
        <f t="shared" si="0"/>
        <v>1</v>
      </c>
    </row>
    <row r="18" spans="1:8">
      <c r="A18" s="135">
        <v>11</v>
      </c>
      <c r="B18" s="1" t="s">
        <v>105</v>
      </c>
      <c r="C18" s="230">
        <f>'11. CRWA '!C18+'11. CRWA '!E18+'11. CRWA '!G18+'11. CRWA '!I18+'11. CRWA '!K18+'11. CRWA '!M18+'11. CRWA '!O18+'11. CRWA '!Q18</f>
        <v>0</v>
      </c>
      <c r="D18" s="231"/>
      <c r="E18" s="230">
        <f>'11. CRWA '!D18+'11. CRWA '!F18+'11. CRWA '!H18+'11. CRWA '!J18+'11. CRWA '!L18+'11. CRWA '!N18+'11. CRWA '!P18+'11. CRWA '!R18</f>
        <v>0</v>
      </c>
      <c r="F18" s="230">
        <f>'11. CRWA '!S18</f>
        <v>0</v>
      </c>
      <c r="G18" s="232">
        <f>F18-'12. CRM'!V17</f>
        <v>0</v>
      </c>
      <c r="H18" s="608">
        <f t="shared" si="0"/>
        <v>0</v>
      </c>
    </row>
    <row r="19" spans="1:8">
      <c r="A19" s="135">
        <v>12</v>
      </c>
      <c r="B19" s="1" t="s">
        <v>106</v>
      </c>
      <c r="C19" s="230">
        <f>'11. CRWA '!C19+'11. CRWA '!E19+'11. CRWA '!G19+'11. CRWA '!I19+'11. CRWA '!K19+'11. CRWA '!M19+'11. CRWA '!O19+'11. CRWA '!Q19</f>
        <v>0</v>
      </c>
      <c r="D19" s="231"/>
      <c r="E19" s="230">
        <f>'11. CRWA '!D19+'11. CRWA '!F19+'11. CRWA '!H19+'11. CRWA '!J19+'11. CRWA '!L19+'11. CRWA '!N19+'11. CRWA '!P19+'11. CRWA '!R19</f>
        <v>0</v>
      </c>
      <c r="F19" s="230">
        <f>'11. CRWA '!S19</f>
        <v>0</v>
      </c>
      <c r="G19" s="232">
        <f>F19-'12. CRM'!V18</f>
        <v>0</v>
      </c>
      <c r="H19" s="608">
        <f t="shared" si="0"/>
        <v>0</v>
      </c>
    </row>
    <row r="20" spans="1:8">
      <c r="A20" s="135">
        <v>13</v>
      </c>
      <c r="B20" s="1" t="s">
        <v>247</v>
      </c>
      <c r="C20" s="230">
        <f>'11. CRWA '!C20+'11. CRWA '!E20+'11. CRWA '!G20+'11. CRWA '!I20+'11. CRWA '!K20+'11. CRWA '!M20+'11. CRWA '!O20+'11. CRWA '!Q20</f>
        <v>0</v>
      </c>
      <c r="D20" s="231"/>
      <c r="E20" s="230">
        <f>'11. CRWA '!D20+'11. CRWA '!F20+'11. CRWA '!H20+'11. CRWA '!J20+'11. CRWA '!L20+'11. CRWA '!N20+'11. CRWA '!P20+'11. CRWA '!R20</f>
        <v>0</v>
      </c>
      <c r="F20" s="230">
        <f>'11. CRWA '!S20</f>
        <v>0</v>
      </c>
      <c r="G20" s="232">
        <f>F20-'12. CRM'!V19</f>
        <v>0</v>
      </c>
      <c r="H20" s="608">
        <f t="shared" si="0"/>
        <v>0</v>
      </c>
    </row>
    <row r="21" spans="1:8">
      <c r="A21" s="135">
        <v>14</v>
      </c>
      <c r="B21" s="1" t="s">
        <v>108</v>
      </c>
      <c r="C21" s="230">
        <f>'11. CRWA '!C21+'11. CRWA '!E21+'11. CRWA '!G21+'11. CRWA '!I21+'11. CRWA '!K21+'11. CRWA '!M21+'11. CRWA '!O21+'11. CRWA '!Q21</f>
        <v>21469807.157923471</v>
      </c>
      <c r="D21" s="231"/>
      <c r="E21" s="230">
        <f>'11. CRWA '!D21+'11. CRWA '!F21+'11. CRWA '!H21+'11. CRWA '!J21+'11. CRWA '!L21+'11. CRWA '!N21+'11. CRWA '!P21+'11. CRWA '!R21</f>
        <v>0</v>
      </c>
      <c r="F21" s="230">
        <f>'11. CRWA '!S21</f>
        <v>18496197.437923472</v>
      </c>
      <c r="G21" s="232">
        <f>F21-'12. CRM'!V20</f>
        <v>17950431.821923472</v>
      </c>
      <c r="H21" s="608">
        <f t="shared" si="0"/>
        <v>0.83607792514795987</v>
      </c>
    </row>
    <row r="22" spans="1:8" ht="13.5" thickBot="1">
      <c r="A22" s="138"/>
      <c r="B22" s="139" t="s">
        <v>109</v>
      </c>
      <c r="C22" s="606">
        <f>SUM(C8:C21)</f>
        <v>382768576.59871143</v>
      </c>
      <c r="D22" s="606">
        <f>SUM(D8:D21)</f>
        <v>110543478.04999998</v>
      </c>
      <c r="E22" s="606">
        <f>SUM(E8:E21)</f>
        <v>67491903.495000005</v>
      </c>
      <c r="F22" s="606">
        <f>SUM(F8:F21)</f>
        <v>400090563.04181415</v>
      </c>
      <c r="G22" s="606">
        <f>SUM(G8:G21)</f>
        <v>395986648.22581416</v>
      </c>
      <c r="H22" s="607">
        <f>G22/(C22+E22)</f>
        <v>0.8794612579442872</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28515625" defaultRowHeight="12.75"/>
  <cols>
    <col min="1" max="1" width="10.5703125" style="225" bestFit="1" customWidth="1"/>
    <col min="2" max="2" width="104.28515625" style="225" customWidth="1"/>
    <col min="3" max="11" width="12.7109375" style="225" customWidth="1"/>
    <col min="12" max="16384" width="9.28515625" style="225"/>
  </cols>
  <sheetData>
    <row r="1" spans="1:11">
      <c r="A1" s="449" t="s">
        <v>30</v>
      </c>
      <c r="B1" s="450" t="str">
        <f>'Info '!C2</f>
        <v>JSC Isbank Georgia</v>
      </c>
    </row>
    <row r="2" spans="1:11">
      <c r="A2" s="449" t="s">
        <v>31</v>
      </c>
      <c r="B2" s="451">
        <f>'1. key ratios '!B2</f>
        <v>44561</v>
      </c>
      <c r="C2" s="246"/>
      <c r="D2" s="246"/>
    </row>
    <row r="3" spans="1:11">
      <c r="B3" s="246"/>
      <c r="C3" s="246"/>
      <c r="D3" s="246"/>
    </row>
    <row r="4" spans="1:11" ht="13.5" thickBot="1">
      <c r="A4" s="225" t="s">
        <v>249</v>
      </c>
      <c r="B4" s="264" t="s">
        <v>377</v>
      </c>
      <c r="C4" s="246"/>
      <c r="D4" s="246"/>
    </row>
    <row r="5" spans="1:11" ht="30" customHeight="1">
      <c r="A5" s="748"/>
      <c r="B5" s="749"/>
      <c r="C5" s="750" t="s">
        <v>429</v>
      </c>
      <c r="D5" s="751"/>
      <c r="E5" s="752"/>
      <c r="F5" s="750" t="s">
        <v>430</v>
      </c>
      <c r="G5" s="751"/>
      <c r="H5" s="752"/>
      <c r="I5" s="751" t="s">
        <v>431</v>
      </c>
      <c r="J5" s="751"/>
      <c r="K5" s="752"/>
    </row>
    <row r="6" spans="1:11">
      <c r="A6" s="247"/>
      <c r="B6" s="609"/>
      <c r="C6" s="344" t="s">
        <v>69</v>
      </c>
      <c r="D6" s="610" t="s">
        <v>70</v>
      </c>
      <c r="E6" s="611" t="s">
        <v>71</v>
      </c>
      <c r="F6" s="344" t="s">
        <v>69</v>
      </c>
      <c r="G6" s="610" t="s">
        <v>70</v>
      </c>
      <c r="H6" s="611" t="s">
        <v>71</v>
      </c>
      <c r="I6" s="612" t="s">
        <v>69</v>
      </c>
      <c r="J6" s="610" t="s">
        <v>70</v>
      </c>
      <c r="K6" s="610" t="s">
        <v>71</v>
      </c>
    </row>
    <row r="7" spans="1:11">
      <c r="A7" s="613" t="s">
        <v>380</v>
      </c>
      <c r="B7" s="614"/>
      <c r="C7" s="615"/>
      <c r="D7" s="614"/>
      <c r="E7" s="616"/>
      <c r="F7" s="615"/>
      <c r="G7" s="614"/>
      <c r="H7" s="616"/>
      <c r="I7" s="614"/>
      <c r="J7" s="614"/>
      <c r="K7" s="616"/>
    </row>
    <row r="8" spans="1:11">
      <c r="A8" s="248">
        <v>1</v>
      </c>
      <c r="B8" s="250" t="s">
        <v>378</v>
      </c>
      <c r="C8" s="617"/>
      <c r="D8" s="249"/>
      <c r="E8" s="618"/>
      <c r="F8" s="619">
        <v>29126955.071369842</v>
      </c>
      <c r="G8" s="620">
        <v>76298672.77456145</v>
      </c>
      <c r="H8" s="621">
        <f>G8+F8</f>
        <v>105425627.84593129</v>
      </c>
      <c r="I8" s="622">
        <v>22710013.278684918</v>
      </c>
      <c r="J8" s="620">
        <v>44124741.390137009</v>
      </c>
      <c r="K8" s="621">
        <f>I8+J8</f>
        <v>66834754.668821931</v>
      </c>
    </row>
    <row r="9" spans="1:11">
      <c r="A9" s="613" t="s">
        <v>381</v>
      </c>
      <c r="B9" s="614"/>
      <c r="C9" s="615"/>
      <c r="D9" s="614"/>
      <c r="E9" s="616"/>
      <c r="F9" s="615"/>
      <c r="G9" s="614"/>
      <c r="H9" s="616"/>
      <c r="I9" s="614"/>
      <c r="J9" s="614"/>
      <c r="K9" s="616"/>
    </row>
    <row r="10" spans="1:11">
      <c r="A10" s="251">
        <v>2</v>
      </c>
      <c r="B10" s="623" t="s">
        <v>389</v>
      </c>
      <c r="C10" s="619">
        <v>1695047.9275671218</v>
      </c>
      <c r="D10" s="624">
        <v>21998794.07362739</v>
      </c>
      <c r="E10" s="621">
        <f>C10+D10</f>
        <v>23693842.001194511</v>
      </c>
      <c r="F10" s="619">
        <v>566875.79965931491</v>
      </c>
      <c r="G10" s="624">
        <v>5098945.0109704118</v>
      </c>
      <c r="H10" s="621">
        <f>G10+F10</f>
        <v>5665820.8106297264</v>
      </c>
      <c r="I10" s="622">
        <v>135570.87959315072</v>
      </c>
      <c r="J10" s="624">
        <v>1323730.1550506847</v>
      </c>
      <c r="K10" s="621">
        <f>I10+J10</f>
        <v>1459301.0346438354</v>
      </c>
    </row>
    <row r="11" spans="1:11">
      <c r="A11" s="251">
        <v>3</v>
      </c>
      <c r="B11" s="623" t="s">
        <v>383</v>
      </c>
      <c r="C11" s="619">
        <v>14865462.738876715</v>
      </c>
      <c r="D11" s="624">
        <v>216847171.43306851</v>
      </c>
      <c r="E11" s="621">
        <f t="shared" ref="E11:E16" si="0">C11+D11</f>
        <v>231712634.17194521</v>
      </c>
      <c r="F11" s="631">
        <v>8413695.6828732975</v>
      </c>
      <c r="G11" s="622">
        <v>54223289.189296566</v>
      </c>
      <c r="H11" s="621">
        <f t="shared" ref="H11:H16" si="1">G11+F11</f>
        <v>62636984.872169867</v>
      </c>
      <c r="I11" s="631">
        <v>6964299.6403698549</v>
      </c>
      <c r="J11" s="622">
        <v>53576564.882441126</v>
      </c>
      <c r="K11" s="621">
        <f t="shared" ref="K11:K16" si="2">I11+J11</f>
        <v>60540864.522810981</v>
      </c>
    </row>
    <row r="12" spans="1:11">
      <c r="A12" s="251">
        <v>4</v>
      </c>
      <c r="B12" s="623" t="s">
        <v>384</v>
      </c>
      <c r="C12" s="625"/>
      <c r="D12" s="623"/>
      <c r="E12" s="621">
        <f t="shared" si="0"/>
        <v>0</v>
      </c>
      <c r="F12" s="625"/>
      <c r="G12" s="623"/>
      <c r="H12" s="621">
        <f t="shared" si="1"/>
        <v>0</v>
      </c>
      <c r="I12" s="626"/>
      <c r="J12" s="623"/>
      <c r="K12" s="621">
        <f t="shared" si="2"/>
        <v>0</v>
      </c>
    </row>
    <row r="13" spans="1:11">
      <c r="A13" s="251">
        <v>5</v>
      </c>
      <c r="B13" s="623" t="s">
        <v>392</v>
      </c>
      <c r="C13" s="619">
        <v>26776221.667751793</v>
      </c>
      <c r="D13" s="624">
        <v>68643060.062901348</v>
      </c>
      <c r="E13" s="621">
        <f t="shared" si="0"/>
        <v>95419281.730653137</v>
      </c>
      <c r="F13" s="619">
        <v>2707538.3314203294</v>
      </c>
      <c r="G13" s="624">
        <v>6928356.341425837</v>
      </c>
      <c r="H13" s="621">
        <f t="shared" si="1"/>
        <v>9635894.6728461664</v>
      </c>
      <c r="I13" s="622">
        <v>1338811.0833875884</v>
      </c>
      <c r="J13" s="624">
        <v>3432153.003145067</v>
      </c>
      <c r="K13" s="621">
        <f t="shared" si="2"/>
        <v>4770964.0865326552</v>
      </c>
    </row>
    <row r="14" spans="1:11">
      <c r="A14" s="251">
        <v>6</v>
      </c>
      <c r="B14" s="623" t="s">
        <v>424</v>
      </c>
      <c r="C14" s="625"/>
      <c r="D14" s="623"/>
      <c r="E14" s="621">
        <f t="shared" si="0"/>
        <v>0</v>
      </c>
      <c r="F14" s="625"/>
      <c r="G14" s="623"/>
      <c r="H14" s="621">
        <f t="shared" si="1"/>
        <v>0</v>
      </c>
      <c r="I14" s="626"/>
      <c r="J14" s="623"/>
      <c r="K14" s="621">
        <f t="shared" si="2"/>
        <v>0</v>
      </c>
    </row>
    <row r="15" spans="1:11">
      <c r="A15" s="251">
        <v>7</v>
      </c>
      <c r="B15" s="623" t="s">
        <v>425</v>
      </c>
      <c r="C15" s="619">
        <v>1020929.1822465756</v>
      </c>
      <c r="D15" s="624">
        <v>1274330.8385479441</v>
      </c>
      <c r="E15" s="621">
        <f t="shared" si="0"/>
        <v>2295260.0207945197</v>
      </c>
      <c r="F15" s="619">
        <v>3228.2876712328766</v>
      </c>
      <c r="G15" s="624">
        <v>0</v>
      </c>
      <c r="H15" s="621">
        <f t="shared" si="1"/>
        <v>3228.2876712328766</v>
      </c>
      <c r="I15" s="622">
        <v>3228.2876712328766</v>
      </c>
      <c r="J15" s="624">
        <v>0</v>
      </c>
      <c r="K15" s="621">
        <f t="shared" si="2"/>
        <v>3228.2876712328766</v>
      </c>
    </row>
    <row r="16" spans="1:11">
      <c r="A16" s="251">
        <v>8</v>
      </c>
      <c r="B16" s="627" t="s">
        <v>385</v>
      </c>
      <c r="C16" s="651">
        <f>SUM(C10:C15)</f>
        <v>44357661.516442202</v>
      </c>
      <c r="D16" s="630">
        <f>SUM(D10:D15)</f>
        <v>308763356.40814519</v>
      </c>
      <c r="E16" s="621">
        <f t="shared" si="0"/>
        <v>353121017.92458737</v>
      </c>
      <c r="F16" s="628">
        <f>SUM(F10:F15)</f>
        <v>11691338.101624174</v>
      </c>
      <c r="G16" s="629">
        <f>SUM(G10:G15)</f>
        <v>66250590.541692816</v>
      </c>
      <c r="H16" s="621">
        <f t="shared" si="1"/>
        <v>77941928.643316984</v>
      </c>
      <c r="I16" s="630">
        <f>SUM(I10:I15)</f>
        <v>8441909.8910218272</v>
      </c>
      <c r="J16" s="629">
        <f>SUM(J10:J15)</f>
        <v>58332448.040636882</v>
      </c>
      <c r="K16" s="621">
        <f t="shared" si="2"/>
        <v>66774357.931658708</v>
      </c>
    </row>
    <row r="17" spans="1:11">
      <c r="A17" s="613" t="s">
        <v>382</v>
      </c>
      <c r="B17" s="614"/>
      <c r="C17" s="615"/>
      <c r="D17" s="614"/>
      <c r="E17" s="616"/>
      <c r="F17" s="615"/>
      <c r="G17" s="614"/>
      <c r="H17" s="616"/>
      <c r="I17" s="614"/>
      <c r="J17" s="614"/>
      <c r="K17" s="616"/>
    </row>
    <row r="18" spans="1:11">
      <c r="A18" s="251">
        <v>9</v>
      </c>
      <c r="B18" s="623" t="s">
        <v>388</v>
      </c>
      <c r="C18" s="625"/>
      <c r="D18" s="623"/>
      <c r="E18" s="621">
        <f>C18+D18</f>
        <v>0</v>
      </c>
      <c r="F18" s="625"/>
      <c r="G18" s="623"/>
      <c r="H18" s="621">
        <f>F18+G18</f>
        <v>0</v>
      </c>
      <c r="I18" s="626"/>
      <c r="J18" s="623"/>
      <c r="K18" s="621">
        <f>I18+J18</f>
        <v>0</v>
      </c>
    </row>
    <row r="19" spans="1:11">
      <c r="A19" s="251">
        <v>10</v>
      </c>
      <c r="B19" s="623" t="s">
        <v>426</v>
      </c>
      <c r="C19" s="619">
        <v>66016189.901682734</v>
      </c>
      <c r="D19" s="624">
        <v>174119247.59540212</v>
      </c>
      <c r="E19" s="621">
        <f t="shared" ref="E19:E21" si="3">C19+D19</f>
        <v>240135437.49708486</v>
      </c>
      <c r="F19" s="619">
        <v>6388008.151442185</v>
      </c>
      <c r="G19" s="624">
        <v>6525794.8799164407</v>
      </c>
      <c r="H19" s="621">
        <f t="shared" ref="H19:H21" si="4">F19+G19</f>
        <v>12913803.031358626</v>
      </c>
      <c r="I19" s="622">
        <v>12804949.944127124</v>
      </c>
      <c r="J19" s="624">
        <v>45180677.147053286</v>
      </c>
      <c r="K19" s="621">
        <f t="shared" ref="K19:K21" si="5">I19+J19</f>
        <v>57985627.091180414</v>
      </c>
    </row>
    <row r="20" spans="1:11">
      <c r="A20" s="251">
        <v>11</v>
      </c>
      <c r="B20" s="623" t="s">
        <v>387</v>
      </c>
      <c r="C20" s="631">
        <v>3106983.7016972797</v>
      </c>
      <c r="D20" s="632">
        <v>9480545.2664010134</v>
      </c>
      <c r="E20" s="621">
        <f t="shared" si="3"/>
        <v>12587528.968098294</v>
      </c>
      <c r="F20" s="631">
        <v>475619.8660460838</v>
      </c>
      <c r="G20" s="632">
        <v>53035.966567484749</v>
      </c>
      <c r="H20" s="621">
        <f t="shared" si="4"/>
        <v>528655.83261356852</v>
      </c>
      <c r="I20" s="633">
        <v>475619.8660460838</v>
      </c>
      <c r="J20" s="632">
        <v>53035.966567484749</v>
      </c>
      <c r="K20" s="621">
        <f t="shared" si="5"/>
        <v>528655.83261356852</v>
      </c>
    </row>
    <row r="21" spans="1:11" ht="13.5" thickBot="1">
      <c r="A21" s="252">
        <v>12</v>
      </c>
      <c r="B21" s="634" t="s">
        <v>386</v>
      </c>
      <c r="C21" s="652">
        <f>SUM(C18:C20)</f>
        <v>69123173.60338001</v>
      </c>
      <c r="D21" s="638">
        <f>SUM(D18:D20)</f>
        <v>183599792.86180314</v>
      </c>
      <c r="E21" s="637">
        <f t="shared" si="3"/>
        <v>252722966.46518314</v>
      </c>
      <c r="F21" s="635">
        <f>SUM(F18:F20)</f>
        <v>6863628.0174882691</v>
      </c>
      <c r="G21" s="636">
        <f>SUM(G18:G20)</f>
        <v>6578830.8464839254</v>
      </c>
      <c r="H21" s="637">
        <f t="shared" si="4"/>
        <v>13442458.863972194</v>
      </c>
      <c r="I21" s="638">
        <f>SUM(I18:I20)</f>
        <v>13280569.810173208</v>
      </c>
      <c r="J21" s="636">
        <f>SUM(J18:J20)</f>
        <v>45233713.113620773</v>
      </c>
      <c r="K21" s="637">
        <f t="shared" si="5"/>
        <v>58514282.923793979</v>
      </c>
    </row>
    <row r="22" spans="1:11" ht="38.25" customHeight="1" thickBot="1">
      <c r="A22" s="253"/>
      <c r="B22" s="254"/>
      <c r="C22" s="254"/>
      <c r="D22" s="254"/>
      <c r="E22" s="254"/>
      <c r="F22" s="753" t="s">
        <v>428</v>
      </c>
      <c r="G22" s="754"/>
      <c r="H22" s="754"/>
      <c r="I22" s="753" t="s">
        <v>393</v>
      </c>
      <c r="J22" s="754"/>
      <c r="K22" s="755"/>
    </row>
    <row r="23" spans="1:11">
      <c r="A23" s="255">
        <v>13</v>
      </c>
      <c r="B23" s="256" t="s">
        <v>378</v>
      </c>
      <c r="C23" s="257"/>
      <c r="D23" s="257"/>
      <c r="E23" s="257"/>
      <c r="F23" s="639">
        <f>F8</f>
        <v>29126955.071369842</v>
      </c>
      <c r="G23" s="640">
        <f>G8</f>
        <v>76298672.77456145</v>
      </c>
      <c r="H23" s="641">
        <f>F23+G23</f>
        <v>105425627.84593129</v>
      </c>
      <c r="I23" s="639">
        <f>I8</f>
        <v>22710013.278684918</v>
      </c>
      <c r="J23" s="640">
        <f>J8</f>
        <v>44124741.390137009</v>
      </c>
      <c r="K23" s="641">
        <f>I23+J23</f>
        <v>66834754.668821931</v>
      </c>
    </row>
    <row r="24" spans="1:11" ht="13.5" thickBot="1">
      <c r="A24" s="642">
        <v>14</v>
      </c>
      <c r="B24" s="643" t="s">
        <v>390</v>
      </c>
      <c r="C24" s="258"/>
      <c r="D24" s="259"/>
      <c r="E24" s="260"/>
      <c r="F24" s="644">
        <f>F16-F21</f>
        <v>4827710.0841359049</v>
      </c>
      <c r="G24" s="645">
        <f>G16-G21</f>
        <v>59671759.695208892</v>
      </c>
      <c r="H24" s="646">
        <f>F24+G24</f>
        <v>64499469.779344797</v>
      </c>
      <c r="I24" s="647">
        <f>I16-MIN(I16*75%,I21)</f>
        <v>2110477.4727554563</v>
      </c>
      <c r="J24" s="653">
        <f>J16-MIN(J16*75%,J21)</f>
        <v>14583112.010159224</v>
      </c>
      <c r="K24" s="646">
        <f t="shared" ref="K24" si="6">I24+J24</f>
        <v>16693589.482914681</v>
      </c>
    </row>
    <row r="25" spans="1:11" ht="13.5" thickBot="1">
      <c r="A25" s="261">
        <v>15</v>
      </c>
      <c r="B25" s="262" t="s">
        <v>391</v>
      </c>
      <c r="C25" s="263"/>
      <c r="D25" s="263"/>
      <c r="E25" s="263"/>
      <c r="F25" s="648">
        <f t="shared" ref="F25:G25" si="7">F23/F24</f>
        <v>6.0332858775183009</v>
      </c>
      <c r="G25" s="649">
        <f t="shared" si="7"/>
        <v>1.278639563577133</v>
      </c>
      <c r="H25" s="650">
        <f>H23/H24</f>
        <v>1.6345192946019012</v>
      </c>
      <c r="I25" s="648">
        <f t="shared" ref="I25:J25" si="8">I23/I24</f>
        <v>10.760604447028067</v>
      </c>
      <c r="J25" s="649">
        <f t="shared" si="8"/>
        <v>3.025742472484461</v>
      </c>
      <c r="K25" s="650">
        <f>K23/K24</f>
        <v>4.0036179598896346</v>
      </c>
    </row>
    <row r="27" spans="1:11" ht="25.5">
      <c r="B27" s="245" t="s">
        <v>427</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pane xSplit="1" ySplit="5" topLeftCell="B6" activePane="bottomRight" state="frozen"/>
      <selection pane="topRight" activeCell="B1" sqref="B1"/>
      <selection pane="bottomLeft" activeCell="A5" sqref="A5"/>
      <selection pane="bottomRight" activeCell="B3" sqref="B3"/>
    </sheetView>
  </sheetViews>
  <sheetFormatPr defaultColWidth="9.28515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28515625" style="33"/>
  </cols>
  <sheetData>
    <row r="1" spans="1:14">
      <c r="A1" s="449" t="s">
        <v>30</v>
      </c>
      <c r="B1" s="450" t="str">
        <f>'Info '!C2</f>
        <v>JSC Isbank Georgia</v>
      </c>
    </row>
    <row r="2" spans="1:14" ht="14.25" customHeight="1">
      <c r="A2" s="449" t="s">
        <v>31</v>
      </c>
      <c r="B2" s="451">
        <f>'1. key ratios '!B2</f>
        <v>44561</v>
      </c>
    </row>
    <row r="3" spans="1:14" ht="14.25" customHeight="1"/>
    <row r="4" spans="1:14" ht="13.5" thickBot="1">
      <c r="A4" s="4" t="s">
        <v>265</v>
      </c>
      <c r="B4" s="195" t="s">
        <v>28</v>
      </c>
    </row>
    <row r="5" spans="1:14" s="145" customFormat="1">
      <c r="A5" s="141"/>
      <c r="B5" s="142"/>
      <c r="C5" s="143" t="s">
        <v>0</v>
      </c>
      <c r="D5" s="143" t="s">
        <v>1</v>
      </c>
      <c r="E5" s="143" t="s">
        <v>2</v>
      </c>
      <c r="F5" s="143" t="s">
        <v>3</v>
      </c>
      <c r="G5" s="143" t="s">
        <v>4</v>
      </c>
      <c r="H5" s="143" t="s">
        <v>5</v>
      </c>
      <c r="I5" s="143" t="s">
        <v>8</v>
      </c>
      <c r="J5" s="143" t="s">
        <v>9</v>
      </c>
      <c r="K5" s="143" t="s">
        <v>10</v>
      </c>
      <c r="L5" s="143" t="s">
        <v>11</v>
      </c>
      <c r="M5" s="143" t="s">
        <v>12</v>
      </c>
      <c r="N5" s="144" t="s">
        <v>13</v>
      </c>
    </row>
    <row r="6" spans="1:14" ht="25.5">
      <c r="A6" s="146"/>
      <c r="B6" s="147"/>
      <c r="C6" s="148" t="s">
        <v>264</v>
      </c>
      <c r="D6" s="149" t="s">
        <v>263</v>
      </c>
      <c r="E6" s="150" t="s">
        <v>262</v>
      </c>
      <c r="F6" s="151">
        <v>0</v>
      </c>
      <c r="G6" s="151">
        <v>0.2</v>
      </c>
      <c r="H6" s="151">
        <v>0.35</v>
      </c>
      <c r="I6" s="151">
        <v>0.5</v>
      </c>
      <c r="J6" s="151">
        <v>0.75</v>
      </c>
      <c r="K6" s="151">
        <v>1</v>
      </c>
      <c r="L6" s="151">
        <v>1.5</v>
      </c>
      <c r="M6" s="151">
        <v>2.5</v>
      </c>
      <c r="N6" s="194" t="s">
        <v>276</v>
      </c>
    </row>
    <row r="7" spans="1:14" ht="15">
      <c r="A7" s="152">
        <v>1</v>
      </c>
      <c r="B7" s="153" t="s">
        <v>261</v>
      </c>
      <c r="C7" s="154">
        <f>SUM(C8:C13)</f>
        <v>0</v>
      </c>
      <c r="D7" s="147"/>
      <c r="E7" s="155">
        <f t="shared" ref="E7:M7" si="0">SUM(E8:E13)</f>
        <v>0</v>
      </c>
      <c r="F7" s="156">
        <f>SUM(F8:F13)</f>
        <v>0</v>
      </c>
      <c r="G7" s="156">
        <f t="shared" si="0"/>
        <v>0</v>
      </c>
      <c r="H7" s="156">
        <f t="shared" si="0"/>
        <v>0</v>
      </c>
      <c r="I7" s="156">
        <f t="shared" si="0"/>
        <v>0</v>
      </c>
      <c r="J7" s="156">
        <f t="shared" si="0"/>
        <v>0</v>
      </c>
      <c r="K7" s="156">
        <f t="shared" si="0"/>
        <v>0</v>
      </c>
      <c r="L7" s="156">
        <f t="shared" si="0"/>
        <v>0</v>
      </c>
      <c r="M7" s="156">
        <f t="shared" si="0"/>
        <v>0</v>
      </c>
      <c r="N7" s="157">
        <f>SUM(N8:N13)</f>
        <v>0</v>
      </c>
    </row>
    <row r="8" spans="1:14" ht="14.25">
      <c r="A8" s="152">
        <v>1.1000000000000001</v>
      </c>
      <c r="B8" s="158" t="s">
        <v>259</v>
      </c>
      <c r="C8" s="156">
        <v>0</v>
      </c>
      <c r="D8" s="159">
        <v>0.02</v>
      </c>
      <c r="E8" s="155">
        <f>C8*D8</f>
        <v>0</v>
      </c>
      <c r="F8" s="156"/>
      <c r="G8" s="156"/>
      <c r="H8" s="156"/>
      <c r="I8" s="156"/>
      <c r="J8" s="156"/>
      <c r="K8" s="156"/>
      <c r="L8" s="156"/>
      <c r="M8" s="156"/>
      <c r="N8" s="157">
        <f>SUMPRODUCT($F$6:$M$6,F8:M8)</f>
        <v>0</v>
      </c>
    </row>
    <row r="9" spans="1:14" ht="14.25">
      <c r="A9" s="152">
        <v>1.2</v>
      </c>
      <c r="B9" s="158" t="s">
        <v>258</v>
      </c>
      <c r="C9" s="156">
        <v>0</v>
      </c>
      <c r="D9" s="159">
        <v>0.05</v>
      </c>
      <c r="E9" s="155">
        <f>C9*D9</f>
        <v>0</v>
      </c>
      <c r="F9" s="156"/>
      <c r="G9" s="156"/>
      <c r="H9" s="156"/>
      <c r="I9" s="156"/>
      <c r="J9" s="156"/>
      <c r="K9" s="156"/>
      <c r="L9" s="156"/>
      <c r="M9" s="156"/>
      <c r="N9" s="157">
        <f t="shared" ref="N9:N12" si="1">SUMPRODUCT($F$6:$M$6,F9:M9)</f>
        <v>0</v>
      </c>
    </row>
    <row r="10" spans="1:14" ht="14.25">
      <c r="A10" s="152">
        <v>1.3</v>
      </c>
      <c r="B10" s="158" t="s">
        <v>257</v>
      </c>
      <c r="C10" s="156">
        <v>0</v>
      </c>
      <c r="D10" s="159">
        <v>0.08</v>
      </c>
      <c r="E10" s="155">
        <f>C10*D10</f>
        <v>0</v>
      </c>
      <c r="F10" s="156"/>
      <c r="G10" s="156"/>
      <c r="H10" s="156"/>
      <c r="I10" s="156"/>
      <c r="J10" s="156"/>
      <c r="K10" s="156"/>
      <c r="L10" s="156"/>
      <c r="M10" s="156"/>
      <c r="N10" s="157">
        <f>SUMPRODUCT($F$6:$M$6,F10:M10)</f>
        <v>0</v>
      </c>
    </row>
    <row r="11" spans="1:14" ht="14.25">
      <c r="A11" s="152">
        <v>1.4</v>
      </c>
      <c r="B11" s="158" t="s">
        <v>256</v>
      </c>
      <c r="C11" s="156">
        <v>0</v>
      </c>
      <c r="D11" s="159">
        <v>0.11</v>
      </c>
      <c r="E11" s="155">
        <f>C11*D11</f>
        <v>0</v>
      </c>
      <c r="F11" s="156"/>
      <c r="G11" s="156"/>
      <c r="H11" s="156"/>
      <c r="I11" s="156"/>
      <c r="J11" s="156"/>
      <c r="K11" s="156"/>
      <c r="L11" s="156"/>
      <c r="M11" s="156"/>
      <c r="N11" s="157">
        <f t="shared" si="1"/>
        <v>0</v>
      </c>
    </row>
    <row r="12" spans="1:14" ht="14.25">
      <c r="A12" s="152">
        <v>1.5</v>
      </c>
      <c r="B12" s="158" t="s">
        <v>255</v>
      </c>
      <c r="C12" s="156">
        <v>0</v>
      </c>
      <c r="D12" s="159">
        <v>0.14000000000000001</v>
      </c>
      <c r="E12" s="155">
        <f>C12*D12</f>
        <v>0</v>
      </c>
      <c r="F12" s="156"/>
      <c r="G12" s="156"/>
      <c r="H12" s="156"/>
      <c r="I12" s="156"/>
      <c r="J12" s="156"/>
      <c r="K12" s="156"/>
      <c r="L12" s="156"/>
      <c r="M12" s="156"/>
      <c r="N12" s="157">
        <f t="shared" si="1"/>
        <v>0</v>
      </c>
    </row>
    <row r="13" spans="1:14" ht="14.25">
      <c r="A13" s="152">
        <v>1.6</v>
      </c>
      <c r="B13" s="160" t="s">
        <v>254</v>
      </c>
      <c r="C13" s="156">
        <v>0</v>
      </c>
      <c r="D13" s="161"/>
      <c r="E13" s="156"/>
      <c r="F13" s="156"/>
      <c r="G13" s="156"/>
      <c r="H13" s="156"/>
      <c r="I13" s="156"/>
      <c r="J13" s="156"/>
      <c r="K13" s="156"/>
      <c r="L13" s="156"/>
      <c r="M13" s="156"/>
      <c r="N13" s="157">
        <f>SUMPRODUCT($F$6:$M$6,F13:M13)</f>
        <v>0</v>
      </c>
    </row>
    <row r="14" spans="1:14" ht="15">
      <c r="A14" s="152">
        <v>2</v>
      </c>
      <c r="B14" s="162" t="s">
        <v>260</v>
      </c>
      <c r="C14" s="154">
        <f>SUM(C15:C20)</f>
        <v>0</v>
      </c>
      <c r="D14" s="147"/>
      <c r="E14" s="155">
        <f t="shared" ref="E14:M14" si="2">SUM(E15:E20)</f>
        <v>0</v>
      </c>
      <c r="F14" s="156">
        <f t="shared" si="2"/>
        <v>0</v>
      </c>
      <c r="G14" s="156">
        <f t="shared" si="2"/>
        <v>0</v>
      </c>
      <c r="H14" s="156">
        <f t="shared" si="2"/>
        <v>0</v>
      </c>
      <c r="I14" s="156">
        <f t="shared" si="2"/>
        <v>0</v>
      </c>
      <c r="J14" s="156">
        <f t="shared" si="2"/>
        <v>0</v>
      </c>
      <c r="K14" s="156">
        <f t="shared" si="2"/>
        <v>0</v>
      </c>
      <c r="L14" s="156">
        <f t="shared" si="2"/>
        <v>0</v>
      </c>
      <c r="M14" s="156">
        <f t="shared" si="2"/>
        <v>0</v>
      </c>
      <c r="N14" s="157">
        <f>SUM(N15:N20)</f>
        <v>0</v>
      </c>
    </row>
    <row r="15" spans="1:14" ht="14.25">
      <c r="A15" s="152">
        <v>2.1</v>
      </c>
      <c r="B15" s="160" t="s">
        <v>259</v>
      </c>
      <c r="C15" s="156"/>
      <c r="D15" s="159">
        <v>5.0000000000000001E-3</v>
      </c>
      <c r="E15" s="155">
        <f>C15*D15</f>
        <v>0</v>
      </c>
      <c r="F15" s="156"/>
      <c r="G15" s="156"/>
      <c r="H15" s="156"/>
      <c r="I15" s="156"/>
      <c r="J15" s="156"/>
      <c r="K15" s="156"/>
      <c r="L15" s="156"/>
      <c r="M15" s="156"/>
      <c r="N15" s="157">
        <f>SUMPRODUCT($F$6:$M$6,F15:M15)</f>
        <v>0</v>
      </c>
    </row>
    <row r="16" spans="1:14" ht="14.25">
      <c r="A16" s="152">
        <v>2.2000000000000002</v>
      </c>
      <c r="B16" s="160" t="s">
        <v>258</v>
      </c>
      <c r="C16" s="156"/>
      <c r="D16" s="159">
        <v>0.01</v>
      </c>
      <c r="E16" s="155">
        <f>C16*D16</f>
        <v>0</v>
      </c>
      <c r="F16" s="156"/>
      <c r="G16" s="156"/>
      <c r="H16" s="156"/>
      <c r="I16" s="156"/>
      <c r="J16" s="156"/>
      <c r="K16" s="156"/>
      <c r="L16" s="156"/>
      <c r="M16" s="156"/>
      <c r="N16" s="157">
        <f t="shared" ref="N16:N20" si="3">SUMPRODUCT($F$6:$M$6,F16:M16)</f>
        <v>0</v>
      </c>
    </row>
    <row r="17" spans="1:14" ht="14.25">
      <c r="A17" s="152">
        <v>2.2999999999999998</v>
      </c>
      <c r="B17" s="160" t="s">
        <v>257</v>
      </c>
      <c r="C17" s="156"/>
      <c r="D17" s="159">
        <v>0.02</v>
      </c>
      <c r="E17" s="155">
        <f>C17*D17</f>
        <v>0</v>
      </c>
      <c r="F17" s="156"/>
      <c r="G17" s="156"/>
      <c r="H17" s="156"/>
      <c r="I17" s="156"/>
      <c r="J17" s="156"/>
      <c r="K17" s="156"/>
      <c r="L17" s="156"/>
      <c r="M17" s="156"/>
      <c r="N17" s="157">
        <f t="shared" si="3"/>
        <v>0</v>
      </c>
    </row>
    <row r="18" spans="1:14" ht="14.25">
      <c r="A18" s="152">
        <v>2.4</v>
      </c>
      <c r="B18" s="160" t="s">
        <v>256</v>
      </c>
      <c r="C18" s="156"/>
      <c r="D18" s="159">
        <v>0.03</v>
      </c>
      <c r="E18" s="155">
        <f>C18*D18</f>
        <v>0</v>
      </c>
      <c r="F18" s="156"/>
      <c r="G18" s="156"/>
      <c r="H18" s="156"/>
      <c r="I18" s="156"/>
      <c r="J18" s="156"/>
      <c r="K18" s="156"/>
      <c r="L18" s="156"/>
      <c r="M18" s="156"/>
      <c r="N18" s="157">
        <f t="shared" si="3"/>
        <v>0</v>
      </c>
    </row>
    <row r="19" spans="1:14" ht="14.25">
      <c r="A19" s="152">
        <v>2.5</v>
      </c>
      <c r="B19" s="160" t="s">
        <v>255</v>
      </c>
      <c r="C19" s="156"/>
      <c r="D19" s="159">
        <v>0.04</v>
      </c>
      <c r="E19" s="155">
        <f>C19*D19</f>
        <v>0</v>
      </c>
      <c r="F19" s="156"/>
      <c r="G19" s="156"/>
      <c r="H19" s="156"/>
      <c r="I19" s="156"/>
      <c r="J19" s="156"/>
      <c r="K19" s="156"/>
      <c r="L19" s="156"/>
      <c r="M19" s="156"/>
      <c r="N19" s="157">
        <f t="shared" si="3"/>
        <v>0</v>
      </c>
    </row>
    <row r="20" spans="1:14" ht="14.25">
      <c r="A20" s="152">
        <v>2.6</v>
      </c>
      <c r="B20" s="160" t="s">
        <v>254</v>
      </c>
      <c r="C20" s="156"/>
      <c r="D20" s="161"/>
      <c r="E20" s="163"/>
      <c r="F20" s="156"/>
      <c r="G20" s="156"/>
      <c r="H20" s="156"/>
      <c r="I20" s="156"/>
      <c r="J20" s="156"/>
      <c r="K20" s="156"/>
      <c r="L20" s="156"/>
      <c r="M20" s="156"/>
      <c r="N20" s="157">
        <f t="shared" si="3"/>
        <v>0</v>
      </c>
    </row>
    <row r="21" spans="1:14" ht="15.75" thickBot="1">
      <c r="A21" s="164"/>
      <c r="B21" s="165" t="s">
        <v>109</v>
      </c>
      <c r="C21" s="140">
        <f>C14+C7</f>
        <v>0</v>
      </c>
      <c r="D21" s="166"/>
      <c r="E21" s="167">
        <f>E14+E7</f>
        <v>0</v>
      </c>
      <c r="F21" s="168">
        <f>F7+F14</f>
        <v>0</v>
      </c>
      <c r="G21" s="168">
        <f t="shared" ref="G21:L21" si="4">G7+G14</f>
        <v>0</v>
      </c>
      <c r="H21" s="168">
        <f t="shared" si="4"/>
        <v>0</v>
      </c>
      <c r="I21" s="168">
        <f t="shared" si="4"/>
        <v>0</v>
      </c>
      <c r="J21" s="168">
        <f t="shared" si="4"/>
        <v>0</v>
      </c>
      <c r="K21" s="168">
        <f t="shared" si="4"/>
        <v>0</v>
      </c>
      <c r="L21" s="168">
        <f t="shared" si="4"/>
        <v>0</v>
      </c>
      <c r="M21" s="168">
        <f>M7+M14</f>
        <v>0</v>
      </c>
      <c r="N21" s="169">
        <f>N14+N7</f>
        <v>0</v>
      </c>
    </row>
    <row r="22" spans="1:14">
      <c r="E22" s="170"/>
      <c r="F22" s="170"/>
      <c r="G22" s="170"/>
      <c r="H22" s="170"/>
      <c r="I22" s="170"/>
      <c r="J22" s="170"/>
      <c r="K22" s="170"/>
      <c r="L22" s="170"/>
      <c r="M22" s="170"/>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zoomScale="90" zoomScaleNormal="90" workbookViewId="0">
      <selection activeCell="B4" sqref="B4"/>
    </sheetView>
  </sheetViews>
  <sheetFormatPr defaultRowHeight="15"/>
  <cols>
    <col min="1" max="1" width="11.42578125" customWidth="1"/>
    <col min="2" max="2" width="76.7109375" style="293" customWidth="1"/>
    <col min="3" max="3" width="22.7109375" customWidth="1"/>
  </cols>
  <sheetData>
    <row r="1" spans="1:3">
      <c r="A1" s="449" t="s">
        <v>30</v>
      </c>
      <c r="B1" s="450" t="str">
        <f>'Info '!C2</f>
        <v>JSC Isbank Georgia</v>
      </c>
    </row>
    <row r="2" spans="1:3">
      <c r="A2" s="449" t="s">
        <v>31</v>
      </c>
      <c r="B2" s="451">
        <f>'1. key ratios '!B2</f>
        <v>44561</v>
      </c>
    </row>
    <row r="3" spans="1:3">
      <c r="A3" s="4"/>
      <c r="B3"/>
    </row>
    <row r="4" spans="1:3">
      <c r="A4" s="4" t="s">
        <v>432</v>
      </c>
      <c r="B4" t="s">
        <v>433</v>
      </c>
    </row>
    <row r="5" spans="1:3">
      <c r="A5" s="294" t="s">
        <v>434</v>
      </c>
      <c r="B5" s="295"/>
      <c r="C5" s="296"/>
    </row>
    <row r="6" spans="1:3" ht="25.15" customHeight="1">
      <c r="A6" s="297">
        <v>1</v>
      </c>
      <c r="B6" s="298" t="s">
        <v>485</v>
      </c>
      <c r="C6" s="299">
        <v>381556133.48871148</v>
      </c>
    </row>
    <row r="7" spans="1:3">
      <c r="A7" s="297">
        <v>2</v>
      </c>
      <c r="B7" s="298" t="s">
        <v>435</v>
      </c>
      <c r="C7" s="299">
        <v>-211491.8899999999</v>
      </c>
    </row>
    <row r="8" spans="1:3" ht="24">
      <c r="A8" s="300">
        <v>3</v>
      </c>
      <c r="B8" s="301" t="s">
        <v>436</v>
      </c>
      <c r="C8" s="299">
        <f>C6+C7</f>
        <v>381344641.59871149</v>
      </c>
    </row>
    <row r="9" spans="1:3">
      <c r="A9" s="294" t="s">
        <v>437</v>
      </c>
      <c r="B9" s="295"/>
      <c r="C9" s="302"/>
    </row>
    <row r="10" spans="1:3" ht="24">
      <c r="A10" s="303">
        <v>4</v>
      </c>
      <c r="B10" s="304" t="s">
        <v>438</v>
      </c>
      <c r="C10" s="299"/>
    </row>
    <row r="11" spans="1:3">
      <c r="A11" s="303">
        <v>5</v>
      </c>
      <c r="B11" s="305" t="s">
        <v>439</v>
      </c>
      <c r="C11" s="299"/>
    </row>
    <row r="12" spans="1:3">
      <c r="A12" s="303" t="s">
        <v>440</v>
      </c>
      <c r="B12" s="305" t="s">
        <v>441</v>
      </c>
      <c r="C12" s="299"/>
    </row>
    <row r="13" spans="1:3" ht="24">
      <c r="A13" s="306">
        <v>6</v>
      </c>
      <c r="B13" s="304" t="s">
        <v>442</v>
      </c>
      <c r="C13" s="299"/>
    </row>
    <row r="14" spans="1:3">
      <c r="A14" s="306">
        <v>7</v>
      </c>
      <c r="B14" s="307" t="s">
        <v>443</v>
      </c>
      <c r="C14" s="299"/>
    </row>
    <row r="15" spans="1:3">
      <c r="A15" s="308">
        <v>8</v>
      </c>
      <c r="B15" s="309" t="s">
        <v>444</v>
      </c>
      <c r="C15" s="299"/>
    </row>
    <row r="16" spans="1:3">
      <c r="A16" s="306">
        <v>9</v>
      </c>
      <c r="B16" s="307" t="s">
        <v>445</v>
      </c>
      <c r="C16" s="299"/>
    </row>
    <row r="17" spans="1:3">
      <c r="A17" s="306">
        <v>10</v>
      </c>
      <c r="B17" s="307" t="s">
        <v>446</v>
      </c>
      <c r="C17" s="299"/>
    </row>
    <row r="18" spans="1:3">
      <c r="A18" s="310">
        <v>11</v>
      </c>
      <c r="B18" s="311" t="s">
        <v>447</v>
      </c>
      <c r="C18" s="312">
        <f>SUM(C10:C17)</f>
        <v>0</v>
      </c>
    </row>
    <row r="19" spans="1:3">
      <c r="A19" s="313" t="s">
        <v>448</v>
      </c>
      <c r="B19" s="314"/>
      <c r="C19" s="315"/>
    </row>
    <row r="20" spans="1:3" ht="24">
      <c r="A20" s="316">
        <v>12</v>
      </c>
      <c r="B20" s="304" t="s">
        <v>449</v>
      </c>
      <c r="C20" s="299"/>
    </row>
    <row r="21" spans="1:3">
      <c r="A21" s="316">
        <v>13</v>
      </c>
      <c r="B21" s="304" t="s">
        <v>450</v>
      </c>
      <c r="C21" s="299"/>
    </row>
    <row r="22" spans="1:3">
      <c r="A22" s="316">
        <v>14</v>
      </c>
      <c r="B22" s="304" t="s">
        <v>451</v>
      </c>
      <c r="C22" s="299"/>
    </row>
    <row r="23" spans="1:3" ht="24">
      <c r="A23" s="316" t="s">
        <v>452</v>
      </c>
      <c r="B23" s="304" t="s">
        <v>453</v>
      </c>
      <c r="C23" s="299"/>
    </row>
    <row r="24" spans="1:3">
      <c r="A24" s="316">
        <v>15</v>
      </c>
      <c r="B24" s="304" t="s">
        <v>454</v>
      </c>
      <c r="C24" s="299"/>
    </row>
    <row r="25" spans="1:3">
      <c r="A25" s="316" t="s">
        <v>455</v>
      </c>
      <c r="B25" s="304" t="s">
        <v>456</v>
      </c>
      <c r="C25" s="299"/>
    </row>
    <row r="26" spans="1:3">
      <c r="A26" s="317">
        <v>16</v>
      </c>
      <c r="B26" s="318" t="s">
        <v>457</v>
      </c>
      <c r="C26" s="312">
        <f>SUM(C20:C25)</f>
        <v>0</v>
      </c>
    </row>
    <row r="27" spans="1:3">
      <c r="A27" s="294" t="s">
        <v>458</v>
      </c>
      <c r="B27" s="295"/>
      <c r="C27" s="302"/>
    </row>
    <row r="28" spans="1:3">
      <c r="A28" s="319">
        <v>17</v>
      </c>
      <c r="B28" s="305" t="s">
        <v>459</v>
      </c>
      <c r="C28" s="299">
        <f>'8. LI2'!C6</f>
        <v>110543478.04999998</v>
      </c>
    </row>
    <row r="29" spans="1:3">
      <c r="A29" s="319">
        <v>18</v>
      </c>
      <c r="B29" s="305" t="s">
        <v>460</v>
      </c>
      <c r="C29" s="299">
        <f>'8. LI2'!C10</f>
        <v>-43051574.555000007</v>
      </c>
    </row>
    <row r="30" spans="1:3">
      <c r="A30" s="317">
        <v>19</v>
      </c>
      <c r="B30" s="318" t="s">
        <v>461</v>
      </c>
      <c r="C30" s="312">
        <f>C28+C29</f>
        <v>67491903.494999975</v>
      </c>
    </row>
    <row r="31" spans="1:3">
      <c r="A31" s="294" t="s">
        <v>462</v>
      </c>
      <c r="B31" s="295"/>
      <c r="C31" s="302"/>
    </row>
    <row r="32" spans="1:3" ht="24">
      <c r="A32" s="319" t="s">
        <v>463</v>
      </c>
      <c r="B32" s="304" t="s">
        <v>464</v>
      </c>
      <c r="C32" s="320"/>
    </row>
    <row r="33" spans="1:3">
      <c r="A33" s="319" t="s">
        <v>465</v>
      </c>
      <c r="B33" s="305" t="s">
        <v>466</v>
      </c>
      <c r="C33" s="320"/>
    </row>
    <row r="34" spans="1:3">
      <c r="A34" s="294" t="s">
        <v>467</v>
      </c>
      <c r="B34" s="295"/>
      <c r="C34" s="302"/>
    </row>
    <row r="35" spans="1:3">
      <c r="A35" s="321">
        <v>20</v>
      </c>
      <c r="B35" s="322" t="s">
        <v>468</v>
      </c>
      <c r="C35" s="312">
        <f>'9.Capital'!C28</f>
        <v>94391539.438289478</v>
      </c>
    </row>
    <row r="36" spans="1:3">
      <c r="A36" s="317">
        <v>21</v>
      </c>
      <c r="B36" s="318" t="s">
        <v>469</v>
      </c>
      <c r="C36" s="312">
        <f>C8+C18+C26+C30</f>
        <v>448836545.0937115</v>
      </c>
    </row>
    <row r="37" spans="1:3">
      <c r="A37" s="294" t="s">
        <v>470</v>
      </c>
      <c r="B37" s="295"/>
      <c r="C37" s="302"/>
    </row>
    <row r="38" spans="1:3">
      <c r="A38" s="317">
        <v>22</v>
      </c>
      <c r="B38" s="318" t="s">
        <v>470</v>
      </c>
      <c r="C38" s="654">
        <f t="shared" ref="C38" si="0">C35/C36</f>
        <v>0.21030270478216451</v>
      </c>
    </row>
    <row r="39" spans="1:3">
      <c r="A39" s="294" t="s">
        <v>471</v>
      </c>
      <c r="B39" s="295"/>
      <c r="C39" s="302"/>
    </row>
    <row r="40" spans="1:3">
      <c r="A40" s="323" t="s">
        <v>472</v>
      </c>
      <c r="B40" s="304" t="s">
        <v>473</v>
      </c>
      <c r="C40" s="320"/>
    </row>
    <row r="41" spans="1:3" ht="24">
      <c r="A41" s="324" t="s">
        <v>474</v>
      </c>
      <c r="B41" s="298" t="s">
        <v>475</v>
      </c>
      <c r="C41" s="320"/>
    </row>
    <row r="43" spans="1:3">
      <c r="B43" s="293" t="s">
        <v>486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RowHeight="15"/>
  <cols>
    <col min="1" max="1" width="8.7109375" style="225"/>
    <col min="2" max="2" width="82.7109375" style="346" customWidth="1"/>
    <col min="3" max="7" width="17.5703125" style="225" customWidth="1"/>
  </cols>
  <sheetData>
    <row r="1" spans="1:7">
      <c r="A1" s="225" t="s">
        <v>30</v>
      </c>
      <c r="B1" s="450" t="str">
        <f>'Info '!C2</f>
        <v>JSC Isbank Georgia</v>
      </c>
    </row>
    <row r="2" spans="1:7">
      <c r="A2" s="225" t="s">
        <v>31</v>
      </c>
      <c r="B2" s="451">
        <f>'1. key ratios '!B2</f>
        <v>44561</v>
      </c>
    </row>
    <row r="4" spans="1:7" ht="15.75" thickBot="1">
      <c r="A4" s="225" t="s">
        <v>536</v>
      </c>
      <c r="B4" s="347" t="s">
        <v>497</v>
      </c>
    </row>
    <row r="5" spans="1:7">
      <c r="A5" s="348"/>
      <c r="B5" s="349"/>
      <c r="C5" s="756" t="s">
        <v>498</v>
      </c>
      <c r="D5" s="756"/>
      <c r="E5" s="756"/>
      <c r="F5" s="756"/>
      <c r="G5" s="757" t="s">
        <v>499</v>
      </c>
    </row>
    <row r="6" spans="1:7">
      <c r="A6" s="350"/>
      <c r="B6" s="351"/>
      <c r="C6" s="352" t="s">
        <v>500</v>
      </c>
      <c r="D6" s="353" t="s">
        <v>501</v>
      </c>
      <c r="E6" s="353" t="s">
        <v>502</v>
      </c>
      <c r="F6" s="353" t="s">
        <v>503</v>
      </c>
      <c r="G6" s="758"/>
    </row>
    <row r="7" spans="1:7">
      <c r="A7" s="354"/>
      <c r="B7" s="355" t="s">
        <v>504</v>
      </c>
      <c r="C7" s="356"/>
      <c r="D7" s="356"/>
      <c r="E7" s="356"/>
      <c r="F7" s="356"/>
      <c r="G7" s="357"/>
    </row>
    <row r="8" spans="1:7">
      <c r="A8" s="358">
        <v>1</v>
      </c>
      <c r="B8" s="359" t="s">
        <v>505</v>
      </c>
      <c r="C8" s="675">
        <f>SUM(C9:C10)</f>
        <v>94391539.438289478</v>
      </c>
      <c r="D8" s="675">
        <f>SUM(D9:D10)</f>
        <v>0</v>
      </c>
      <c r="E8" s="675">
        <f>SUM(E9:E10)</f>
        <v>0</v>
      </c>
      <c r="F8" s="675">
        <f>SUM(F9:F10)</f>
        <v>78185669.669999987</v>
      </c>
      <c r="G8" s="676">
        <f>SUM(G9:G10)</f>
        <v>172577209.10828948</v>
      </c>
    </row>
    <row r="9" spans="1:7">
      <c r="A9" s="358">
        <v>2</v>
      </c>
      <c r="B9" s="362" t="s">
        <v>506</v>
      </c>
      <c r="C9" s="360">
        <v>94391539.438289478</v>
      </c>
      <c r="D9" s="360"/>
      <c r="E9" s="360"/>
      <c r="F9" s="360"/>
      <c r="G9" s="361">
        <v>94391539.438289478</v>
      </c>
    </row>
    <row r="10" spans="1:7">
      <c r="A10" s="358">
        <v>3</v>
      </c>
      <c r="B10" s="362" t="s">
        <v>507</v>
      </c>
      <c r="C10" s="363"/>
      <c r="D10" s="363"/>
      <c r="E10" s="363"/>
      <c r="F10" s="360">
        <v>78185669.669999987</v>
      </c>
      <c r="G10" s="361">
        <v>78185669.669999987</v>
      </c>
    </row>
    <row r="11" spans="1:7" ht="14.65" customHeight="1">
      <c r="A11" s="358">
        <v>4</v>
      </c>
      <c r="B11" s="359" t="s">
        <v>508</v>
      </c>
      <c r="C11" s="675">
        <f t="shared" ref="C11:F11" si="0">SUM(C12:C13)</f>
        <v>5569167.2099999897</v>
      </c>
      <c r="D11" s="675">
        <f t="shared" si="0"/>
        <v>8262179.4300000006</v>
      </c>
      <c r="E11" s="675">
        <f t="shared" si="0"/>
        <v>3953594.2200000007</v>
      </c>
      <c r="F11" s="675">
        <f t="shared" si="0"/>
        <v>727660.04999999993</v>
      </c>
      <c r="G11" s="676">
        <f>SUM(G12:G13)</f>
        <v>10108174.129499985</v>
      </c>
    </row>
    <row r="12" spans="1:7">
      <c r="A12" s="358">
        <v>5</v>
      </c>
      <c r="B12" s="362" t="s">
        <v>509</v>
      </c>
      <c r="C12" s="360">
        <v>1342425.4100000011</v>
      </c>
      <c r="D12" s="364">
        <v>132488</v>
      </c>
      <c r="E12" s="360">
        <v>418139.2</v>
      </c>
      <c r="F12" s="360">
        <v>0</v>
      </c>
      <c r="G12" s="361">
        <v>1798399.9795000013</v>
      </c>
    </row>
    <row r="13" spans="1:7">
      <c r="A13" s="358">
        <v>6</v>
      </c>
      <c r="B13" s="362" t="s">
        <v>510</v>
      </c>
      <c r="C13" s="360">
        <v>4226741.7999999886</v>
      </c>
      <c r="D13" s="364">
        <v>8129691.4300000006</v>
      </c>
      <c r="E13" s="360">
        <v>3535455.0200000005</v>
      </c>
      <c r="F13" s="360">
        <v>727660.04999999993</v>
      </c>
      <c r="G13" s="361">
        <v>8309774.1499999836</v>
      </c>
    </row>
    <row r="14" spans="1:7">
      <c r="A14" s="358">
        <v>7</v>
      </c>
      <c r="B14" s="359" t="s">
        <v>511</v>
      </c>
      <c r="C14" s="675">
        <f t="shared" ref="C14:F14" si="1">SUM(C15:C16)</f>
        <v>73735085.25000003</v>
      </c>
      <c r="D14" s="675">
        <f t="shared" si="1"/>
        <v>75787165.789999992</v>
      </c>
      <c r="E14" s="675">
        <f t="shared" si="1"/>
        <v>22824800</v>
      </c>
      <c r="F14" s="675">
        <f t="shared" si="1"/>
        <v>0</v>
      </c>
      <c r="G14" s="676">
        <f>SUM(G15:G16)</f>
        <v>42690757.205000013</v>
      </c>
    </row>
    <row r="15" spans="1:7" ht="39">
      <c r="A15" s="358">
        <v>8</v>
      </c>
      <c r="B15" s="362" t="s">
        <v>512</v>
      </c>
      <c r="C15" s="677">
        <v>46368268.620000035</v>
      </c>
      <c r="D15" s="677">
        <v>16188445.789999999</v>
      </c>
      <c r="E15" s="677">
        <v>252000</v>
      </c>
      <c r="F15" s="677">
        <v>0</v>
      </c>
      <c r="G15" s="678">
        <v>31404357.205000017</v>
      </c>
    </row>
    <row r="16" spans="1:7" ht="26.25">
      <c r="A16" s="358">
        <v>9</v>
      </c>
      <c r="B16" s="362" t="s">
        <v>513</v>
      </c>
      <c r="C16" s="677">
        <v>27366816.629999999</v>
      </c>
      <c r="D16" s="677">
        <v>59598720</v>
      </c>
      <c r="E16" s="677">
        <v>22572800</v>
      </c>
      <c r="F16" s="677">
        <v>0</v>
      </c>
      <c r="G16" s="678">
        <v>11286400</v>
      </c>
    </row>
    <row r="17" spans="1:7">
      <c r="A17" s="358">
        <v>10</v>
      </c>
      <c r="B17" s="359" t="s">
        <v>514</v>
      </c>
      <c r="C17" s="360"/>
      <c r="D17" s="364"/>
      <c r="E17" s="360"/>
      <c r="F17" s="360"/>
      <c r="G17" s="361"/>
    </row>
    <row r="18" spans="1:7">
      <c r="A18" s="358">
        <v>11</v>
      </c>
      <c r="B18" s="359" t="s">
        <v>515</v>
      </c>
      <c r="C18" s="675">
        <f>SUM(C19:C20)</f>
        <v>18007420.474722676</v>
      </c>
      <c r="D18" s="679">
        <f t="shared" ref="D18:G18" si="2">SUM(D19:D20)</f>
        <v>0</v>
      </c>
      <c r="E18" s="675">
        <f t="shared" si="2"/>
        <v>0</v>
      </c>
      <c r="F18" s="675">
        <f t="shared" si="2"/>
        <v>0</v>
      </c>
      <c r="G18" s="676">
        <f t="shared" si="2"/>
        <v>0</v>
      </c>
    </row>
    <row r="19" spans="1:7">
      <c r="A19" s="358">
        <v>12</v>
      </c>
      <c r="B19" s="362" t="s">
        <v>516</v>
      </c>
      <c r="C19" s="363"/>
      <c r="D19" s="364"/>
      <c r="E19" s="360"/>
      <c r="F19" s="360"/>
      <c r="G19" s="361"/>
    </row>
    <row r="20" spans="1:7">
      <c r="A20" s="358">
        <v>13</v>
      </c>
      <c r="B20" s="362" t="s">
        <v>517</v>
      </c>
      <c r="C20" s="360">
        <v>18007420.474722676</v>
      </c>
      <c r="D20" s="360"/>
      <c r="E20" s="360"/>
      <c r="F20" s="360"/>
      <c r="G20" s="361"/>
    </row>
    <row r="21" spans="1:7">
      <c r="A21" s="365">
        <v>14</v>
      </c>
      <c r="B21" s="366" t="s">
        <v>518</v>
      </c>
      <c r="C21" s="363"/>
      <c r="D21" s="363"/>
      <c r="E21" s="363"/>
      <c r="F21" s="363"/>
      <c r="G21" s="367">
        <f>SUM(G8,G11,G14,G17,G18)</f>
        <v>225376140.44278947</v>
      </c>
    </row>
    <row r="22" spans="1:7">
      <c r="A22" s="368"/>
      <c r="B22" s="369" t="s">
        <v>519</v>
      </c>
      <c r="C22" s="370"/>
      <c r="D22" s="371"/>
      <c r="E22" s="370"/>
      <c r="F22" s="370"/>
      <c r="G22" s="372"/>
    </row>
    <row r="23" spans="1:7">
      <c r="A23" s="358">
        <v>15</v>
      </c>
      <c r="B23" s="359" t="s">
        <v>520</v>
      </c>
      <c r="C23" s="373">
        <v>103118442.44397749</v>
      </c>
      <c r="D23" s="374">
        <v>0</v>
      </c>
      <c r="E23" s="373">
        <v>0</v>
      </c>
      <c r="F23" s="373">
        <v>0</v>
      </c>
      <c r="G23" s="361">
        <v>1202021.7691988752</v>
      </c>
    </row>
    <row r="24" spans="1:7">
      <c r="A24" s="358">
        <v>16</v>
      </c>
      <c r="B24" s="359" t="s">
        <v>521</v>
      </c>
      <c r="C24" s="675">
        <f>SUM(C25:C27,C29,C31)</f>
        <v>1184817.6403329999</v>
      </c>
      <c r="D24" s="679">
        <f t="shared" ref="D24:G24" si="3">SUM(D25:D27,D29,D31)</f>
        <v>107941052.80271773</v>
      </c>
      <c r="E24" s="675">
        <f t="shared" si="3"/>
        <v>44642978.97331357</v>
      </c>
      <c r="F24" s="675">
        <f t="shared" si="3"/>
        <v>95364022.243755475</v>
      </c>
      <c r="G24" s="676">
        <f t="shared" si="3"/>
        <v>138885070.31216967</v>
      </c>
    </row>
    <row r="25" spans="1:7">
      <c r="A25" s="358">
        <v>17</v>
      </c>
      <c r="B25" s="362" t="s">
        <v>522</v>
      </c>
      <c r="C25" s="360"/>
      <c r="D25" s="364"/>
      <c r="E25" s="360"/>
      <c r="F25" s="360"/>
      <c r="G25" s="361">
        <v>0</v>
      </c>
    </row>
    <row r="26" spans="1:7" ht="26.25">
      <c r="A26" s="358">
        <v>18</v>
      </c>
      <c r="B26" s="362" t="s">
        <v>523</v>
      </c>
      <c r="C26" s="360">
        <v>1184817.6403329999</v>
      </c>
      <c r="D26" s="364">
        <v>33988851.39181532</v>
      </c>
      <c r="E26" s="360">
        <v>5861922.7199156303</v>
      </c>
      <c r="F26" s="360">
        <v>9181457.814062044</v>
      </c>
      <c r="G26" s="361">
        <v>8207011.7147800624</v>
      </c>
    </row>
    <row r="27" spans="1:7">
      <c r="A27" s="358">
        <v>19</v>
      </c>
      <c r="B27" s="362" t="s">
        <v>524</v>
      </c>
      <c r="C27" s="360">
        <v>0</v>
      </c>
      <c r="D27" s="364">
        <v>73746882.584369838</v>
      </c>
      <c r="E27" s="360">
        <v>38613520.03856384</v>
      </c>
      <c r="F27" s="360">
        <v>70508285.357829496</v>
      </c>
      <c r="G27" s="361">
        <v>117238842.93421471</v>
      </c>
    </row>
    <row r="28" spans="1:7">
      <c r="A28" s="358">
        <v>20</v>
      </c>
      <c r="B28" s="375" t="s">
        <v>525</v>
      </c>
      <c r="C28" s="360"/>
      <c r="D28" s="364"/>
      <c r="E28" s="360"/>
      <c r="F28" s="360"/>
      <c r="G28" s="361"/>
    </row>
    <row r="29" spans="1:7">
      <c r="A29" s="358">
        <v>21</v>
      </c>
      <c r="B29" s="362" t="s">
        <v>526</v>
      </c>
      <c r="C29" s="360">
        <v>0</v>
      </c>
      <c r="D29" s="364">
        <v>205318.82653256782</v>
      </c>
      <c r="E29" s="360">
        <v>167536.21483410132</v>
      </c>
      <c r="F29" s="360">
        <v>1343330.0658004228</v>
      </c>
      <c r="G29" s="361">
        <v>1257909.0080209053</v>
      </c>
    </row>
    <row r="30" spans="1:7">
      <c r="A30" s="358">
        <v>22</v>
      </c>
      <c r="B30" s="375" t="s">
        <v>525</v>
      </c>
      <c r="C30" s="360"/>
      <c r="D30" s="364"/>
      <c r="E30" s="360"/>
      <c r="F30" s="360"/>
      <c r="G30" s="361"/>
    </row>
    <row r="31" spans="1:7">
      <c r="A31" s="358">
        <v>23</v>
      </c>
      <c r="B31" s="362" t="s">
        <v>527</v>
      </c>
      <c r="C31" s="360"/>
      <c r="D31" s="364"/>
      <c r="E31" s="360"/>
      <c r="F31" s="360">
        <v>14330949.006063504</v>
      </c>
      <c r="G31" s="361">
        <v>12181306.655153979</v>
      </c>
    </row>
    <row r="32" spans="1:7">
      <c r="A32" s="358">
        <v>24</v>
      </c>
      <c r="B32" s="359" t="s">
        <v>528</v>
      </c>
      <c r="C32" s="360">
        <v>0</v>
      </c>
      <c r="D32" s="364"/>
      <c r="E32" s="360"/>
      <c r="F32" s="360"/>
      <c r="G32" s="361">
        <v>0</v>
      </c>
    </row>
    <row r="33" spans="1:7">
      <c r="A33" s="358">
        <v>25</v>
      </c>
      <c r="B33" s="359" t="s">
        <v>529</v>
      </c>
      <c r="C33" s="675">
        <f>SUM(C34:C35)</f>
        <v>14703500.303699469</v>
      </c>
      <c r="D33" s="675">
        <f>SUM(D34:D35)</f>
        <v>1675000</v>
      </c>
      <c r="E33" s="675">
        <f>SUM(E34:E35)</f>
        <v>437500</v>
      </c>
      <c r="F33" s="675">
        <f>SUM(F34:F35)</f>
        <v>16626391.068539415</v>
      </c>
      <c r="G33" s="676">
        <f>SUM(G34:G35)</f>
        <v>31329891.372238886</v>
      </c>
    </row>
    <row r="34" spans="1:7">
      <c r="A34" s="358">
        <v>26</v>
      </c>
      <c r="B34" s="362" t="s">
        <v>530</v>
      </c>
      <c r="C34" s="363"/>
      <c r="D34" s="364"/>
      <c r="E34" s="360"/>
      <c r="F34" s="360"/>
      <c r="G34" s="361"/>
    </row>
    <row r="35" spans="1:7">
      <c r="A35" s="358">
        <v>27</v>
      </c>
      <c r="B35" s="362" t="s">
        <v>531</v>
      </c>
      <c r="C35" s="360">
        <v>14703500.303699469</v>
      </c>
      <c r="D35" s="364">
        <v>1675000</v>
      </c>
      <c r="E35" s="360">
        <v>437500</v>
      </c>
      <c r="F35" s="360">
        <v>16626391.068539415</v>
      </c>
      <c r="G35" s="361">
        <v>31329891.372238886</v>
      </c>
    </row>
    <row r="36" spans="1:7">
      <c r="A36" s="358">
        <v>28</v>
      </c>
      <c r="B36" s="359" t="s">
        <v>532</v>
      </c>
      <c r="C36" s="360">
        <v>30368.750000000007</v>
      </c>
      <c r="D36" s="364">
        <v>20629258.803799998</v>
      </c>
      <c r="E36" s="360">
        <v>11366167.276799999</v>
      </c>
      <c r="F36" s="360">
        <v>77821195.409999996</v>
      </c>
      <c r="G36" s="361">
        <v>14874240.35706</v>
      </c>
    </row>
    <row r="37" spans="1:7">
      <c r="A37" s="365">
        <v>29</v>
      </c>
      <c r="B37" s="366" t="s">
        <v>533</v>
      </c>
      <c r="C37" s="363"/>
      <c r="D37" s="363"/>
      <c r="E37" s="363"/>
      <c r="F37" s="363"/>
      <c r="G37" s="367">
        <f>SUM(G23:G24,G32:G33,G36)</f>
        <v>186291223.8106674</v>
      </c>
    </row>
    <row r="38" spans="1:7">
      <c r="A38" s="354"/>
      <c r="B38" s="376"/>
      <c r="C38" s="377"/>
      <c r="D38" s="377"/>
      <c r="E38" s="377"/>
      <c r="F38" s="377"/>
      <c r="G38" s="378"/>
    </row>
    <row r="39" spans="1:7" ht="15.75" thickBot="1">
      <c r="A39" s="379">
        <v>30</v>
      </c>
      <c r="B39" s="380" t="s">
        <v>534</v>
      </c>
      <c r="C39" s="258"/>
      <c r="D39" s="259"/>
      <c r="E39" s="259"/>
      <c r="F39" s="260"/>
      <c r="G39" s="381">
        <f>IFERROR(G21/G37,0)</f>
        <v>1.209805463900141</v>
      </c>
    </row>
    <row r="42" spans="1:7" ht="39">
      <c r="B42" s="346" t="s">
        <v>535</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showGridLines="0" tabSelected="1" zoomScaleNormal="10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4.25"/>
  <cols>
    <col min="1" max="1" width="9.5703125" style="3" bestFit="1" customWidth="1"/>
    <col min="2" max="2" width="85.7109375" style="3" bestFit="1" customWidth="1"/>
    <col min="3" max="3" width="12.7109375" style="3" customWidth="1"/>
    <col min="4" max="7" width="12.7109375" style="4" customWidth="1"/>
    <col min="8" max="13" width="6.7109375" style="5" customWidth="1"/>
    <col min="14" max="16384" width="9.28515625" style="5"/>
  </cols>
  <sheetData>
    <row r="1" spans="1:8">
      <c r="A1" s="449" t="s">
        <v>30</v>
      </c>
      <c r="B1" s="450" t="str">
        <f>'Info '!C2</f>
        <v>JSC Isbank Georgia</v>
      </c>
    </row>
    <row r="2" spans="1:8">
      <c r="A2" s="449" t="s">
        <v>31</v>
      </c>
      <c r="B2" s="451">
        <v>44561</v>
      </c>
      <c r="C2" s="6"/>
      <c r="D2" s="7"/>
      <c r="E2" s="7"/>
      <c r="F2" s="7"/>
      <c r="G2" s="7"/>
      <c r="H2" s="8"/>
    </row>
    <row r="3" spans="1:8">
      <c r="A3" s="2"/>
      <c r="B3" s="6"/>
      <c r="C3" s="6"/>
      <c r="D3" s="7"/>
      <c r="E3" s="7"/>
      <c r="F3" s="7"/>
      <c r="G3" s="7"/>
      <c r="H3" s="8"/>
    </row>
    <row r="4" spans="1:8" ht="15" thickBot="1">
      <c r="A4" s="9" t="s">
        <v>140</v>
      </c>
      <c r="B4" s="10" t="s">
        <v>139</v>
      </c>
      <c r="C4" s="10"/>
      <c r="D4" s="10"/>
      <c r="E4" s="10"/>
      <c r="F4" s="10"/>
      <c r="G4" s="10"/>
      <c r="H4" s="8"/>
    </row>
    <row r="5" spans="1:8">
      <c r="A5" s="11" t="s">
        <v>6</v>
      </c>
      <c r="B5" s="12"/>
      <c r="C5" s="452" t="str">
        <f>INT((MONTH($B$2))/3)&amp;"Q"&amp;"-"&amp;YEAR($B$2)</f>
        <v>4Q-2021</v>
      </c>
      <c r="D5" s="452" t="str">
        <f>IF(INT(MONTH($B$2))=3, "4"&amp;"Q"&amp;"-"&amp;YEAR($B$2)-1, IF(INT(MONTH($B$2))=6, "1"&amp;"Q"&amp;"-"&amp;YEAR($B$2), IF(INT(MONTH($B$2))=9, "2"&amp;"Q"&amp;"-"&amp;YEAR($B$2),IF(INT(MONTH($B$2))=12, "3"&amp;"Q"&amp;"-"&amp;YEAR($B$2), 0))))</f>
        <v>3Q-2021</v>
      </c>
      <c r="E5" s="452" t="str">
        <f>IF(INT(MONTH($B$2))=3, "3"&amp;"Q"&amp;"-"&amp;YEAR($B$2)-1, IF(INT(MONTH($B$2))=6, "4"&amp;"Q"&amp;"-"&amp;YEAR($B$2)-1, IF(INT(MONTH($B$2))=9, "1"&amp;"Q"&amp;"-"&amp;YEAR($B$2),IF(INT(MONTH($B$2))=12, "2"&amp;"Q"&amp;"-"&amp;YEAR($B$2), 0))))</f>
        <v>2Q-2021</v>
      </c>
      <c r="F5" s="452" t="str">
        <f>IF(INT(MONTH($B$2))=3, "2"&amp;"Q"&amp;"-"&amp;YEAR($B$2)-1, IF(INT(MONTH($B$2))=6, "3"&amp;"Q"&amp;"-"&amp;YEAR($B$2)-1, IF(INT(MONTH($B$2))=9, "4"&amp;"Q"&amp;"-"&amp;YEAR($B$2)-1,IF(INT(MONTH($B$2))=12, "1"&amp;"Q"&amp;"-"&amp;YEAR($B$2), 0))))</f>
        <v>1Q-2021</v>
      </c>
      <c r="G5" s="453" t="str">
        <f>IF(INT(MONTH($B$2))=3, "1"&amp;"Q"&amp;"-"&amp;YEAR($B$2)-1, IF(INT(MONTH($B$2))=6, "2"&amp;"Q"&amp;"-"&amp;YEAR($B$2)-1, IF(INT(MONTH($B$2))=9, "3"&amp;"Q"&amp;"-"&amp;YEAR($B$2)-1,IF(INT(MONTH($B$2))=12, "4"&amp;"Q"&amp;"-"&amp;YEAR($B$2)-1, 0))))</f>
        <v>4Q-2020</v>
      </c>
    </row>
    <row r="6" spans="1:8">
      <c r="B6" s="179" t="s">
        <v>138</v>
      </c>
      <c r="C6" s="340"/>
      <c r="D6" s="340"/>
      <c r="E6" s="340"/>
      <c r="F6" s="340"/>
      <c r="G6" s="341"/>
    </row>
    <row r="7" spans="1:8">
      <c r="A7" s="13"/>
      <c r="B7" s="180" t="s">
        <v>136</v>
      </c>
      <c r="C7" s="340"/>
      <c r="D7" s="340"/>
      <c r="E7" s="340"/>
      <c r="F7" s="340"/>
      <c r="G7" s="341"/>
    </row>
    <row r="8" spans="1:8">
      <c r="A8" s="342">
        <v>1</v>
      </c>
      <c r="B8" s="14" t="s">
        <v>487</v>
      </c>
      <c r="C8" s="15">
        <v>94391539.438289478</v>
      </c>
      <c r="D8" s="16">
        <v>91694973.630918115</v>
      </c>
      <c r="E8" s="16">
        <v>88465596.657445937</v>
      </c>
      <c r="F8" s="16">
        <v>85490494.999593854</v>
      </c>
      <c r="G8" s="17">
        <v>82998445.377222285</v>
      </c>
    </row>
    <row r="9" spans="1:8">
      <c r="A9" s="342">
        <v>2</v>
      </c>
      <c r="B9" s="14" t="s">
        <v>488</v>
      </c>
      <c r="C9" s="15">
        <v>94391539.438289478</v>
      </c>
      <c r="D9" s="16">
        <v>91694973.630918115</v>
      </c>
      <c r="E9" s="16">
        <v>88465596.657445937</v>
      </c>
      <c r="F9" s="16">
        <v>85490494.999593854</v>
      </c>
      <c r="G9" s="17">
        <v>82998445.377222285</v>
      </c>
    </row>
    <row r="10" spans="1:8">
      <c r="A10" s="342">
        <v>3</v>
      </c>
      <c r="B10" s="14" t="s">
        <v>245</v>
      </c>
      <c r="C10" s="15">
        <v>99323573.353612155</v>
      </c>
      <c r="D10" s="16">
        <v>96668973.423466802</v>
      </c>
      <c r="E10" s="16">
        <v>93056600.599005952</v>
      </c>
      <c r="F10" s="16">
        <v>89949917.000006318</v>
      </c>
      <c r="G10" s="17">
        <v>87421568.189916149</v>
      </c>
    </row>
    <row r="11" spans="1:8">
      <c r="A11" s="342">
        <v>4</v>
      </c>
      <c r="B11" s="14" t="s">
        <v>490</v>
      </c>
      <c r="C11" s="15">
        <v>30365791.76327312</v>
      </c>
      <c r="D11" s="16">
        <v>30247107.251175225</v>
      </c>
      <c r="E11" s="16">
        <v>27802553.138585605</v>
      </c>
      <c r="F11" s="16">
        <v>28213613.251565892</v>
      </c>
      <c r="G11" s="17">
        <v>23206699.440114107</v>
      </c>
    </row>
    <row r="12" spans="1:8">
      <c r="A12" s="342">
        <v>5</v>
      </c>
      <c r="B12" s="14" t="s">
        <v>491</v>
      </c>
      <c r="C12" s="15">
        <v>40497710.010722086</v>
      </c>
      <c r="D12" s="16">
        <v>40339196.63428393</v>
      </c>
      <c r="E12" s="16">
        <v>37078467.517835423</v>
      </c>
      <c r="F12" s="16">
        <v>37626940.593956709</v>
      </c>
      <c r="G12" s="17">
        <v>30950900.884456571</v>
      </c>
    </row>
    <row r="13" spans="1:8">
      <c r="A13" s="342">
        <v>6</v>
      </c>
      <c r="B13" s="14" t="s">
        <v>489</v>
      </c>
      <c r="C13" s="15">
        <v>68536720.062944934</v>
      </c>
      <c r="D13" s="16">
        <v>68323887.634272546</v>
      </c>
      <c r="E13" s="16">
        <v>62845625.906170204</v>
      </c>
      <c r="F13" s="16">
        <v>64636892.48206085</v>
      </c>
      <c r="G13" s="17">
        <v>63547118.157326348</v>
      </c>
    </row>
    <row r="14" spans="1:8">
      <c r="A14" s="13"/>
      <c r="B14" s="179" t="s">
        <v>493</v>
      </c>
      <c r="C14" s="340"/>
      <c r="D14" s="340"/>
      <c r="E14" s="340"/>
      <c r="F14" s="340"/>
      <c r="G14" s="341"/>
    </row>
    <row r="15" spans="1:8" ht="15" customHeight="1">
      <c r="A15" s="342">
        <v>7</v>
      </c>
      <c r="B15" s="14" t="s">
        <v>492</v>
      </c>
      <c r="C15" s="242">
        <v>429797061.35576224</v>
      </c>
      <c r="D15" s="16">
        <v>428178933.76047593</v>
      </c>
      <c r="E15" s="16">
        <v>394948828.02258658</v>
      </c>
      <c r="F15" s="16">
        <v>387474159.10370266</v>
      </c>
      <c r="G15" s="17">
        <v>382197912.33547288</v>
      </c>
    </row>
    <row r="16" spans="1:8">
      <c r="A16" s="13"/>
      <c r="B16" s="179" t="s">
        <v>494</v>
      </c>
      <c r="C16" s="340"/>
      <c r="D16" s="340"/>
      <c r="E16" s="340"/>
      <c r="F16" s="340"/>
      <c r="G16" s="341"/>
    </row>
    <row r="17" spans="1:7" s="18" customFormat="1">
      <c r="A17" s="342"/>
      <c r="B17" s="180" t="s">
        <v>478</v>
      </c>
      <c r="C17" s="243"/>
      <c r="D17" s="16"/>
      <c r="E17" s="16"/>
      <c r="F17" s="16"/>
      <c r="G17" s="17"/>
    </row>
    <row r="18" spans="1:7">
      <c r="A18" s="11">
        <v>8</v>
      </c>
      <c r="B18" s="14" t="s">
        <v>487</v>
      </c>
      <c r="C18" s="454">
        <v>0.21961885718934077</v>
      </c>
      <c r="D18" s="455">
        <v>0.21415106256071076</v>
      </c>
      <c r="E18" s="455">
        <v>0.22399255392242032</v>
      </c>
      <c r="F18" s="455">
        <v>0.22063534558626755</v>
      </c>
      <c r="G18" s="456">
        <v>0.21716090721178688</v>
      </c>
    </row>
    <row r="19" spans="1:7" ht="15" customHeight="1">
      <c r="A19" s="11">
        <v>9</v>
      </c>
      <c r="B19" s="14" t="s">
        <v>488</v>
      </c>
      <c r="C19" s="454">
        <v>0.21961885718934077</v>
      </c>
      <c r="D19" s="455">
        <v>0.21415106256071076</v>
      </c>
      <c r="E19" s="455">
        <v>0.22399255392242032</v>
      </c>
      <c r="F19" s="455">
        <v>0.22063534558626755</v>
      </c>
      <c r="G19" s="456">
        <v>0.21716090721178688</v>
      </c>
    </row>
    <row r="20" spans="1:7">
      <c r="A20" s="11">
        <v>10</v>
      </c>
      <c r="B20" s="14" t="s">
        <v>245</v>
      </c>
      <c r="C20" s="454">
        <v>0.23109411925782711</v>
      </c>
      <c r="D20" s="455">
        <v>0.225767700840564</v>
      </c>
      <c r="E20" s="455">
        <v>0.23561685463131485</v>
      </c>
      <c r="F20" s="455">
        <v>0.23214429888196064</v>
      </c>
      <c r="G20" s="456">
        <v>0.22873376690028116</v>
      </c>
    </row>
    <row r="21" spans="1:7">
      <c r="A21" s="11">
        <v>11</v>
      </c>
      <c r="B21" s="14" t="s">
        <v>490</v>
      </c>
      <c r="C21" s="454">
        <v>7.0651464362009669E-2</v>
      </c>
      <c r="D21" s="455">
        <v>7.0641278368205551E-2</v>
      </c>
      <c r="E21" s="455">
        <v>7.0395330143872753E-2</v>
      </c>
      <c r="F21" s="455">
        <v>7.2814180219989505E-2</v>
      </c>
      <c r="G21" s="456">
        <v>6.0719063843929395E-2</v>
      </c>
    </row>
    <row r="22" spans="1:7">
      <c r="A22" s="11">
        <v>12</v>
      </c>
      <c r="B22" s="14" t="s">
        <v>491</v>
      </c>
      <c r="C22" s="454">
        <v>9.4225190565461595E-2</v>
      </c>
      <c r="D22" s="455">
        <v>9.4211072646674748E-2</v>
      </c>
      <c r="E22" s="455">
        <v>9.3881700329327106E-2</v>
      </c>
      <c r="F22" s="455">
        <v>9.7108257957110172E-2</v>
      </c>
      <c r="G22" s="456">
        <v>8.0981344705225722E-2</v>
      </c>
    </row>
    <row r="23" spans="1:7">
      <c r="A23" s="11">
        <v>13</v>
      </c>
      <c r="B23" s="14" t="s">
        <v>489</v>
      </c>
      <c r="C23" s="454">
        <v>0.15946297968336742</v>
      </c>
      <c r="D23" s="455">
        <v>0.15956854073650678</v>
      </c>
      <c r="E23" s="455">
        <v>0.1591234647304135</v>
      </c>
      <c r="F23" s="455">
        <v>0.16681600814768549</v>
      </c>
      <c r="G23" s="456">
        <v>0.16626757003724313</v>
      </c>
    </row>
    <row r="24" spans="1:7">
      <c r="A24" s="13"/>
      <c r="B24" s="179" t="s">
        <v>135</v>
      </c>
      <c r="C24" s="340"/>
      <c r="D24" s="340"/>
      <c r="E24" s="340"/>
      <c r="F24" s="340"/>
      <c r="G24" s="341"/>
    </row>
    <row r="25" spans="1:7" ht="15" customHeight="1">
      <c r="A25" s="343">
        <v>14</v>
      </c>
      <c r="B25" s="14" t="s">
        <v>134</v>
      </c>
      <c r="C25" s="457">
        <v>6.0645098206081605E-2</v>
      </c>
      <c r="D25" s="458">
        <v>5.9717560254534591E-2</v>
      </c>
      <c r="E25" s="458">
        <v>6.0008118351832035E-2</v>
      </c>
      <c r="F25" s="458">
        <v>6.2301324598304841E-2</v>
      </c>
      <c r="G25" s="459">
        <v>6.2678307165625252E-2</v>
      </c>
    </row>
    <row r="26" spans="1:7">
      <c r="A26" s="343">
        <v>15</v>
      </c>
      <c r="B26" s="14" t="s">
        <v>133</v>
      </c>
      <c r="C26" s="457">
        <v>1.27317933077205E-2</v>
      </c>
      <c r="D26" s="458">
        <v>1.2545143304743597E-2</v>
      </c>
      <c r="E26" s="458">
        <v>1.1379076653939287E-2</v>
      </c>
      <c r="F26" s="458">
        <v>1.2878466129301701E-2</v>
      </c>
      <c r="G26" s="459">
        <v>1.3953652316493299E-2</v>
      </c>
    </row>
    <row r="27" spans="1:7">
      <c r="A27" s="343">
        <v>16</v>
      </c>
      <c r="B27" s="14" t="s">
        <v>132</v>
      </c>
      <c r="C27" s="457">
        <v>3.8802065051453394E-2</v>
      </c>
      <c r="D27" s="458">
        <v>3.9701938548779361E-2</v>
      </c>
      <c r="E27" s="458">
        <v>4.0435219181194589E-2</v>
      </c>
      <c r="F27" s="458">
        <v>4.1615299047287641E-2</v>
      </c>
      <c r="G27" s="459">
        <v>3.3316900024161211E-2</v>
      </c>
    </row>
    <row r="28" spans="1:7">
      <c r="A28" s="343">
        <v>17</v>
      </c>
      <c r="B28" s="14" t="s">
        <v>131</v>
      </c>
      <c r="C28" s="457">
        <v>4.7913304898361105E-2</v>
      </c>
      <c r="D28" s="458">
        <v>4.7172416949790991E-2</v>
      </c>
      <c r="E28" s="458">
        <v>4.8629041697892748E-2</v>
      </c>
      <c r="F28" s="458">
        <v>4.9422858469003142E-2</v>
      </c>
      <c r="G28" s="459">
        <v>4.8724654849131958E-2</v>
      </c>
    </row>
    <row r="29" spans="1:7">
      <c r="A29" s="343">
        <v>18</v>
      </c>
      <c r="B29" s="14" t="s">
        <v>271</v>
      </c>
      <c r="C29" s="457">
        <v>3.0891846404561427E-2</v>
      </c>
      <c r="D29" s="458">
        <v>3.2232686628001481E-2</v>
      </c>
      <c r="E29" s="458">
        <v>3.1785725889444047E-2</v>
      </c>
      <c r="F29" s="458">
        <v>2.966813235393341E-2</v>
      </c>
      <c r="G29" s="459">
        <v>9.287435648257578E-3</v>
      </c>
    </row>
    <row r="30" spans="1:7">
      <c r="A30" s="343">
        <v>19</v>
      </c>
      <c r="B30" s="14" t="s">
        <v>272</v>
      </c>
      <c r="C30" s="457">
        <v>0.12713781187574952</v>
      </c>
      <c r="D30" s="458">
        <v>0.13164857753279574</v>
      </c>
      <c r="E30" s="458">
        <v>0.12616143597135068</v>
      </c>
      <c r="F30" s="458">
        <v>0.11668249968907442</v>
      </c>
      <c r="G30" s="459">
        <v>3.4822858160235177E-2</v>
      </c>
    </row>
    <row r="31" spans="1:7">
      <c r="A31" s="13"/>
      <c r="B31" s="179" t="s">
        <v>351</v>
      </c>
      <c r="C31" s="340"/>
      <c r="D31" s="340"/>
      <c r="E31" s="340"/>
      <c r="F31" s="340"/>
      <c r="G31" s="341"/>
    </row>
    <row r="32" spans="1:7">
      <c r="A32" s="343">
        <v>20</v>
      </c>
      <c r="B32" s="14" t="s">
        <v>130</v>
      </c>
      <c r="C32" s="457">
        <v>4.4892463194140371E-2</v>
      </c>
      <c r="D32" s="458">
        <v>4.992137891796708E-2</v>
      </c>
      <c r="E32" s="458">
        <v>2.3477064828711675E-2</v>
      </c>
      <c r="F32" s="458">
        <v>2.4288689324131241E-2</v>
      </c>
      <c r="G32" s="459">
        <v>2.5770181222198065E-2</v>
      </c>
    </row>
    <row r="33" spans="1:7" ht="15" customHeight="1">
      <c r="A33" s="343">
        <v>21</v>
      </c>
      <c r="B33" s="14" t="s">
        <v>129</v>
      </c>
      <c r="C33" s="457">
        <v>4.4301825005523099E-2</v>
      </c>
      <c r="D33" s="458">
        <v>4.7350288688212373E-2</v>
      </c>
      <c r="E33" s="458">
        <v>4.9374015259252807E-2</v>
      </c>
      <c r="F33" s="458">
        <v>4.9119335432412169E-2</v>
      </c>
      <c r="G33" s="459">
        <v>5.0592095799553052E-2</v>
      </c>
    </row>
    <row r="34" spans="1:7">
      <c r="A34" s="343">
        <v>22</v>
      </c>
      <c r="B34" s="14" t="s">
        <v>128</v>
      </c>
      <c r="C34" s="457">
        <v>0.68670573055008355</v>
      </c>
      <c r="D34" s="458">
        <v>0.69693506007053119</v>
      </c>
      <c r="E34" s="458">
        <v>0.66617181738367037</v>
      </c>
      <c r="F34" s="458">
        <v>0.65405546702225548</v>
      </c>
      <c r="G34" s="459">
        <v>0.657176722753678</v>
      </c>
    </row>
    <row r="35" spans="1:7" ht="15" customHeight="1">
      <c r="A35" s="343">
        <v>23</v>
      </c>
      <c r="B35" s="14" t="s">
        <v>127</v>
      </c>
      <c r="C35" s="457">
        <v>0.66342292371955547</v>
      </c>
      <c r="D35" s="458">
        <v>0.67507341181983893</v>
      </c>
      <c r="E35" s="458">
        <v>0.68857741697732022</v>
      </c>
      <c r="F35" s="458">
        <v>0.68770599689008849</v>
      </c>
      <c r="G35" s="459">
        <v>0.67963794973604752</v>
      </c>
    </row>
    <row r="36" spans="1:7">
      <c r="A36" s="343">
        <v>24</v>
      </c>
      <c r="B36" s="14" t="s">
        <v>126</v>
      </c>
      <c r="C36" s="457">
        <v>7.8794316306747283E-2</v>
      </c>
      <c r="D36" s="458">
        <v>2.9355743932674691E-2</v>
      </c>
      <c r="E36" s="458">
        <v>-9.6157897237786026E-3</v>
      </c>
      <c r="F36" s="458">
        <v>3.1923069276090475E-2</v>
      </c>
      <c r="G36" s="459">
        <v>0.58021508905910535</v>
      </c>
    </row>
    <row r="37" spans="1:7" ht="15" customHeight="1">
      <c r="A37" s="13"/>
      <c r="B37" s="179" t="s">
        <v>352</v>
      </c>
      <c r="C37" s="340"/>
      <c r="D37" s="340"/>
      <c r="E37" s="340"/>
      <c r="F37" s="340"/>
      <c r="G37" s="341"/>
    </row>
    <row r="38" spans="1:7" ht="15" customHeight="1">
      <c r="A38" s="343">
        <v>25</v>
      </c>
      <c r="B38" s="14" t="s">
        <v>125</v>
      </c>
      <c r="C38" s="468">
        <v>0.18312355387542167</v>
      </c>
      <c r="D38" s="460">
        <v>0.21723594158188281</v>
      </c>
      <c r="E38" s="460">
        <v>0.17501301779466036</v>
      </c>
      <c r="F38" s="460">
        <v>0.16353057589555017</v>
      </c>
      <c r="G38" s="461">
        <v>0.14609430031048737</v>
      </c>
    </row>
    <row r="39" spans="1:7" ht="15" customHeight="1">
      <c r="A39" s="343">
        <v>26</v>
      </c>
      <c r="B39" s="14" t="s">
        <v>124</v>
      </c>
      <c r="C39" s="468">
        <v>0.91024141756054833</v>
      </c>
      <c r="D39" s="460">
        <v>0.9110599413810283</v>
      </c>
      <c r="E39" s="460">
        <v>0.92992964906809517</v>
      </c>
      <c r="F39" s="460">
        <v>0.94415990261980254</v>
      </c>
      <c r="G39" s="461">
        <v>0.93309149717162609</v>
      </c>
    </row>
    <row r="40" spans="1:7" ht="15" customHeight="1">
      <c r="A40" s="343">
        <v>27</v>
      </c>
      <c r="B40" s="14" t="s">
        <v>123</v>
      </c>
      <c r="C40" s="468">
        <v>0.14342699142330984</v>
      </c>
      <c r="D40" s="460">
        <v>0.18068084839977919</v>
      </c>
      <c r="E40" s="460">
        <v>0.15002732812396918</v>
      </c>
      <c r="F40" s="460">
        <v>0.11073415296759165</v>
      </c>
      <c r="G40" s="461">
        <v>0.11553619008863639</v>
      </c>
    </row>
    <row r="41" spans="1:7" ht="15" customHeight="1">
      <c r="A41" s="344"/>
      <c r="B41" s="179" t="s">
        <v>395</v>
      </c>
      <c r="C41" s="340"/>
      <c r="D41" s="340"/>
      <c r="E41" s="340"/>
      <c r="F41" s="340"/>
      <c r="G41" s="341"/>
    </row>
    <row r="42" spans="1:7">
      <c r="A42" s="343">
        <v>28</v>
      </c>
      <c r="B42" s="14" t="s">
        <v>378</v>
      </c>
      <c r="C42" s="19">
        <v>125961060.67</v>
      </c>
      <c r="D42" s="20">
        <v>138221816.16999999</v>
      </c>
      <c r="E42" s="20">
        <v>115236851.53999999</v>
      </c>
      <c r="F42" s="20">
        <v>97497588.980000004</v>
      </c>
      <c r="G42" s="21">
        <v>81903875.829999998</v>
      </c>
    </row>
    <row r="43" spans="1:7" ht="15" customHeight="1">
      <c r="A43" s="343">
        <v>29</v>
      </c>
      <c r="B43" s="14" t="s">
        <v>390</v>
      </c>
      <c r="C43" s="19">
        <v>62369833.322127774</v>
      </c>
      <c r="D43" s="20">
        <v>92930041.167475656</v>
      </c>
      <c r="E43" s="20">
        <v>72202548.613757342</v>
      </c>
      <c r="F43" s="20">
        <v>45169081.551656671</v>
      </c>
      <c r="G43" s="21">
        <v>61860189.168520354</v>
      </c>
    </row>
    <row r="44" spans="1:7" ht="15" customHeight="1">
      <c r="A44" s="382">
        <v>30</v>
      </c>
      <c r="B44" s="383" t="s">
        <v>379</v>
      </c>
      <c r="C44" s="462">
        <f>C42/C43</f>
        <v>2.0195830894630773</v>
      </c>
      <c r="D44" s="463">
        <v>1.4873749589855545</v>
      </c>
      <c r="E44" s="463">
        <v>1.5960219376251072</v>
      </c>
      <c r="F44" s="463">
        <v>2.1585027994979029</v>
      </c>
      <c r="G44" s="464">
        <v>1.3240159289988003</v>
      </c>
    </row>
    <row r="45" spans="1:7" ht="15" customHeight="1">
      <c r="A45" s="382"/>
      <c r="B45" s="179" t="s">
        <v>497</v>
      </c>
      <c r="C45" s="384"/>
      <c r="D45" s="385"/>
      <c r="E45" s="385"/>
      <c r="F45" s="385"/>
      <c r="G45" s="386"/>
    </row>
    <row r="46" spans="1:7" ht="15" customHeight="1">
      <c r="A46" s="382">
        <v>31</v>
      </c>
      <c r="B46" s="383" t="s">
        <v>504</v>
      </c>
      <c r="C46" s="384">
        <v>225376140.44278947</v>
      </c>
      <c r="D46" s="385">
        <v>217710441.46391809</v>
      </c>
      <c r="E46" s="385">
        <v>201357863.01444596</v>
      </c>
      <c r="F46" s="385">
        <v>189450929.14609382</v>
      </c>
      <c r="G46" s="386">
        <v>165124245.27443027</v>
      </c>
    </row>
    <row r="47" spans="1:7" ht="15" customHeight="1">
      <c r="A47" s="382">
        <v>32</v>
      </c>
      <c r="B47" s="383" t="s">
        <v>519</v>
      </c>
      <c r="C47" s="384">
        <v>186291223.8106674</v>
      </c>
      <c r="D47" s="385">
        <v>184610398.94422942</v>
      </c>
      <c r="E47" s="385">
        <v>164086660.82318714</v>
      </c>
      <c r="F47" s="385">
        <v>164581882.01660013</v>
      </c>
      <c r="G47" s="386">
        <v>162148906.19844285</v>
      </c>
    </row>
    <row r="48" spans="1:7" ht="15" thickBot="1">
      <c r="A48" s="345">
        <v>33</v>
      </c>
      <c r="B48" s="181" t="s">
        <v>537</v>
      </c>
      <c r="C48" s="465">
        <f>IFERROR(C46/C47,0)</f>
        <v>1.209805463900141</v>
      </c>
      <c r="D48" s="466">
        <v>1.179296739018955</v>
      </c>
      <c r="E48" s="466">
        <v>1.2271434009582332</v>
      </c>
      <c r="F48" s="466">
        <v>1.1511044036243634</v>
      </c>
      <c r="G48" s="467">
        <v>1.0183494242776212</v>
      </c>
    </row>
    <row r="49" spans="1:2">
      <c r="A49" s="22"/>
    </row>
    <row r="50" spans="1:2" ht="38.25">
      <c r="B50" s="245" t="s">
        <v>479</v>
      </c>
    </row>
    <row r="51" spans="1:2" ht="51">
      <c r="B51" s="245" t="s">
        <v>394</v>
      </c>
    </row>
    <row r="53" spans="1:2">
      <c r="B53" s="244"/>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A5" sqref="A5:B7"/>
    </sheetView>
  </sheetViews>
  <sheetFormatPr defaultColWidth="9.28515625" defaultRowHeight="12.75"/>
  <cols>
    <col min="1" max="1" width="11.7109375" style="396" bestFit="1" customWidth="1"/>
    <col min="2" max="2" width="102.7109375" style="396" customWidth="1"/>
    <col min="3" max="3" width="14.28515625" style="396" bestFit="1" customWidth="1"/>
    <col min="4" max="4" width="15.28515625" style="396" bestFit="1" customWidth="1"/>
    <col min="5" max="5" width="17.42578125" style="396" bestFit="1" customWidth="1"/>
    <col min="6" max="6" width="14.28515625" style="396" bestFit="1" customWidth="1"/>
    <col min="7" max="7" width="16.7109375" style="396" bestFit="1" customWidth="1"/>
    <col min="8" max="8" width="12.5703125" style="396" bestFit="1" customWidth="1"/>
    <col min="9" max="16384" width="9.28515625" style="396"/>
  </cols>
  <sheetData>
    <row r="1" spans="1:8" ht="13.5">
      <c r="A1" s="387" t="s">
        <v>30</v>
      </c>
      <c r="B1" s="450" t="str">
        <f>'Info '!C2</f>
        <v>JSC Isbank Georgia</v>
      </c>
    </row>
    <row r="2" spans="1:8" ht="13.5">
      <c r="A2" s="388" t="s">
        <v>31</v>
      </c>
      <c r="B2" s="451">
        <f>'1. key ratios '!B2</f>
        <v>44561</v>
      </c>
    </row>
    <row r="3" spans="1:8">
      <c r="A3" s="389" t="s">
        <v>546</v>
      </c>
    </row>
    <row r="5" spans="1:8" ht="15" customHeight="1">
      <c r="A5" s="759" t="s">
        <v>547</v>
      </c>
      <c r="B5" s="760"/>
      <c r="C5" s="765" t="s">
        <v>548</v>
      </c>
      <c r="D5" s="766"/>
      <c r="E5" s="766"/>
      <c r="F5" s="766"/>
      <c r="G5" s="766"/>
      <c r="H5" s="767"/>
    </row>
    <row r="6" spans="1:8">
      <c r="A6" s="761"/>
      <c r="B6" s="762"/>
      <c r="C6" s="768"/>
      <c r="D6" s="769"/>
      <c r="E6" s="769"/>
      <c r="F6" s="769"/>
      <c r="G6" s="769"/>
      <c r="H6" s="770"/>
    </row>
    <row r="7" spans="1:8">
      <c r="A7" s="763"/>
      <c r="B7" s="764"/>
      <c r="C7" s="420" t="s">
        <v>549</v>
      </c>
      <c r="D7" s="420" t="s">
        <v>550</v>
      </c>
      <c r="E7" s="420" t="s">
        <v>551</v>
      </c>
      <c r="F7" s="420" t="s">
        <v>552</v>
      </c>
      <c r="G7" s="420" t="s">
        <v>553</v>
      </c>
      <c r="H7" s="420" t="s">
        <v>109</v>
      </c>
    </row>
    <row r="8" spans="1:8">
      <c r="A8" s="391">
        <v>1</v>
      </c>
      <c r="B8" s="390" t="s">
        <v>96</v>
      </c>
      <c r="C8" s="656">
        <v>57904397.339999996</v>
      </c>
      <c r="D8" s="656">
        <v>26626114.560782839</v>
      </c>
      <c r="E8" s="656">
        <v>6660987.3673868813</v>
      </c>
      <c r="F8" s="656">
        <v>0</v>
      </c>
      <c r="G8" s="656"/>
      <c r="H8" s="655">
        <f>SUM(C8:G8)</f>
        <v>91191499.268169716</v>
      </c>
    </row>
    <row r="9" spans="1:8">
      <c r="A9" s="391">
        <v>2</v>
      </c>
      <c r="B9" s="390" t="s">
        <v>97</v>
      </c>
      <c r="C9" s="656"/>
      <c r="D9" s="656"/>
      <c r="E9" s="656"/>
      <c r="F9" s="656"/>
      <c r="G9" s="656"/>
      <c r="H9" s="655">
        <f t="shared" ref="H9:H21" si="0">SUM(C9:G9)</f>
        <v>0</v>
      </c>
    </row>
    <row r="10" spans="1:8">
      <c r="A10" s="391">
        <v>3</v>
      </c>
      <c r="B10" s="390" t="s">
        <v>269</v>
      </c>
      <c r="C10" s="656"/>
      <c r="D10" s="656"/>
      <c r="E10" s="656"/>
      <c r="F10" s="656"/>
      <c r="G10" s="656"/>
      <c r="H10" s="655">
        <f t="shared" si="0"/>
        <v>0</v>
      </c>
    </row>
    <row r="11" spans="1:8">
      <c r="A11" s="391">
        <v>4</v>
      </c>
      <c r="B11" s="390" t="s">
        <v>98</v>
      </c>
      <c r="C11" s="656"/>
      <c r="D11" s="656"/>
      <c r="E11" s="656"/>
      <c r="F11" s="656"/>
      <c r="G11" s="656"/>
      <c r="H11" s="655">
        <f t="shared" si="0"/>
        <v>0</v>
      </c>
    </row>
    <row r="12" spans="1:8">
      <c r="A12" s="391">
        <v>5</v>
      </c>
      <c r="B12" s="390" t="s">
        <v>99</v>
      </c>
      <c r="C12" s="656"/>
      <c r="D12" s="656"/>
      <c r="E12" s="656"/>
      <c r="F12" s="656"/>
      <c r="G12" s="656"/>
      <c r="H12" s="655">
        <f t="shared" si="0"/>
        <v>0</v>
      </c>
    </row>
    <row r="13" spans="1:8">
      <c r="A13" s="391">
        <v>6</v>
      </c>
      <c r="B13" s="390" t="s">
        <v>100</v>
      </c>
      <c r="C13" s="656">
        <v>7179605.330333</v>
      </c>
      <c r="D13" s="656">
        <v>12952996.27</v>
      </c>
      <c r="E13" s="656">
        <v>0</v>
      </c>
      <c r="F13" s="656">
        <v>0</v>
      </c>
      <c r="G13" s="656"/>
      <c r="H13" s="655">
        <f t="shared" si="0"/>
        <v>20132601.600332998</v>
      </c>
    </row>
    <row r="14" spans="1:8">
      <c r="A14" s="391">
        <v>7</v>
      </c>
      <c r="B14" s="390" t="s">
        <v>101</v>
      </c>
      <c r="C14" s="656"/>
      <c r="D14" s="656">
        <v>120794676.09837274</v>
      </c>
      <c r="E14" s="656">
        <v>100215579.54591247</v>
      </c>
      <c r="F14" s="656">
        <v>27703881.890999999</v>
      </c>
      <c r="G14" s="656">
        <v>1260531.037</v>
      </c>
      <c r="H14" s="655">
        <f t="shared" si="0"/>
        <v>249974668.57228521</v>
      </c>
    </row>
    <row r="15" spans="1:8">
      <c r="A15" s="391">
        <v>8</v>
      </c>
      <c r="B15" s="390" t="s">
        <v>102</v>
      </c>
      <c r="C15" s="656"/>
      <c r="D15" s="656"/>
      <c r="E15" s="656"/>
      <c r="F15" s="656"/>
      <c r="G15" s="656"/>
      <c r="H15" s="655">
        <f t="shared" si="0"/>
        <v>0</v>
      </c>
    </row>
    <row r="16" spans="1:8">
      <c r="A16" s="391">
        <v>9</v>
      </c>
      <c r="B16" s="390" t="s">
        <v>103</v>
      </c>
      <c r="C16" s="656"/>
      <c r="D16" s="656"/>
      <c r="E16" s="656"/>
      <c r="F16" s="656"/>
      <c r="G16" s="656"/>
      <c r="H16" s="655">
        <f t="shared" si="0"/>
        <v>0</v>
      </c>
    </row>
    <row r="17" spans="1:8">
      <c r="A17" s="391">
        <v>10</v>
      </c>
      <c r="B17" s="424" t="s">
        <v>565</v>
      </c>
      <c r="C17" s="656"/>
      <c r="D17" s="656">
        <v>0</v>
      </c>
      <c r="E17" s="656">
        <v>0</v>
      </c>
      <c r="F17" s="656">
        <v>0</v>
      </c>
      <c r="G17" s="656">
        <v>1234054.486</v>
      </c>
      <c r="H17" s="655">
        <f t="shared" si="0"/>
        <v>1234054.486</v>
      </c>
    </row>
    <row r="18" spans="1:8">
      <c r="A18" s="391">
        <v>11</v>
      </c>
      <c r="B18" s="390" t="s">
        <v>105</v>
      </c>
      <c r="C18" s="656"/>
      <c r="D18" s="656">
        <v>0</v>
      </c>
      <c r="E18" s="656">
        <v>0</v>
      </c>
      <c r="F18" s="656">
        <v>0</v>
      </c>
      <c r="G18" s="656">
        <v>0</v>
      </c>
      <c r="H18" s="655">
        <f t="shared" si="0"/>
        <v>0</v>
      </c>
    </row>
    <row r="19" spans="1:8">
      <c r="A19" s="391">
        <v>12</v>
      </c>
      <c r="B19" s="390" t="s">
        <v>106</v>
      </c>
      <c r="C19" s="656"/>
      <c r="D19" s="656"/>
      <c r="E19" s="656"/>
      <c r="F19" s="656"/>
      <c r="G19" s="656"/>
      <c r="H19" s="655">
        <f t="shared" si="0"/>
        <v>0</v>
      </c>
    </row>
    <row r="20" spans="1:8">
      <c r="A20" s="391">
        <v>13</v>
      </c>
      <c r="B20" s="390" t="s">
        <v>247</v>
      </c>
      <c r="C20" s="656"/>
      <c r="D20" s="656"/>
      <c r="E20" s="656"/>
      <c r="F20" s="656"/>
      <c r="G20" s="656"/>
      <c r="H20" s="655">
        <f t="shared" si="0"/>
        <v>0</v>
      </c>
    </row>
    <row r="21" spans="1:8">
      <c r="A21" s="391">
        <v>14</v>
      </c>
      <c r="B21" s="390" t="s">
        <v>108</v>
      </c>
      <c r="C21" s="656">
        <v>2973609.72</v>
      </c>
      <c r="D21" s="656">
        <v>747614.82100000011</v>
      </c>
      <c r="E21" s="656">
        <v>2700391.0320000011</v>
      </c>
      <c r="F21" s="656">
        <v>2444847.9479999999</v>
      </c>
      <c r="G21" s="656">
        <v>12603343.63692347</v>
      </c>
      <c r="H21" s="655">
        <f t="shared" si="0"/>
        <v>21469807.157923471</v>
      </c>
    </row>
    <row r="22" spans="1:8">
      <c r="A22" s="392">
        <v>15</v>
      </c>
      <c r="B22" s="398" t="s">
        <v>109</v>
      </c>
      <c r="C22" s="655">
        <f>+SUM(C8:C16)+SUM(C18:C21)</f>
        <v>68057612.390332997</v>
      </c>
      <c r="D22" s="655">
        <f t="shared" ref="D22:G22" si="1">+SUM(D8:D16)+SUM(D18:D21)</f>
        <v>161121401.7501556</v>
      </c>
      <c r="E22" s="655">
        <f t="shared" si="1"/>
        <v>109576957.94529936</v>
      </c>
      <c r="F22" s="655">
        <f t="shared" si="1"/>
        <v>30148729.838999998</v>
      </c>
      <c r="G22" s="655">
        <f t="shared" si="1"/>
        <v>13863874.67392347</v>
      </c>
      <c r="H22" s="655">
        <f>+SUM(H8:H16)+SUM(H18:H21)</f>
        <v>382768576.59871137</v>
      </c>
    </row>
    <row r="26" spans="1:8" ht="25.5">
      <c r="B26" s="425" t="s">
        <v>693</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Normal="100" workbookViewId="0">
      <selection activeCell="A5" sqref="A5:B6"/>
    </sheetView>
  </sheetViews>
  <sheetFormatPr defaultColWidth="9.28515625" defaultRowHeight="12.75"/>
  <cols>
    <col min="1" max="1" width="11.7109375" style="426" bestFit="1" customWidth="1"/>
    <col min="2" max="2" width="82.5703125" style="396" customWidth="1"/>
    <col min="3" max="4" width="19.7109375" style="396" bestFit="1" customWidth="1"/>
    <col min="5" max="5" width="12.140625" style="396" bestFit="1" customWidth="1"/>
    <col min="6" max="6" width="13.140625" style="396" bestFit="1" customWidth="1"/>
    <col min="7" max="7" width="15.28515625" style="396" customWidth="1"/>
    <col min="8" max="8" width="16.7109375" style="396" customWidth="1"/>
    <col min="9" max="9" width="15.5703125" style="396" bestFit="1" customWidth="1"/>
    <col min="10" max="16384" width="9.28515625" style="396"/>
  </cols>
  <sheetData>
    <row r="1" spans="1:9" ht="13.5">
      <c r="A1" s="387" t="s">
        <v>30</v>
      </c>
      <c r="B1" s="450" t="str">
        <f>'Info '!C2</f>
        <v>JSC Isbank Georgia</v>
      </c>
    </row>
    <row r="2" spans="1:9" ht="13.5">
      <c r="A2" s="388" t="s">
        <v>31</v>
      </c>
      <c r="B2" s="451">
        <f>'1. key ratios '!B2</f>
        <v>44561</v>
      </c>
    </row>
    <row r="3" spans="1:9">
      <c r="A3" s="389" t="s">
        <v>554</v>
      </c>
    </row>
    <row r="4" spans="1:9">
      <c r="C4" s="427" t="s">
        <v>0</v>
      </c>
      <c r="D4" s="427" t="s">
        <v>1</v>
      </c>
      <c r="E4" s="427" t="s">
        <v>2</v>
      </c>
      <c r="F4" s="427" t="s">
        <v>3</v>
      </c>
      <c r="G4" s="427" t="s">
        <v>4</v>
      </c>
      <c r="H4" s="427" t="s">
        <v>5</v>
      </c>
      <c r="I4" s="427" t="s">
        <v>10</v>
      </c>
    </row>
    <row r="5" spans="1:9" ht="44.25" customHeight="1">
      <c r="A5" s="759" t="s">
        <v>555</v>
      </c>
      <c r="B5" s="760"/>
      <c r="C5" s="773" t="s">
        <v>556</v>
      </c>
      <c r="D5" s="773"/>
      <c r="E5" s="773" t="s">
        <v>557</v>
      </c>
      <c r="F5" s="773" t="s">
        <v>558</v>
      </c>
      <c r="G5" s="771" t="s">
        <v>559</v>
      </c>
      <c r="H5" s="771" t="s">
        <v>560</v>
      </c>
      <c r="I5" s="428" t="s">
        <v>561</v>
      </c>
    </row>
    <row r="6" spans="1:9" ht="60" customHeight="1">
      <c r="A6" s="763"/>
      <c r="B6" s="764"/>
      <c r="C6" s="416" t="s">
        <v>562</v>
      </c>
      <c r="D6" s="416" t="s">
        <v>563</v>
      </c>
      <c r="E6" s="773"/>
      <c r="F6" s="773"/>
      <c r="G6" s="772"/>
      <c r="H6" s="772"/>
      <c r="I6" s="428" t="s">
        <v>564</v>
      </c>
    </row>
    <row r="7" spans="1:9">
      <c r="A7" s="394">
        <v>1</v>
      </c>
      <c r="B7" s="390" t="s">
        <v>96</v>
      </c>
      <c r="C7" s="657">
        <v>0</v>
      </c>
      <c r="D7" s="657">
        <v>91191499.268169716</v>
      </c>
      <c r="E7" s="657">
        <v>0</v>
      </c>
      <c r="F7" s="657">
        <v>131174.14682549762</v>
      </c>
      <c r="G7" s="657"/>
      <c r="H7" s="657"/>
      <c r="I7" s="672">
        <f t="shared" ref="I7:I23" si="0">C7+D7-E7-F7-G7</f>
        <v>91060325.121344224</v>
      </c>
    </row>
    <row r="8" spans="1:9">
      <c r="A8" s="394">
        <v>2</v>
      </c>
      <c r="B8" s="390" t="s">
        <v>97</v>
      </c>
      <c r="C8" s="657"/>
      <c r="D8" s="657"/>
      <c r="E8" s="657"/>
      <c r="F8" s="657"/>
      <c r="G8" s="657"/>
      <c r="H8" s="657"/>
      <c r="I8" s="672">
        <f t="shared" si="0"/>
        <v>0</v>
      </c>
    </row>
    <row r="9" spans="1:9">
      <c r="A9" s="394">
        <v>3</v>
      </c>
      <c r="B9" s="390" t="s">
        <v>269</v>
      </c>
      <c r="C9" s="657"/>
      <c r="D9" s="657"/>
      <c r="E9" s="657"/>
      <c r="F9" s="657"/>
      <c r="G9" s="657"/>
      <c r="H9" s="657"/>
      <c r="I9" s="672">
        <f t="shared" si="0"/>
        <v>0</v>
      </c>
    </row>
    <row r="10" spans="1:9">
      <c r="A10" s="394">
        <v>4</v>
      </c>
      <c r="B10" s="390" t="s">
        <v>98</v>
      </c>
      <c r="C10" s="657"/>
      <c r="D10" s="657"/>
      <c r="E10" s="657"/>
      <c r="F10" s="657"/>
      <c r="G10" s="657"/>
      <c r="H10" s="657"/>
      <c r="I10" s="672">
        <f t="shared" si="0"/>
        <v>0</v>
      </c>
    </row>
    <row r="11" spans="1:9">
      <c r="A11" s="394">
        <v>5</v>
      </c>
      <c r="B11" s="390" t="s">
        <v>99</v>
      </c>
      <c r="C11" s="657"/>
      <c r="D11" s="657"/>
      <c r="E11" s="657"/>
      <c r="F11" s="657"/>
      <c r="G11" s="657"/>
      <c r="H11" s="657"/>
      <c r="I11" s="672">
        <f t="shared" si="0"/>
        <v>0</v>
      </c>
    </row>
    <row r="12" spans="1:9">
      <c r="A12" s="394">
        <v>6</v>
      </c>
      <c r="B12" s="390" t="s">
        <v>100</v>
      </c>
      <c r="C12" s="657">
        <v>0</v>
      </c>
      <c r="D12" s="657">
        <v>20132601.600333001</v>
      </c>
      <c r="E12" s="657">
        <v>0</v>
      </c>
      <c r="F12" s="657">
        <v>0</v>
      </c>
      <c r="G12" s="657"/>
      <c r="H12" s="657"/>
      <c r="I12" s="672">
        <f t="shared" si="0"/>
        <v>20132601.600333001</v>
      </c>
    </row>
    <row r="13" spans="1:9">
      <c r="A13" s="394">
        <v>7</v>
      </c>
      <c r="B13" s="390" t="s">
        <v>101</v>
      </c>
      <c r="C13" s="657">
        <v>10003443.75</v>
      </c>
      <c r="D13" s="657">
        <v>244482750.9502852</v>
      </c>
      <c r="E13" s="657">
        <v>4511526.1279999996</v>
      </c>
      <c r="F13" s="657">
        <v>4601573.5860124249</v>
      </c>
      <c r="G13" s="657"/>
      <c r="H13" s="657"/>
      <c r="I13" s="672">
        <f t="shared" si="0"/>
        <v>245373094.98627278</v>
      </c>
    </row>
    <row r="14" spans="1:9">
      <c r="A14" s="394">
        <v>8</v>
      </c>
      <c r="B14" s="390" t="s">
        <v>102</v>
      </c>
      <c r="C14" s="657"/>
      <c r="D14" s="657"/>
      <c r="E14" s="657"/>
      <c r="F14" s="657"/>
      <c r="G14" s="657"/>
      <c r="H14" s="657"/>
      <c r="I14" s="672">
        <f t="shared" si="0"/>
        <v>0</v>
      </c>
    </row>
    <row r="15" spans="1:9">
      <c r="A15" s="394">
        <v>9</v>
      </c>
      <c r="B15" s="390" t="s">
        <v>103</v>
      </c>
      <c r="C15" s="657"/>
      <c r="D15" s="657"/>
      <c r="E15" s="657"/>
      <c r="F15" s="657"/>
      <c r="G15" s="657"/>
      <c r="H15" s="657"/>
      <c r="I15" s="672">
        <f t="shared" si="0"/>
        <v>0</v>
      </c>
    </row>
    <row r="16" spans="1:9">
      <c r="A16" s="394">
        <v>10</v>
      </c>
      <c r="B16" s="424" t="s">
        <v>565</v>
      </c>
      <c r="C16" s="657">
        <v>2070600.97</v>
      </c>
      <c r="D16" s="657">
        <v>0</v>
      </c>
      <c r="E16" s="657">
        <v>836546.48399999994</v>
      </c>
      <c r="F16" s="657">
        <v>0</v>
      </c>
      <c r="G16" s="657"/>
      <c r="H16" s="657"/>
      <c r="I16" s="672">
        <f t="shared" si="0"/>
        <v>1234054.486</v>
      </c>
    </row>
    <row r="17" spans="1:9">
      <c r="A17" s="394">
        <v>11</v>
      </c>
      <c r="B17" s="390" t="s">
        <v>105</v>
      </c>
      <c r="C17" s="657">
        <v>0</v>
      </c>
      <c r="D17" s="657">
        <v>0</v>
      </c>
      <c r="E17" s="657">
        <v>0</v>
      </c>
      <c r="F17" s="657">
        <v>0</v>
      </c>
      <c r="G17" s="657"/>
      <c r="H17" s="657"/>
      <c r="I17" s="672">
        <f t="shared" si="0"/>
        <v>0</v>
      </c>
    </row>
    <row r="18" spans="1:9">
      <c r="A18" s="394">
        <v>12</v>
      </c>
      <c r="B18" s="390" t="s">
        <v>106</v>
      </c>
      <c r="C18" s="657"/>
      <c r="D18" s="657"/>
      <c r="E18" s="657"/>
      <c r="F18" s="657"/>
      <c r="G18" s="657"/>
      <c r="H18" s="657"/>
      <c r="I18" s="672">
        <f t="shared" si="0"/>
        <v>0</v>
      </c>
    </row>
    <row r="19" spans="1:9">
      <c r="A19" s="394">
        <v>13</v>
      </c>
      <c r="B19" s="390" t="s">
        <v>247</v>
      </c>
      <c r="C19" s="657"/>
      <c r="D19" s="657"/>
      <c r="E19" s="657"/>
      <c r="F19" s="657"/>
      <c r="G19" s="657"/>
      <c r="H19" s="657"/>
      <c r="I19" s="672">
        <f t="shared" si="0"/>
        <v>0</v>
      </c>
    </row>
    <row r="20" spans="1:9">
      <c r="A20" s="394">
        <v>14</v>
      </c>
      <c r="B20" s="390" t="s">
        <v>108</v>
      </c>
      <c r="C20" s="657">
        <v>2878615.2881279998</v>
      </c>
      <c r="D20" s="657">
        <v>20432256.517923467</v>
      </c>
      <c r="E20" s="657">
        <v>1629572.758128</v>
      </c>
      <c r="F20" s="657">
        <v>99646.215599999996</v>
      </c>
      <c r="G20" s="657"/>
      <c r="H20" s="657"/>
      <c r="I20" s="672">
        <f t="shared" si="0"/>
        <v>21581652.832323469</v>
      </c>
    </row>
    <row r="21" spans="1:9" s="429" customFormat="1">
      <c r="A21" s="395">
        <v>15</v>
      </c>
      <c r="B21" s="398" t="s">
        <v>109</v>
      </c>
      <c r="C21" s="655">
        <f>SUM(C7:C15)+SUM(C17:C20)</f>
        <v>12882059.038128</v>
      </c>
      <c r="D21" s="655">
        <f t="shared" ref="D21:H21" si="1">SUM(D7:D15)+SUM(D17:D20)</f>
        <v>376239108.33671141</v>
      </c>
      <c r="E21" s="655">
        <f t="shared" si="1"/>
        <v>6141098.8861279991</v>
      </c>
      <c r="F21" s="655">
        <f t="shared" si="1"/>
        <v>4832393.9484379226</v>
      </c>
      <c r="G21" s="655">
        <v>1423935</v>
      </c>
      <c r="H21" s="655">
        <f t="shared" si="1"/>
        <v>0</v>
      </c>
      <c r="I21" s="672">
        <f t="shared" si="0"/>
        <v>376723739.54027349</v>
      </c>
    </row>
    <row r="22" spans="1:9">
      <c r="A22" s="430">
        <v>16</v>
      </c>
      <c r="B22" s="431" t="s">
        <v>566</v>
      </c>
      <c r="C22" s="657">
        <v>11264128.778127996</v>
      </c>
      <c r="D22" s="657">
        <v>238200711.27999988</v>
      </c>
      <c r="E22" s="657">
        <v>5258694.0161279999</v>
      </c>
      <c r="F22" s="657">
        <v>4296996.3458000012</v>
      </c>
      <c r="G22" s="657">
        <v>1423935</v>
      </c>
      <c r="H22" s="657"/>
      <c r="I22" s="672">
        <f t="shared" si="0"/>
        <v>238485214.69619986</v>
      </c>
    </row>
    <row r="23" spans="1:9">
      <c r="A23" s="430">
        <v>17</v>
      </c>
      <c r="B23" s="431" t="s">
        <v>567</v>
      </c>
      <c r="C23" s="657">
        <v>0</v>
      </c>
      <c r="D23" s="657">
        <v>35545954.098454922</v>
      </c>
      <c r="E23" s="657">
        <v>0</v>
      </c>
      <c r="F23" s="657">
        <v>535397.60263792181</v>
      </c>
      <c r="G23" s="657"/>
      <c r="H23" s="657"/>
      <c r="I23" s="672">
        <f t="shared" si="0"/>
        <v>35010556.495816998</v>
      </c>
    </row>
    <row r="26" spans="1:9" ht="38.25">
      <c r="B26" s="425" t="s">
        <v>693</v>
      </c>
    </row>
  </sheetData>
  <mergeCells count="6">
    <mergeCell ref="H5:H6"/>
    <mergeCell ref="A5:B6"/>
    <mergeCell ref="C5:D5"/>
    <mergeCell ref="E5:E6"/>
    <mergeCell ref="F5:F6"/>
    <mergeCell ref="G5:G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election activeCell="A5" sqref="A5:B6"/>
    </sheetView>
  </sheetViews>
  <sheetFormatPr defaultColWidth="9.28515625" defaultRowHeight="12.75"/>
  <cols>
    <col min="1" max="1" width="11" style="396" bestFit="1" customWidth="1"/>
    <col min="2" max="2" width="55.7109375" style="396" bestFit="1" customWidth="1"/>
    <col min="3" max="4" width="19.7109375" style="396" bestFit="1" customWidth="1"/>
    <col min="5" max="5" width="12.140625" style="396" bestFit="1" customWidth="1"/>
    <col min="6" max="6" width="13.140625" style="396" bestFit="1" customWidth="1"/>
    <col min="7" max="7" width="14.42578125" style="396" customWidth="1"/>
    <col min="8" max="8" width="16.42578125" style="396" customWidth="1"/>
    <col min="9" max="9" width="15.5703125" style="396" bestFit="1" customWidth="1"/>
    <col min="10" max="16384" width="9.28515625" style="396"/>
  </cols>
  <sheetData>
    <row r="1" spans="1:9" ht="13.5">
      <c r="A1" s="387" t="s">
        <v>30</v>
      </c>
      <c r="B1" s="450" t="str">
        <f>'Info '!C2</f>
        <v>JSC Isbank Georgia</v>
      </c>
    </row>
    <row r="2" spans="1:9" ht="13.5">
      <c r="A2" s="388" t="s">
        <v>31</v>
      </c>
      <c r="B2" s="451">
        <f>'1. key ratios '!B2</f>
        <v>44561</v>
      </c>
    </row>
    <row r="3" spans="1:9">
      <c r="A3" s="389" t="s">
        <v>568</v>
      </c>
    </row>
    <row r="4" spans="1:9">
      <c r="C4" s="427" t="s">
        <v>0</v>
      </c>
      <c r="D4" s="427" t="s">
        <v>1</v>
      </c>
      <c r="E4" s="427" t="s">
        <v>2</v>
      </c>
      <c r="F4" s="427" t="s">
        <v>3</v>
      </c>
      <c r="G4" s="427" t="s">
        <v>4</v>
      </c>
      <c r="H4" s="427" t="s">
        <v>5</v>
      </c>
      <c r="I4" s="427" t="s">
        <v>10</v>
      </c>
    </row>
    <row r="5" spans="1:9" ht="46.5" customHeight="1">
      <c r="A5" s="759" t="s">
        <v>708</v>
      </c>
      <c r="B5" s="760"/>
      <c r="C5" s="773" t="s">
        <v>556</v>
      </c>
      <c r="D5" s="773"/>
      <c r="E5" s="773" t="s">
        <v>557</v>
      </c>
      <c r="F5" s="773" t="s">
        <v>558</v>
      </c>
      <c r="G5" s="771" t="s">
        <v>559</v>
      </c>
      <c r="H5" s="771" t="s">
        <v>560</v>
      </c>
      <c r="I5" s="428" t="s">
        <v>561</v>
      </c>
    </row>
    <row r="6" spans="1:9" ht="75" customHeight="1">
      <c r="A6" s="763"/>
      <c r="B6" s="764"/>
      <c r="C6" s="416" t="s">
        <v>562</v>
      </c>
      <c r="D6" s="416" t="s">
        <v>563</v>
      </c>
      <c r="E6" s="773"/>
      <c r="F6" s="773"/>
      <c r="G6" s="772"/>
      <c r="H6" s="772"/>
      <c r="I6" s="428" t="s">
        <v>564</v>
      </c>
    </row>
    <row r="7" spans="1:9">
      <c r="A7" s="393">
        <v>1</v>
      </c>
      <c r="B7" s="397" t="s">
        <v>698</v>
      </c>
      <c r="C7" s="657">
        <v>7152.79</v>
      </c>
      <c r="D7" s="657">
        <v>103618234.77816972</v>
      </c>
      <c r="E7" s="657">
        <v>5490.3099999999995</v>
      </c>
      <c r="F7" s="657">
        <v>376981.43242549762</v>
      </c>
      <c r="G7" s="657"/>
      <c r="H7" s="657"/>
      <c r="I7" s="672">
        <f t="shared" ref="I7:I34" si="0">C7+D7-E7-F7-G7</f>
        <v>103242915.82574423</v>
      </c>
    </row>
    <row r="8" spans="1:9">
      <c r="A8" s="393">
        <v>2</v>
      </c>
      <c r="B8" s="397" t="s">
        <v>569</v>
      </c>
      <c r="C8" s="657">
        <v>3105.52</v>
      </c>
      <c r="D8" s="657">
        <v>61112591.408492997</v>
      </c>
      <c r="E8" s="657">
        <v>1552.76</v>
      </c>
      <c r="F8" s="657">
        <v>816133.5316000001</v>
      </c>
      <c r="G8" s="657"/>
      <c r="H8" s="657"/>
      <c r="I8" s="672">
        <f t="shared" si="0"/>
        <v>60298010.636893004</v>
      </c>
    </row>
    <row r="9" spans="1:9">
      <c r="A9" s="393">
        <v>3</v>
      </c>
      <c r="B9" s="397" t="s">
        <v>570</v>
      </c>
      <c r="C9" s="657"/>
      <c r="D9" s="657"/>
      <c r="E9" s="657"/>
      <c r="F9" s="657"/>
      <c r="G9" s="657"/>
      <c r="H9" s="657"/>
      <c r="I9" s="672">
        <f t="shared" si="0"/>
        <v>0</v>
      </c>
    </row>
    <row r="10" spans="1:9">
      <c r="A10" s="393">
        <v>4</v>
      </c>
      <c r="B10" s="397" t="s">
        <v>699</v>
      </c>
      <c r="C10" s="657">
        <v>592618.59</v>
      </c>
      <c r="D10" s="657">
        <v>24581319.550000001</v>
      </c>
      <c r="E10" s="657">
        <v>176605.69700000001</v>
      </c>
      <c r="F10" s="657">
        <v>490827.63959999994</v>
      </c>
      <c r="G10" s="657"/>
      <c r="H10" s="657"/>
      <c r="I10" s="672">
        <f t="shared" si="0"/>
        <v>24506504.803399999</v>
      </c>
    </row>
    <row r="11" spans="1:9">
      <c r="A11" s="393">
        <v>5</v>
      </c>
      <c r="B11" s="397" t="s">
        <v>571</v>
      </c>
      <c r="C11" s="657">
        <v>0</v>
      </c>
      <c r="D11" s="657">
        <v>13130264.119999999</v>
      </c>
      <c r="E11" s="657">
        <v>0</v>
      </c>
      <c r="F11" s="657">
        <v>262131.65059999999</v>
      </c>
      <c r="G11" s="657"/>
      <c r="H11" s="657"/>
      <c r="I11" s="672">
        <f t="shared" si="0"/>
        <v>12868132.4694</v>
      </c>
    </row>
    <row r="12" spans="1:9">
      <c r="A12" s="393">
        <v>6</v>
      </c>
      <c r="B12" s="397" t="s">
        <v>572</v>
      </c>
      <c r="C12" s="657">
        <v>26923.33</v>
      </c>
      <c r="D12" s="657">
        <v>2380645.9000000004</v>
      </c>
      <c r="E12" s="657">
        <v>22980.775000000001</v>
      </c>
      <c r="F12" s="657">
        <v>47183.566600000006</v>
      </c>
      <c r="G12" s="657"/>
      <c r="H12" s="657"/>
      <c r="I12" s="672">
        <f t="shared" si="0"/>
        <v>2337404.8884000005</v>
      </c>
    </row>
    <row r="13" spans="1:9">
      <c r="A13" s="393">
        <v>7</v>
      </c>
      <c r="B13" s="397" t="s">
        <v>573</v>
      </c>
      <c r="C13" s="657">
        <v>0</v>
      </c>
      <c r="D13" s="657">
        <v>16727407.320000002</v>
      </c>
      <c r="E13" s="657">
        <v>0</v>
      </c>
      <c r="F13" s="657">
        <v>333852.59500000003</v>
      </c>
      <c r="G13" s="657"/>
      <c r="H13" s="657"/>
      <c r="I13" s="672">
        <f t="shared" si="0"/>
        <v>16393554.725000001</v>
      </c>
    </row>
    <row r="14" spans="1:9">
      <c r="A14" s="393">
        <v>8</v>
      </c>
      <c r="B14" s="397" t="s">
        <v>574</v>
      </c>
      <c r="C14" s="657">
        <v>914380.89999999991</v>
      </c>
      <c r="D14" s="657">
        <v>9750757.7000000011</v>
      </c>
      <c r="E14" s="657">
        <v>438441.69700000004</v>
      </c>
      <c r="F14" s="657">
        <v>194145.27680000005</v>
      </c>
      <c r="G14" s="657"/>
      <c r="H14" s="657"/>
      <c r="I14" s="672">
        <f t="shared" si="0"/>
        <v>10032551.626200002</v>
      </c>
    </row>
    <row r="15" spans="1:9">
      <c r="A15" s="393">
        <v>9</v>
      </c>
      <c r="B15" s="397" t="s">
        <v>575</v>
      </c>
      <c r="C15" s="657">
        <v>0</v>
      </c>
      <c r="D15" s="657">
        <v>10867138.710662641</v>
      </c>
      <c r="E15" s="657">
        <v>0</v>
      </c>
      <c r="F15" s="657">
        <v>216394.97981325281</v>
      </c>
      <c r="G15" s="657"/>
      <c r="H15" s="657"/>
      <c r="I15" s="672">
        <f t="shared" si="0"/>
        <v>10650743.730849387</v>
      </c>
    </row>
    <row r="16" spans="1:9">
      <c r="A16" s="393">
        <v>10</v>
      </c>
      <c r="B16" s="397" t="s">
        <v>576</v>
      </c>
      <c r="C16" s="657">
        <v>1762934.98</v>
      </c>
      <c r="D16" s="657">
        <v>4522836.8</v>
      </c>
      <c r="E16" s="657">
        <v>528880.49399999995</v>
      </c>
      <c r="F16" s="657">
        <v>89707.044000000009</v>
      </c>
      <c r="G16" s="657"/>
      <c r="H16" s="657"/>
      <c r="I16" s="672">
        <f t="shared" si="0"/>
        <v>5667184.2419999996</v>
      </c>
    </row>
    <row r="17" spans="1:10">
      <c r="A17" s="393">
        <v>11</v>
      </c>
      <c r="B17" s="397" t="s">
        <v>577</v>
      </c>
      <c r="C17" s="657">
        <v>26559.730000000003</v>
      </c>
      <c r="D17" s="657">
        <v>13382202.720000001</v>
      </c>
      <c r="E17" s="657">
        <v>954418.9929999999</v>
      </c>
      <c r="F17" s="657">
        <v>75984.975999999995</v>
      </c>
      <c r="G17" s="657"/>
      <c r="H17" s="657"/>
      <c r="I17" s="672">
        <f t="shared" si="0"/>
        <v>12378358.481000001</v>
      </c>
    </row>
    <row r="18" spans="1:10">
      <c r="A18" s="393">
        <v>12</v>
      </c>
      <c r="B18" s="397" t="s">
        <v>578</v>
      </c>
      <c r="C18" s="657">
        <v>184696.53999999998</v>
      </c>
      <c r="D18" s="657">
        <v>3354742.31</v>
      </c>
      <c r="E18" s="657">
        <v>123822.183</v>
      </c>
      <c r="F18" s="657">
        <v>65753.892200000002</v>
      </c>
      <c r="G18" s="657"/>
      <c r="H18" s="657"/>
      <c r="I18" s="672">
        <f t="shared" si="0"/>
        <v>3349862.7747999998</v>
      </c>
    </row>
    <row r="19" spans="1:10">
      <c r="A19" s="393">
        <v>13</v>
      </c>
      <c r="B19" s="397" t="s">
        <v>579</v>
      </c>
      <c r="C19" s="657">
        <v>25571.399999999998</v>
      </c>
      <c r="D19" s="657">
        <v>3267332.15</v>
      </c>
      <c r="E19" s="657">
        <v>322236.75400000002</v>
      </c>
      <c r="F19" s="657">
        <v>5678.3321999999998</v>
      </c>
      <c r="G19" s="657"/>
      <c r="H19" s="657"/>
      <c r="I19" s="672">
        <f t="shared" si="0"/>
        <v>2964988.4637999996</v>
      </c>
    </row>
    <row r="20" spans="1:10">
      <c r="A20" s="393">
        <v>14</v>
      </c>
      <c r="B20" s="397" t="s">
        <v>580</v>
      </c>
      <c r="C20" s="657">
        <v>7311509.5899999999</v>
      </c>
      <c r="D20" s="657">
        <v>9041162.7799999993</v>
      </c>
      <c r="E20" s="657">
        <v>2233692.014</v>
      </c>
      <c r="F20" s="657">
        <v>180628.21160000001</v>
      </c>
      <c r="G20" s="657"/>
      <c r="H20" s="657"/>
      <c r="I20" s="672">
        <f t="shared" si="0"/>
        <v>13938352.144399999</v>
      </c>
    </row>
    <row r="21" spans="1:10">
      <c r="A21" s="393">
        <v>15</v>
      </c>
      <c r="B21" s="397" t="s">
        <v>581</v>
      </c>
      <c r="C21" s="657">
        <v>463.09</v>
      </c>
      <c r="D21" s="657">
        <v>2856315.77</v>
      </c>
      <c r="E21" s="657">
        <v>463.09</v>
      </c>
      <c r="F21" s="657">
        <v>56861.843000000001</v>
      </c>
      <c r="G21" s="657"/>
      <c r="H21" s="657"/>
      <c r="I21" s="672">
        <f t="shared" si="0"/>
        <v>2799453.9270000001</v>
      </c>
    </row>
    <row r="22" spans="1:10">
      <c r="A22" s="393">
        <v>16</v>
      </c>
      <c r="B22" s="397" t="s">
        <v>582</v>
      </c>
      <c r="C22" s="657">
        <v>0</v>
      </c>
      <c r="D22" s="657">
        <v>0</v>
      </c>
      <c r="E22" s="657">
        <v>0</v>
      </c>
      <c r="F22" s="657">
        <v>0</v>
      </c>
      <c r="G22" s="657"/>
      <c r="H22" s="657"/>
      <c r="I22" s="672">
        <f t="shared" si="0"/>
        <v>0</v>
      </c>
    </row>
    <row r="23" spans="1:10">
      <c r="A23" s="393">
        <v>17</v>
      </c>
      <c r="B23" s="397" t="s">
        <v>702</v>
      </c>
      <c r="C23" s="657">
        <v>0</v>
      </c>
      <c r="D23" s="657">
        <v>0</v>
      </c>
      <c r="E23" s="657">
        <v>0</v>
      </c>
      <c r="F23" s="657">
        <v>0</v>
      </c>
      <c r="G23" s="657"/>
      <c r="H23" s="657"/>
      <c r="I23" s="672">
        <f t="shared" si="0"/>
        <v>0</v>
      </c>
    </row>
    <row r="24" spans="1:10">
      <c r="A24" s="393">
        <v>18</v>
      </c>
      <c r="B24" s="397" t="s">
        <v>583</v>
      </c>
      <c r="C24" s="657">
        <v>0</v>
      </c>
      <c r="D24" s="657">
        <v>47639429.130281843</v>
      </c>
      <c r="E24" s="657">
        <v>0</v>
      </c>
      <c r="F24" s="657">
        <v>945662.6292648369</v>
      </c>
      <c r="G24" s="657"/>
      <c r="H24" s="657"/>
      <c r="I24" s="672">
        <f t="shared" si="0"/>
        <v>46693766.501017004</v>
      </c>
    </row>
    <row r="25" spans="1:10">
      <c r="A25" s="393">
        <v>19</v>
      </c>
      <c r="B25" s="397" t="s">
        <v>584</v>
      </c>
      <c r="C25" s="657">
        <v>0</v>
      </c>
      <c r="D25" s="657">
        <v>3509439.3</v>
      </c>
      <c r="E25" s="657">
        <v>0</v>
      </c>
      <c r="F25" s="657">
        <v>70076.986799999999</v>
      </c>
      <c r="G25" s="657"/>
      <c r="H25" s="657"/>
      <c r="I25" s="672">
        <f t="shared" si="0"/>
        <v>3439362.3131999997</v>
      </c>
    </row>
    <row r="26" spans="1:10">
      <c r="A26" s="393">
        <v>20</v>
      </c>
      <c r="B26" s="397" t="s">
        <v>701</v>
      </c>
      <c r="C26" s="657">
        <v>42705.170000000006</v>
      </c>
      <c r="D26" s="657">
        <v>8232247.9699999997</v>
      </c>
      <c r="E26" s="657">
        <v>37430.376000000011</v>
      </c>
      <c r="F26" s="657">
        <v>163564.18239999999</v>
      </c>
      <c r="G26" s="657"/>
      <c r="H26" s="657"/>
      <c r="I26" s="672">
        <f t="shared" si="0"/>
        <v>8073958.5815999992</v>
      </c>
      <c r="J26" s="399"/>
    </row>
    <row r="27" spans="1:10">
      <c r="A27" s="393">
        <v>21</v>
      </c>
      <c r="B27" s="397" t="s">
        <v>585</v>
      </c>
      <c r="C27" s="657">
        <v>0</v>
      </c>
      <c r="D27" s="657">
        <v>56999.42</v>
      </c>
      <c r="E27" s="657">
        <v>0</v>
      </c>
      <c r="F27" s="657">
        <v>1131.4942000000001</v>
      </c>
      <c r="G27" s="657"/>
      <c r="H27" s="657"/>
      <c r="I27" s="672">
        <f t="shared" si="0"/>
        <v>55867.925799999997</v>
      </c>
      <c r="J27" s="399"/>
    </row>
    <row r="28" spans="1:10">
      <c r="A28" s="393">
        <v>22</v>
      </c>
      <c r="B28" s="397" t="s">
        <v>586</v>
      </c>
      <c r="C28" s="657">
        <v>0</v>
      </c>
      <c r="D28" s="657">
        <v>1168554.6780114486</v>
      </c>
      <c r="E28" s="657">
        <v>0</v>
      </c>
      <c r="F28" s="657">
        <v>23000.017960228972</v>
      </c>
      <c r="G28" s="657"/>
      <c r="H28" s="657"/>
      <c r="I28" s="672">
        <f t="shared" si="0"/>
        <v>1145554.6600512196</v>
      </c>
      <c r="J28" s="399"/>
    </row>
    <row r="29" spans="1:10">
      <c r="A29" s="393">
        <v>23</v>
      </c>
      <c r="B29" s="397" t="s">
        <v>587</v>
      </c>
      <c r="C29" s="657">
        <v>163403.98812800003</v>
      </c>
      <c r="D29" s="657">
        <v>21507085.383169282</v>
      </c>
      <c r="E29" s="657">
        <v>192840.99412800005</v>
      </c>
      <c r="F29" s="657">
        <v>409770.39577410568</v>
      </c>
      <c r="G29" s="657"/>
      <c r="H29" s="657"/>
      <c r="I29" s="672">
        <f t="shared" si="0"/>
        <v>21067877.981395174</v>
      </c>
      <c r="J29" s="399"/>
    </row>
    <row r="30" spans="1:10">
      <c r="A30" s="393">
        <v>24</v>
      </c>
      <c r="B30" s="397" t="s">
        <v>700</v>
      </c>
      <c r="C30" s="657">
        <v>0</v>
      </c>
      <c r="D30" s="657">
        <v>0</v>
      </c>
      <c r="E30" s="657">
        <v>0</v>
      </c>
      <c r="F30" s="657">
        <v>0</v>
      </c>
      <c r="G30" s="657"/>
      <c r="H30" s="657"/>
      <c r="I30" s="672">
        <f t="shared" si="0"/>
        <v>0</v>
      </c>
      <c r="J30" s="399"/>
    </row>
    <row r="31" spans="1:10">
      <c r="A31" s="393">
        <v>25</v>
      </c>
      <c r="B31" s="397" t="s">
        <v>588</v>
      </c>
      <c r="C31" s="657">
        <v>202103.16</v>
      </c>
      <c r="D31" s="657">
        <v>533193.23999999987</v>
      </c>
      <c r="E31" s="657">
        <v>219837.87900000002</v>
      </c>
      <c r="F31" s="657">
        <v>6923.2705999999998</v>
      </c>
      <c r="G31" s="657"/>
      <c r="H31" s="657"/>
      <c r="I31" s="672">
        <f t="shared" si="0"/>
        <v>508535.2503999999</v>
      </c>
      <c r="J31" s="399"/>
    </row>
    <row r="32" spans="1:10">
      <c r="A32" s="393">
        <v>26</v>
      </c>
      <c r="B32" s="397" t="s">
        <v>697</v>
      </c>
      <c r="C32" s="657">
        <v>0</v>
      </c>
      <c r="D32" s="657">
        <v>0</v>
      </c>
      <c r="E32" s="657">
        <v>0</v>
      </c>
      <c r="F32" s="657">
        <v>0</v>
      </c>
      <c r="G32" s="657"/>
      <c r="H32" s="657"/>
      <c r="I32" s="672">
        <f t="shared" si="0"/>
        <v>0</v>
      </c>
      <c r="J32" s="399"/>
    </row>
    <row r="33" spans="1:10">
      <c r="A33" s="393">
        <v>27</v>
      </c>
      <c r="B33" s="393" t="s">
        <v>589</v>
      </c>
      <c r="C33" s="657">
        <v>1617930.26</v>
      </c>
      <c r="D33" s="657">
        <v>14999207.19792347</v>
      </c>
      <c r="E33" s="657">
        <v>882404.87</v>
      </c>
      <c r="F33" s="657"/>
      <c r="G33" s="657"/>
      <c r="H33" s="657"/>
      <c r="I33" s="672">
        <f t="shared" si="0"/>
        <v>15734732.587923471</v>
      </c>
      <c r="J33" s="399"/>
    </row>
    <row r="34" spans="1:10">
      <c r="A34" s="393">
        <v>28</v>
      </c>
      <c r="B34" s="398" t="s">
        <v>109</v>
      </c>
      <c r="C34" s="655">
        <f>SUM(C7:C33)</f>
        <v>12882059.038128</v>
      </c>
      <c r="D34" s="655">
        <f t="shared" ref="D34:H34" si="1">SUM(D7:D33)</f>
        <v>376239108.33671153</v>
      </c>
      <c r="E34" s="655">
        <f t="shared" si="1"/>
        <v>6141098.886128</v>
      </c>
      <c r="F34" s="655">
        <f t="shared" si="1"/>
        <v>4832393.9484379226</v>
      </c>
      <c r="G34" s="655">
        <v>1423935</v>
      </c>
      <c r="H34" s="655">
        <f t="shared" si="1"/>
        <v>0</v>
      </c>
      <c r="I34" s="672">
        <f t="shared" si="0"/>
        <v>376723739.54027361</v>
      </c>
      <c r="J34" s="399"/>
    </row>
    <row r="35" spans="1:10">
      <c r="A35" s="399"/>
      <c r="B35" s="399"/>
      <c r="C35" s="399"/>
      <c r="D35" s="399"/>
      <c r="E35" s="399"/>
      <c r="F35" s="399"/>
      <c r="G35" s="399"/>
      <c r="H35" s="399"/>
      <c r="I35" s="399"/>
      <c r="J35" s="399"/>
    </row>
    <row r="36" spans="1:10">
      <c r="A36" s="399"/>
      <c r="B36" s="432"/>
      <c r="C36" s="399"/>
      <c r="D36" s="399"/>
      <c r="E36" s="399"/>
      <c r="F36" s="399"/>
      <c r="G36" s="399"/>
      <c r="H36" s="399"/>
      <c r="I36" s="399"/>
      <c r="J36" s="399"/>
    </row>
    <row r="37" spans="1:10">
      <c r="A37" s="399"/>
      <c r="B37" s="399"/>
      <c r="C37" s="399"/>
      <c r="D37" s="399"/>
      <c r="E37" s="399"/>
      <c r="F37" s="399"/>
      <c r="G37" s="399"/>
      <c r="H37" s="399"/>
      <c r="I37" s="399"/>
      <c r="J37" s="399"/>
    </row>
    <row r="38" spans="1:10">
      <c r="A38" s="399"/>
      <c r="B38" s="399"/>
      <c r="C38" s="399"/>
      <c r="D38" s="399"/>
      <c r="E38" s="399"/>
      <c r="F38" s="399"/>
      <c r="G38" s="399"/>
      <c r="H38" s="399"/>
      <c r="I38" s="399"/>
      <c r="J38" s="399"/>
    </row>
    <row r="39" spans="1:10">
      <c r="A39" s="399"/>
      <c r="B39" s="399"/>
      <c r="C39" s="399"/>
      <c r="D39" s="399"/>
      <c r="E39" s="399"/>
      <c r="F39" s="399"/>
      <c r="G39" s="399"/>
      <c r="H39" s="399"/>
      <c r="I39" s="399"/>
      <c r="J39" s="399"/>
    </row>
    <row r="40" spans="1:10">
      <c r="A40" s="399"/>
      <c r="B40" s="399"/>
      <c r="C40" s="399"/>
      <c r="D40" s="399"/>
      <c r="E40" s="399"/>
      <c r="F40" s="399"/>
      <c r="G40" s="399"/>
      <c r="H40" s="399"/>
      <c r="I40" s="399"/>
      <c r="J40" s="399"/>
    </row>
    <row r="41" spans="1:10">
      <c r="A41" s="399"/>
      <c r="B41" s="399"/>
      <c r="C41" s="399"/>
      <c r="D41" s="399"/>
      <c r="E41" s="399"/>
      <c r="F41" s="399"/>
      <c r="G41" s="399"/>
      <c r="H41" s="399"/>
      <c r="I41" s="399"/>
      <c r="J41" s="399"/>
    </row>
    <row r="42" spans="1:10">
      <c r="A42" s="433"/>
      <c r="B42" s="433"/>
      <c r="C42" s="399"/>
      <c r="D42" s="399"/>
      <c r="E42" s="399"/>
      <c r="F42" s="399"/>
      <c r="G42" s="399"/>
      <c r="H42" s="399"/>
      <c r="I42" s="399"/>
      <c r="J42" s="399"/>
    </row>
    <row r="43" spans="1:10">
      <c r="A43" s="433"/>
      <c r="B43" s="433"/>
      <c r="C43" s="399"/>
      <c r="D43" s="399"/>
      <c r="E43" s="399"/>
      <c r="F43" s="399"/>
      <c r="G43" s="399"/>
      <c r="H43" s="399"/>
      <c r="I43" s="399"/>
      <c r="J43" s="399"/>
    </row>
    <row r="44" spans="1:10">
      <c r="A44" s="399"/>
      <c r="B44" s="399"/>
      <c r="C44" s="399"/>
      <c r="D44" s="399"/>
      <c r="E44" s="399"/>
      <c r="F44" s="399"/>
      <c r="G44" s="399"/>
      <c r="H44" s="399"/>
      <c r="I44" s="399"/>
      <c r="J44" s="399"/>
    </row>
    <row r="45" spans="1:10">
      <c r="A45" s="399"/>
      <c r="B45" s="399"/>
      <c r="C45" s="399"/>
      <c r="D45" s="399"/>
      <c r="E45" s="399"/>
      <c r="F45" s="399"/>
      <c r="G45" s="399"/>
      <c r="H45" s="399"/>
      <c r="I45" s="399"/>
      <c r="J45" s="399"/>
    </row>
    <row r="46" spans="1:10">
      <c r="A46" s="399"/>
      <c r="B46" s="399"/>
      <c r="C46" s="399"/>
      <c r="D46" s="399"/>
      <c r="E46" s="399"/>
      <c r="F46" s="399"/>
      <c r="G46" s="399"/>
      <c r="H46" s="399"/>
      <c r="I46" s="399"/>
      <c r="J46" s="399"/>
    </row>
    <row r="47" spans="1:10">
      <c r="A47" s="399"/>
      <c r="B47" s="399"/>
      <c r="C47" s="399"/>
      <c r="D47" s="399"/>
      <c r="E47" s="399"/>
      <c r="F47" s="399"/>
      <c r="G47" s="399"/>
      <c r="H47" s="399"/>
      <c r="I47" s="399"/>
      <c r="J47" s="399"/>
    </row>
  </sheetData>
  <mergeCells count="6">
    <mergeCell ref="H5:H6"/>
    <mergeCell ref="A5:B6"/>
    <mergeCell ref="C5:D5"/>
    <mergeCell ref="E5:E6"/>
    <mergeCell ref="F5:F6"/>
    <mergeCell ref="G5:G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Normal="100" workbookViewId="0">
      <selection activeCell="A5" sqref="A5:B5"/>
    </sheetView>
  </sheetViews>
  <sheetFormatPr defaultColWidth="9.28515625" defaultRowHeight="12.75"/>
  <cols>
    <col min="1" max="1" width="11.7109375" style="396" bestFit="1" customWidth="1"/>
    <col min="2" max="2" width="65.5703125" style="396" bestFit="1" customWidth="1"/>
    <col min="3" max="3" width="32" style="396" bestFit="1" customWidth="1"/>
    <col min="4" max="4" width="31.7109375" style="396" bestFit="1" customWidth="1"/>
    <col min="5" max="16384" width="9.28515625" style="396"/>
  </cols>
  <sheetData>
    <row r="1" spans="1:4" ht="13.5">
      <c r="A1" s="387" t="s">
        <v>30</v>
      </c>
      <c r="B1" s="450" t="str">
        <f>'Info '!C2</f>
        <v>JSC Isbank Georgia</v>
      </c>
    </row>
    <row r="2" spans="1:4" ht="13.5">
      <c r="A2" s="388" t="s">
        <v>31</v>
      </c>
      <c r="B2" s="451">
        <f>'1. key ratios '!B2</f>
        <v>44561</v>
      </c>
    </row>
    <row r="3" spans="1:4">
      <c r="A3" s="389" t="s">
        <v>590</v>
      </c>
    </row>
    <row r="5" spans="1:4" ht="38.25">
      <c r="A5" s="774" t="s">
        <v>591</v>
      </c>
      <c r="B5" s="774"/>
      <c r="C5" s="420" t="s">
        <v>592</v>
      </c>
      <c r="D5" s="420" t="s">
        <v>593</v>
      </c>
    </row>
    <row r="6" spans="1:4">
      <c r="A6" s="400">
        <v>1</v>
      </c>
      <c r="B6" s="401" t="s">
        <v>594</v>
      </c>
      <c r="C6" s="658">
        <v>11197353.220000001</v>
      </c>
      <c r="D6" s="658">
        <v>539086.04333544616</v>
      </c>
    </row>
    <row r="7" spans="1:4">
      <c r="A7" s="402">
        <v>2</v>
      </c>
      <c r="B7" s="401" t="s">
        <v>595</v>
      </c>
      <c r="C7" s="658">
        <f>SUM(C8:C11)</f>
        <v>1832507.0158939455</v>
      </c>
      <c r="D7" s="658">
        <f>SUM(D8:D11)</f>
        <v>61890.871511182704</v>
      </c>
    </row>
    <row r="8" spans="1:4">
      <c r="A8" s="403">
        <v>2.1</v>
      </c>
      <c r="B8" s="404" t="s">
        <v>705</v>
      </c>
      <c r="C8" s="657">
        <v>1832043.5318939455</v>
      </c>
      <c r="D8" s="657">
        <v>61890.871511182704</v>
      </c>
    </row>
    <row r="9" spans="1:4">
      <c r="A9" s="403">
        <v>2.2000000000000002</v>
      </c>
      <c r="B9" s="404" t="s">
        <v>703</v>
      </c>
      <c r="C9" s="657">
        <v>463.48400000000004</v>
      </c>
      <c r="D9" s="657">
        <v>0</v>
      </c>
    </row>
    <row r="10" spans="1:4" ht="25.5">
      <c r="A10" s="403">
        <v>2.2999999999999998</v>
      </c>
      <c r="B10" s="404" t="s">
        <v>596</v>
      </c>
      <c r="C10" s="657">
        <v>0</v>
      </c>
      <c r="D10" s="657">
        <v>0</v>
      </c>
    </row>
    <row r="11" spans="1:4">
      <c r="A11" s="403">
        <v>2.4</v>
      </c>
      <c r="B11" s="404" t="s">
        <v>597</v>
      </c>
      <c r="C11" s="657">
        <v>0</v>
      </c>
      <c r="D11" s="657">
        <v>0</v>
      </c>
    </row>
    <row r="12" spans="1:4">
      <c r="A12" s="400">
        <v>3</v>
      </c>
      <c r="B12" s="401" t="s">
        <v>598</v>
      </c>
      <c r="C12" s="658">
        <f>SUM(C13:C18)</f>
        <v>2050234.8739659456</v>
      </c>
      <c r="D12" s="658">
        <f>SUM(D13:D18)</f>
        <v>65579.312208707255</v>
      </c>
    </row>
    <row r="13" spans="1:4">
      <c r="A13" s="403">
        <v>3.1</v>
      </c>
      <c r="B13" s="404" t="s">
        <v>599</v>
      </c>
      <c r="C13" s="657"/>
      <c r="D13" s="657"/>
    </row>
    <row r="14" spans="1:4">
      <c r="A14" s="403">
        <v>3.2</v>
      </c>
      <c r="B14" s="404" t="s">
        <v>600</v>
      </c>
      <c r="C14" s="657">
        <v>1815517.4263853754</v>
      </c>
      <c r="D14" s="657">
        <v>63355.406141095067</v>
      </c>
    </row>
    <row r="15" spans="1:4">
      <c r="A15" s="403">
        <v>3.3</v>
      </c>
      <c r="B15" s="404" t="s">
        <v>694</v>
      </c>
      <c r="C15" s="657">
        <v>66175.281968259253</v>
      </c>
      <c r="D15" s="657">
        <v>0</v>
      </c>
    </row>
    <row r="16" spans="1:4">
      <c r="A16" s="403">
        <v>3.4</v>
      </c>
      <c r="B16" s="404" t="s">
        <v>704</v>
      </c>
      <c r="C16" s="657">
        <v>0</v>
      </c>
      <c r="D16" s="657"/>
    </row>
    <row r="17" spans="1:4" ht="25.5">
      <c r="A17" s="402">
        <v>3.5</v>
      </c>
      <c r="B17" s="404" t="s">
        <v>601</v>
      </c>
      <c r="C17" s="657">
        <v>168542.16561231081</v>
      </c>
      <c r="D17" s="657">
        <v>2223.9060676121826</v>
      </c>
    </row>
    <row r="18" spans="1:4">
      <c r="A18" s="403">
        <v>3.6</v>
      </c>
      <c r="B18" s="404" t="s">
        <v>602</v>
      </c>
      <c r="C18" s="657">
        <v>0</v>
      </c>
      <c r="D18" s="657">
        <v>0</v>
      </c>
    </row>
    <row r="19" spans="1:4">
      <c r="A19" s="405">
        <v>4</v>
      </c>
      <c r="B19" s="401" t="s">
        <v>603</v>
      </c>
      <c r="C19" s="655">
        <f>C6+C7-C12</f>
        <v>10979625.361928001</v>
      </c>
      <c r="D19" s="655">
        <f>D6+D7-D12</f>
        <v>535397.60263792169</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Normal="100" workbookViewId="0">
      <selection activeCell="A5" sqref="A5:B6"/>
    </sheetView>
  </sheetViews>
  <sheetFormatPr defaultColWidth="9.28515625" defaultRowHeight="12.75"/>
  <cols>
    <col min="1" max="1" width="11.7109375" style="396" bestFit="1" customWidth="1"/>
    <col min="2" max="2" width="64.28515625" style="396" bestFit="1" customWidth="1"/>
    <col min="3" max="3" width="38.28515625" style="396" bestFit="1" customWidth="1"/>
    <col min="4" max="4" width="39.28515625" style="396" customWidth="1"/>
    <col min="5" max="16384" width="9.28515625" style="396"/>
  </cols>
  <sheetData>
    <row r="1" spans="1:4" ht="13.5">
      <c r="A1" s="387" t="s">
        <v>30</v>
      </c>
      <c r="B1" s="450" t="str">
        <f>'Info '!C2</f>
        <v>JSC Isbank Georgia</v>
      </c>
    </row>
    <row r="2" spans="1:4" ht="13.5">
      <c r="A2" s="388" t="s">
        <v>31</v>
      </c>
      <c r="B2" s="451">
        <f>'1. key ratios '!B2</f>
        <v>44561</v>
      </c>
    </row>
    <row r="3" spans="1:4">
      <c r="A3" s="389" t="s">
        <v>604</v>
      </c>
    </row>
    <row r="4" spans="1:4">
      <c r="A4" s="389"/>
    </row>
    <row r="5" spans="1:4" ht="15" customHeight="1">
      <c r="A5" s="775" t="s">
        <v>706</v>
      </c>
      <c r="B5" s="776"/>
      <c r="C5" s="765" t="s">
        <v>605</v>
      </c>
      <c r="D5" s="779" t="s">
        <v>606</v>
      </c>
    </row>
    <row r="6" spans="1:4">
      <c r="A6" s="777"/>
      <c r="B6" s="778"/>
      <c r="C6" s="768"/>
      <c r="D6" s="779"/>
    </row>
    <row r="7" spans="1:4">
      <c r="A7" s="398">
        <v>1</v>
      </c>
      <c r="B7" s="398" t="s">
        <v>594</v>
      </c>
      <c r="C7" s="657">
        <v>11805362.299999999</v>
      </c>
      <c r="D7" s="446"/>
    </row>
    <row r="8" spans="1:4">
      <c r="A8" s="393">
        <v>2</v>
      </c>
      <c r="B8" s="393" t="s">
        <v>607</v>
      </c>
      <c r="C8" s="657">
        <v>48216.033534686328</v>
      </c>
      <c r="D8" s="446"/>
    </row>
    <row r="9" spans="1:4">
      <c r="A9" s="393">
        <v>3</v>
      </c>
      <c r="B9" s="406" t="s">
        <v>608</v>
      </c>
      <c r="C9" s="657">
        <v>0</v>
      </c>
      <c r="D9" s="446"/>
    </row>
    <row r="10" spans="1:4">
      <c r="A10" s="393">
        <v>4</v>
      </c>
      <c r="B10" s="393" t="s">
        <v>609</v>
      </c>
      <c r="C10" s="658">
        <f>SUM(C11:C18)</f>
        <v>727571.05540668615</v>
      </c>
      <c r="D10" s="446"/>
    </row>
    <row r="11" spans="1:4">
      <c r="A11" s="393">
        <v>5</v>
      </c>
      <c r="B11" s="407" t="s">
        <v>610</v>
      </c>
      <c r="C11" s="657">
        <v>0</v>
      </c>
      <c r="D11" s="446"/>
    </row>
    <row r="12" spans="1:4">
      <c r="A12" s="393">
        <v>6</v>
      </c>
      <c r="B12" s="407" t="s">
        <v>611</v>
      </c>
      <c r="C12" s="657">
        <v>0</v>
      </c>
      <c r="D12" s="446"/>
    </row>
    <row r="13" spans="1:4">
      <c r="A13" s="393">
        <v>7</v>
      </c>
      <c r="B13" s="407" t="s">
        <v>612</v>
      </c>
      <c r="C13" s="657">
        <v>442415.51780811598</v>
      </c>
      <c r="D13" s="446"/>
    </row>
    <row r="14" spans="1:4">
      <c r="A14" s="393">
        <v>8</v>
      </c>
      <c r="B14" s="407" t="s">
        <v>613</v>
      </c>
      <c r="C14" s="657">
        <v>0</v>
      </c>
      <c r="D14" s="393"/>
    </row>
    <row r="15" spans="1:4">
      <c r="A15" s="393">
        <v>9</v>
      </c>
      <c r="B15" s="407" t="s">
        <v>614</v>
      </c>
      <c r="C15" s="657">
        <v>0</v>
      </c>
      <c r="D15" s="393"/>
    </row>
    <row r="16" spans="1:4">
      <c r="A16" s="393">
        <v>10</v>
      </c>
      <c r="B16" s="407" t="s">
        <v>615</v>
      </c>
      <c r="C16" s="657">
        <v>0</v>
      </c>
      <c r="D16" s="446"/>
    </row>
    <row r="17" spans="1:4">
      <c r="A17" s="393">
        <v>11</v>
      </c>
      <c r="B17" s="407" t="s">
        <v>616</v>
      </c>
      <c r="C17" s="657"/>
      <c r="D17" s="393"/>
    </row>
    <row r="18" spans="1:4" ht="25.5">
      <c r="A18" s="393">
        <v>12</v>
      </c>
      <c r="B18" s="407" t="s">
        <v>731</v>
      </c>
      <c r="C18" s="657">
        <v>285155.53759857017</v>
      </c>
      <c r="D18" s="446"/>
    </row>
    <row r="19" spans="1:4">
      <c r="A19" s="398">
        <v>13</v>
      </c>
      <c r="B19" s="434" t="s">
        <v>603</v>
      </c>
      <c r="C19" s="655">
        <f>C7+C8+C9-C10</f>
        <v>11126007.278128</v>
      </c>
      <c r="D19" s="447"/>
    </row>
    <row r="22" spans="1:4">
      <c r="B22" s="387"/>
    </row>
    <row r="23" spans="1:4">
      <c r="B23" s="388"/>
    </row>
    <row r="24" spans="1:4">
      <c r="B24" s="389"/>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selection activeCell="A5" sqref="A5:B7"/>
    </sheetView>
  </sheetViews>
  <sheetFormatPr defaultColWidth="9.28515625" defaultRowHeight="12.75"/>
  <cols>
    <col min="1" max="1" width="11.7109375" style="396" bestFit="1" customWidth="1"/>
    <col min="2" max="2" width="80.7109375" style="396" customWidth="1"/>
    <col min="3" max="3" width="15.5703125" style="396" customWidth="1"/>
    <col min="4" max="5" width="22.28515625" style="396" customWidth="1"/>
    <col min="6" max="6" width="23.42578125" style="396" customWidth="1"/>
    <col min="7" max="14" width="22.28515625" style="396" customWidth="1"/>
    <col min="15" max="15" width="23.28515625" style="396" bestFit="1" customWidth="1"/>
    <col min="16" max="16" width="21.7109375" style="396" bestFit="1" customWidth="1"/>
    <col min="17" max="19" width="19" style="396" bestFit="1" customWidth="1"/>
    <col min="20" max="20" width="16.28515625" style="396" customWidth="1"/>
    <col min="21" max="21" width="21" style="396" customWidth="1"/>
    <col min="22" max="22" width="20" style="396" customWidth="1"/>
    <col min="23" max="16384" width="9.28515625" style="396"/>
  </cols>
  <sheetData>
    <row r="1" spans="1:22" ht="13.5">
      <c r="A1" s="387" t="s">
        <v>30</v>
      </c>
      <c r="B1" s="450" t="str">
        <f>'Info '!C2</f>
        <v>JSC Isbank Georgia</v>
      </c>
    </row>
    <row r="2" spans="1:22" ht="13.5">
      <c r="A2" s="388" t="s">
        <v>31</v>
      </c>
      <c r="B2" s="451">
        <f>'1. key ratios '!B2</f>
        <v>44561</v>
      </c>
      <c r="C2" s="426"/>
    </row>
    <row r="3" spans="1:22">
      <c r="A3" s="389" t="s">
        <v>617</v>
      </c>
    </row>
    <row r="5" spans="1:22" ht="15" customHeight="1">
      <c r="A5" s="765" t="s">
        <v>542</v>
      </c>
      <c r="B5" s="767"/>
      <c r="C5" s="782" t="s">
        <v>618</v>
      </c>
      <c r="D5" s="783"/>
      <c r="E5" s="783"/>
      <c r="F5" s="783"/>
      <c r="G5" s="783"/>
      <c r="H5" s="783"/>
      <c r="I5" s="783"/>
      <c r="J5" s="783"/>
      <c r="K5" s="783"/>
      <c r="L5" s="783"/>
      <c r="M5" s="783"/>
      <c r="N5" s="783"/>
      <c r="O5" s="783"/>
      <c r="P5" s="783"/>
      <c r="Q5" s="783"/>
      <c r="R5" s="783"/>
      <c r="S5" s="783"/>
      <c r="T5" s="783"/>
      <c r="U5" s="784"/>
      <c r="V5" s="435"/>
    </row>
    <row r="6" spans="1:22">
      <c r="A6" s="780"/>
      <c r="B6" s="781"/>
      <c r="C6" s="785" t="s">
        <v>109</v>
      </c>
      <c r="D6" s="787" t="s">
        <v>619</v>
      </c>
      <c r="E6" s="787"/>
      <c r="F6" s="772"/>
      <c r="G6" s="788" t="s">
        <v>620</v>
      </c>
      <c r="H6" s="789"/>
      <c r="I6" s="789"/>
      <c r="J6" s="789"/>
      <c r="K6" s="790"/>
      <c r="L6" s="422"/>
      <c r="M6" s="791" t="s">
        <v>621</v>
      </c>
      <c r="N6" s="791"/>
      <c r="O6" s="772"/>
      <c r="P6" s="772"/>
      <c r="Q6" s="772"/>
      <c r="R6" s="772"/>
      <c r="S6" s="772"/>
      <c r="T6" s="772"/>
      <c r="U6" s="772"/>
      <c r="V6" s="422"/>
    </row>
    <row r="7" spans="1:22" ht="25.5">
      <c r="A7" s="768"/>
      <c r="B7" s="770"/>
      <c r="C7" s="786"/>
      <c r="D7" s="436"/>
      <c r="E7" s="428" t="s">
        <v>622</v>
      </c>
      <c r="F7" s="428" t="s">
        <v>623</v>
      </c>
      <c r="G7" s="426"/>
      <c r="H7" s="428" t="s">
        <v>622</v>
      </c>
      <c r="I7" s="428" t="s">
        <v>624</v>
      </c>
      <c r="J7" s="428" t="s">
        <v>625</v>
      </c>
      <c r="K7" s="428" t="s">
        <v>626</v>
      </c>
      <c r="L7" s="421"/>
      <c r="M7" s="416" t="s">
        <v>627</v>
      </c>
      <c r="N7" s="428" t="s">
        <v>625</v>
      </c>
      <c r="O7" s="428" t="s">
        <v>628</v>
      </c>
      <c r="P7" s="428" t="s">
        <v>629</v>
      </c>
      <c r="Q7" s="428" t="s">
        <v>630</v>
      </c>
      <c r="R7" s="428" t="s">
        <v>631</v>
      </c>
      <c r="S7" s="428" t="s">
        <v>632</v>
      </c>
      <c r="T7" s="437" t="s">
        <v>633</v>
      </c>
      <c r="U7" s="428" t="s">
        <v>634</v>
      </c>
      <c r="V7" s="435"/>
    </row>
    <row r="8" spans="1:22">
      <c r="A8" s="438">
        <v>1</v>
      </c>
      <c r="B8" s="398" t="s">
        <v>635</v>
      </c>
      <c r="C8" s="660">
        <f>SUM(C9:C14)</f>
        <v>247836863.618128</v>
      </c>
      <c r="D8" s="660">
        <f t="shared" ref="D8:U8" si="0">SUM(D9:D14)</f>
        <v>223523072.30000004</v>
      </c>
      <c r="E8" s="660">
        <f t="shared" si="0"/>
        <v>0</v>
      </c>
      <c r="F8" s="660">
        <f t="shared" si="0"/>
        <v>0</v>
      </c>
      <c r="G8" s="660">
        <f t="shared" si="0"/>
        <v>13187784.039999999</v>
      </c>
      <c r="H8" s="660">
        <f t="shared" si="0"/>
        <v>11690.25</v>
      </c>
      <c r="I8" s="660">
        <f t="shared" si="0"/>
        <v>5834.84</v>
      </c>
      <c r="J8" s="660">
        <f t="shared" si="0"/>
        <v>0</v>
      </c>
      <c r="K8" s="660">
        <f t="shared" si="0"/>
        <v>0</v>
      </c>
      <c r="L8" s="660">
        <f t="shared" si="0"/>
        <v>11126007.278128</v>
      </c>
      <c r="M8" s="660">
        <f t="shared" si="0"/>
        <v>84598.900000000009</v>
      </c>
      <c r="N8" s="660">
        <f t="shared" si="0"/>
        <v>656177.17999999993</v>
      </c>
      <c r="O8" s="660">
        <f t="shared" si="0"/>
        <v>15639</v>
      </c>
      <c r="P8" s="660">
        <f t="shared" si="0"/>
        <v>30749.539999999994</v>
      </c>
      <c r="Q8" s="660">
        <f t="shared" si="0"/>
        <v>4403.9300000000012</v>
      </c>
      <c r="R8" s="660">
        <f t="shared" si="0"/>
        <v>1803347.24</v>
      </c>
      <c r="S8" s="660">
        <f t="shared" si="0"/>
        <v>216461.26</v>
      </c>
      <c r="T8" s="660">
        <f t="shared" si="0"/>
        <v>0</v>
      </c>
      <c r="U8" s="660">
        <f t="shared" si="0"/>
        <v>847951.1581280001</v>
      </c>
      <c r="V8" s="399"/>
    </row>
    <row r="9" spans="1:22">
      <c r="A9" s="393">
        <v>1.1000000000000001</v>
      </c>
      <c r="B9" s="418" t="s">
        <v>636</v>
      </c>
      <c r="C9" s="659"/>
      <c r="D9" s="657"/>
      <c r="E9" s="657"/>
      <c r="F9" s="657"/>
      <c r="G9" s="657"/>
      <c r="H9" s="657"/>
      <c r="I9" s="657"/>
      <c r="J9" s="657"/>
      <c r="K9" s="657"/>
      <c r="L9" s="657"/>
      <c r="M9" s="657"/>
      <c r="N9" s="657"/>
      <c r="O9" s="657"/>
      <c r="P9" s="657"/>
      <c r="Q9" s="657"/>
      <c r="R9" s="657"/>
      <c r="S9" s="657"/>
      <c r="T9" s="657"/>
      <c r="U9" s="657"/>
      <c r="V9" s="399"/>
    </row>
    <row r="10" spans="1:22">
      <c r="A10" s="393">
        <v>1.2</v>
      </c>
      <c r="B10" s="418" t="s">
        <v>637</v>
      </c>
      <c r="C10" s="659"/>
      <c r="D10" s="657"/>
      <c r="E10" s="657"/>
      <c r="F10" s="657"/>
      <c r="G10" s="657"/>
      <c r="H10" s="657"/>
      <c r="I10" s="657"/>
      <c r="J10" s="657"/>
      <c r="K10" s="657"/>
      <c r="L10" s="657"/>
      <c r="M10" s="657"/>
      <c r="N10" s="657"/>
      <c r="O10" s="657"/>
      <c r="P10" s="657"/>
      <c r="Q10" s="657"/>
      <c r="R10" s="657"/>
      <c r="S10" s="657"/>
      <c r="T10" s="657"/>
      <c r="U10" s="657"/>
      <c r="V10" s="399"/>
    </row>
    <row r="11" spans="1:22">
      <c r="A11" s="393">
        <v>1.3</v>
      </c>
      <c r="B11" s="418" t="s">
        <v>638</v>
      </c>
      <c r="C11" s="659">
        <v>8673255.0099999998</v>
      </c>
      <c r="D11" s="657">
        <v>8673255.0099999998</v>
      </c>
      <c r="E11" s="657">
        <v>0</v>
      </c>
      <c r="F11" s="657">
        <v>0</v>
      </c>
      <c r="G11" s="657">
        <v>0</v>
      </c>
      <c r="H11" s="657">
        <v>0</v>
      </c>
      <c r="I11" s="657">
        <v>0</v>
      </c>
      <c r="J11" s="657">
        <v>0</v>
      </c>
      <c r="K11" s="657">
        <v>0</v>
      </c>
      <c r="L11" s="657">
        <v>0</v>
      </c>
      <c r="M11" s="657">
        <v>0</v>
      </c>
      <c r="N11" s="657">
        <v>0</v>
      </c>
      <c r="O11" s="657">
        <v>0</v>
      </c>
      <c r="P11" s="657">
        <v>0</v>
      </c>
      <c r="Q11" s="657">
        <v>0</v>
      </c>
      <c r="R11" s="657">
        <v>0</v>
      </c>
      <c r="S11" s="657">
        <v>0</v>
      </c>
      <c r="T11" s="657">
        <v>0</v>
      </c>
      <c r="U11" s="657">
        <v>0</v>
      </c>
      <c r="V11" s="399"/>
    </row>
    <row r="12" spans="1:22">
      <c r="A12" s="393">
        <v>1.4</v>
      </c>
      <c r="B12" s="418" t="s">
        <v>639</v>
      </c>
      <c r="C12" s="659">
        <v>37800350.890000001</v>
      </c>
      <c r="D12" s="657">
        <v>37800350.890000001</v>
      </c>
      <c r="E12" s="657">
        <v>0</v>
      </c>
      <c r="F12" s="657">
        <v>0</v>
      </c>
      <c r="G12" s="657">
        <v>0</v>
      </c>
      <c r="H12" s="657">
        <v>0</v>
      </c>
      <c r="I12" s="657">
        <v>0</v>
      </c>
      <c r="J12" s="657">
        <v>0</v>
      </c>
      <c r="K12" s="657">
        <v>0</v>
      </c>
      <c r="L12" s="657">
        <v>0</v>
      </c>
      <c r="M12" s="657">
        <v>0</v>
      </c>
      <c r="N12" s="657">
        <v>0</v>
      </c>
      <c r="O12" s="657">
        <v>0</v>
      </c>
      <c r="P12" s="657">
        <v>0</v>
      </c>
      <c r="Q12" s="657">
        <v>0</v>
      </c>
      <c r="R12" s="657">
        <v>0</v>
      </c>
      <c r="S12" s="657">
        <v>0</v>
      </c>
      <c r="T12" s="657">
        <v>0</v>
      </c>
      <c r="U12" s="657">
        <v>0</v>
      </c>
      <c r="V12" s="399"/>
    </row>
    <row r="13" spans="1:22">
      <c r="A13" s="393">
        <v>1.5</v>
      </c>
      <c r="B13" s="418" t="s">
        <v>640</v>
      </c>
      <c r="C13" s="659">
        <v>194710821.10999998</v>
      </c>
      <c r="D13" s="657">
        <v>172067155.62000003</v>
      </c>
      <c r="E13" s="657">
        <v>0</v>
      </c>
      <c r="F13" s="657">
        <v>0</v>
      </c>
      <c r="G13" s="657">
        <v>12773215.25</v>
      </c>
      <c r="H13" s="657">
        <v>0</v>
      </c>
      <c r="I13" s="657">
        <v>0</v>
      </c>
      <c r="J13" s="657">
        <v>0</v>
      </c>
      <c r="K13" s="657">
        <v>0</v>
      </c>
      <c r="L13" s="657">
        <v>9870450.2400000002</v>
      </c>
      <c r="M13" s="657">
        <v>0</v>
      </c>
      <c r="N13" s="657">
        <v>646014.15999999992</v>
      </c>
      <c r="O13" s="657">
        <v>0</v>
      </c>
      <c r="P13" s="657">
        <v>0</v>
      </c>
      <c r="Q13" s="657">
        <v>0</v>
      </c>
      <c r="R13" s="657">
        <v>1762934.98</v>
      </c>
      <c r="S13" s="657">
        <v>103816.47</v>
      </c>
      <c r="T13" s="657">
        <v>0</v>
      </c>
      <c r="U13" s="657">
        <v>390099.33000000007</v>
      </c>
      <c r="V13" s="399"/>
    </row>
    <row r="14" spans="1:22">
      <c r="A14" s="393">
        <v>1.6</v>
      </c>
      <c r="B14" s="418" t="s">
        <v>641</v>
      </c>
      <c r="C14" s="659">
        <v>6652436.6081279982</v>
      </c>
      <c r="D14" s="657">
        <v>4982310.7799999984</v>
      </c>
      <c r="E14" s="657">
        <v>0</v>
      </c>
      <c r="F14" s="657">
        <v>0</v>
      </c>
      <c r="G14" s="657">
        <v>414568.79</v>
      </c>
      <c r="H14" s="657">
        <v>11690.25</v>
      </c>
      <c r="I14" s="657">
        <v>5834.84</v>
      </c>
      <c r="J14" s="657">
        <v>0</v>
      </c>
      <c r="K14" s="657">
        <v>0</v>
      </c>
      <c r="L14" s="657">
        <v>1255557.0381280002</v>
      </c>
      <c r="M14" s="657">
        <v>84598.900000000009</v>
      </c>
      <c r="N14" s="657">
        <v>10163.019999999999</v>
      </c>
      <c r="O14" s="657">
        <v>15639</v>
      </c>
      <c r="P14" s="657">
        <v>30749.539999999994</v>
      </c>
      <c r="Q14" s="657">
        <v>4403.9300000000012</v>
      </c>
      <c r="R14" s="657">
        <v>40412.259999999995</v>
      </c>
      <c r="S14" s="657">
        <v>112644.79000000002</v>
      </c>
      <c r="T14" s="657">
        <v>0</v>
      </c>
      <c r="U14" s="657">
        <v>457851.82812800002</v>
      </c>
      <c r="V14" s="399"/>
    </row>
    <row r="15" spans="1:22">
      <c r="A15" s="438">
        <v>2</v>
      </c>
      <c r="B15" s="398" t="s">
        <v>642</v>
      </c>
      <c r="C15" s="660">
        <f>SUM(C16:C21)</f>
        <v>35024494.302678928</v>
      </c>
      <c r="D15" s="660">
        <f t="shared" ref="D15" si="1">SUM(D16:D21)</f>
        <v>35024494.302678928</v>
      </c>
      <c r="E15" s="660">
        <f t="shared" ref="E15" si="2">SUM(E16:E21)</f>
        <v>0</v>
      </c>
      <c r="F15" s="660">
        <f t="shared" ref="F15" si="3">SUM(F16:F21)</f>
        <v>0</v>
      </c>
      <c r="G15" s="660">
        <f t="shared" ref="G15" si="4">SUM(G16:G21)</f>
        <v>0</v>
      </c>
      <c r="H15" s="660">
        <f t="shared" ref="H15" si="5">SUM(H16:H21)</f>
        <v>0</v>
      </c>
      <c r="I15" s="660">
        <f t="shared" ref="I15" si="6">SUM(I16:I21)</f>
        <v>0</v>
      </c>
      <c r="J15" s="660">
        <f t="shared" ref="J15" si="7">SUM(J16:J21)</f>
        <v>0</v>
      </c>
      <c r="K15" s="660">
        <f t="shared" ref="K15" si="8">SUM(K16:K21)</f>
        <v>0</v>
      </c>
      <c r="L15" s="660">
        <f t="shared" ref="L15" si="9">SUM(L16:L21)</f>
        <v>0</v>
      </c>
      <c r="M15" s="660">
        <f t="shared" ref="M15" si="10">SUM(M16:M21)</f>
        <v>0</v>
      </c>
      <c r="N15" s="660">
        <f t="shared" ref="N15" si="11">SUM(N16:N21)</f>
        <v>0</v>
      </c>
      <c r="O15" s="660">
        <f t="shared" ref="O15" si="12">SUM(O16:O21)</f>
        <v>0</v>
      </c>
      <c r="P15" s="660">
        <f t="shared" ref="P15" si="13">SUM(P16:P21)</f>
        <v>0</v>
      </c>
      <c r="Q15" s="660">
        <f t="shared" ref="Q15" si="14">SUM(Q16:Q21)</f>
        <v>0</v>
      </c>
      <c r="R15" s="660">
        <f t="shared" ref="R15" si="15">SUM(R16:R21)</f>
        <v>0</v>
      </c>
      <c r="S15" s="660">
        <f t="shared" ref="S15" si="16">SUM(S16:S21)</f>
        <v>0</v>
      </c>
      <c r="T15" s="660">
        <f t="shared" ref="T15" si="17">SUM(T16:T21)</f>
        <v>0</v>
      </c>
      <c r="U15" s="660">
        <f t="shared" ref="U15" si="18">SUM(U16:U21)</f>
        <v>0</v>
      </c>
      <c r="V15" s="399"/>
    </row>
    <row r="16" spans="1:22">
      <c r="A16" s="393">
        <v>2.1</v>
      </c>
      <c r="B16" s="418" t="s">
        <v>636</v>
      </c>
      <c r="C16" s="659">
        <v>0</v>
      </c>
      <c r="D16" s="657">
        <v>0</v>
      </c>
      <c r="E16" s="657"/>
      <c r="F16" s="657"/>
      <c r="G16" s="657">
        <v>0</v>
      </c>
      <c r="H16" s="657"/>
      <c r="I16" s="657"/>
      <c r="J16" s="657"/>
      <c r="K16" s="657"/>
      <c r="L16" s="657">
        <v>0</v>
      </c>
      <c r="M16" s="657"/>
      <c r="N16" s="657"/>
      <c r="O16" s="657"/>
      <c r="P16" s="657"/>
      <c r="Q16" s="657"/>
      <c r="R16" s="657"/>
      <c r="S16" s="657"/>
      <c r="T16" s="657"/>
      <c r="U16" s="657">
        <v>0</v>
      </c>
      <c r="V16" s="399"/>
    </row>
    <row r="17" spans="1:22">
      <c r="A17" s="393">
        <v>2.2000000000000002</v>
      </c>
      <c r="B17" s="418" t="s">
        <v>637</v>
      </c>
      <c r="C17" s="659">
        <v>14813321.512057718</v>
      </c>
      <c r="D17" s="657">
        <v>14813321.512057718</v>
      </c>
      <c r="E17" s="657"/>
      <c r="F17" s="657"/>
      <c r="G17" s="657">
        <v>0</v>
      </c>
      <c r="H17" s="657"/>
      <c r="I17" s="657"/>
      <c r="J17" s="657"/>
      <c r="K17" s="657"/>
      <c r="L17" s="657">
        <v>0</v>
      </c>
      <c r="M17" s="657"/>
      <c r="N17" s="657"/>
      <c r="O17" s="657"/>
      <c r="P17" s="657"/>
      <c r="Q17" s="657"/>
      <c r="R17" s="657"/>
      <c r="S17" s="657"/>
      <c r="T17" s="657"/>
      <c r="U17" s="657">
        <v>0</v>
      </c>
      <c r="V17" s="399"/>
    </row>
    <row r="18" spans="1:22">
      <c r="A18" s="393">
        <v>2.2999999999999998</v>
      </c>
      <c r="B18" s="418" t="s">
        <v>638</v>
      </c>
      <c r="C18" s="659"/>
      <c r="D18" s="657"/>
      <c r="E18" s="657"/>
      <c r="F18" s="657"/>
      <c r="G18" s="657"/>
      <c r="H18" s="657"/>
      <c r="I18" s="657"/>
      <c r="J18" s="657"/>
      <c r="K18" s="657"/>
      <c r="L18" s="657"/>
      <c r="M18" s="657"/>
      <c r="N18" s="657"/>
      <c r="O18" s="657"/>
      <c r="P18" s="657"/>
      <c r="Q18" s="657"/>
      <c r="R18" s="657"/>
      <c r="S18" s="657"/>
      <c r="T18" s="657"/>
      <c r="U18" s="657"/>
      <c r="V18" s="399"/>
    </row>
    <row r="19" spans="1:22">
      <c r="A19" s="393">
        <v>2.4</v>
      </c>
      <c r="B19" s="418" t="s">
        <v>639</v>
      </c>
      <c r="C19" s="659"/>
      <c r="D19" s="657"/>
      <c r="E19" s="657"/>
      <c r="F19" s="657"/>
      <c r="G19" s="657"/>
      <c r="H19" s="657"/>
      <c r="I19" s="657"/>
      <c r="J19" s="657"/>
      <c r="K19" s="657"/>
      <c r="L19" s="657"/>
      <c r="M19" s="657"/>
      <c r="N19" s="657"/>
      <c r="O19" s="657"/>
      <c r="P19" s="657"/>
      <c r="Q19" s="657"/>
      <c r="R19" s="657"/>
      <c r="S19" s="657"/>
      <c r="T19" s="657"/>
      <c r="U19" s="657"/>
      <c r="V19" s="399"/>
    </row>
    <row r="20" spans="1:22">
      <c r="A20" s="393">
        <v>2.5</v>
      </c>
      <c r="B20" s="418" t="s">
        <v>640</v>
      </c>
      <c r="C20" s="659">
        <v>20211172.790621206</v>
      </c>
      <c r="D20" s="657">
        <v>20211172.790621206</v>
      </c>
      <c r="E20" s="657"/>
      <c r="F20" s="657"/>
      <c r="G20" s="657">
        <v>0</v>
      </c>
      <c r="H20" s="657"/>
      <c r="I20" s="657"/>
      <c r="J20" s="657"/>
      <c r="K20" s="657"/>
      <c r="L20" s="657">
        <v>0</v>
      </c>
      <c r="M20" s="657"/>
      <c r="N20" s="657"/>
      <c r="O20" s="657"/>
      <c r="P20" s="657"/>
      <c r="Q20" s="657"/>
      <c r="R20" s="657"/>
      <c r="S20" s="657"/>
      <c r="T20" s="657"/>
      <c r="U20" s="657">
        <v>0</v>
      </c>
      <c r="V20" s="399"/>
    </row>
    <row r="21" spans="1:22">
      <c r="A21" s="393">
        <v>2.6</v>
      </c>
      <c r="B21" s="418" t="s">
        <v>641</v>
      </c>
      <c r="C21" s="659"/>
      <c r="D21" s="657"/>
      <c r="E21" s="657"/>
      <c r="F21" s="657"/>
      <c r="G21" s="657"/>
      <c r="H21" s="657"/>
      <c r="I21" s="657"/>
      <c r="J21" s="657"/>
      <c r="K21" s="657"/>
      <c r="L21" s="657"/>
      <c r="M21" s="657"/>
      <c r="N21" s="657"/>
      <c r="O21" s="657"/>
      <c r="P21" s="657"/>
      <c r="Q21" s="657"/>
      <c r="R21" s="657"/>
      <c r="S21" s="657"/>
      <c r="T21" s="657"/>
      <c r="U21" s="657"/>
      <c r="V21" s="399"/>
    </row>
    <row r="22" spans="1:22">
      <c r="A22" s="438">
        <v>3</v>
      </c>
      <c r="B22" s="398" t="s">
        <v>696</v>
      </c>
      <c r="C22" s="660">
        <f>SUM(C23:C28)</f>
        <v>110543478.05</v>
      </c>
      <c r="D22" s="660">
        <f t="shared" ref="D22" si="19">SUM(D23:D28)</f>
        <v>110141397.3</v>
      </c>
      <c r="E22" s="660">
        <f t="shared" ref="E22" si="20">SUM(E23:E28)</f>
        <v>0</v>
      </c>
      <c r="F22" s="673"/>
      <c r="G22" s="660">
        <f t="shared" ref="G22" si="21">SUM(G23:G28)</f>
        <v>371712</v>
      </c>
      <c r="H22" s="673"/>
      <c r="I22" s="673"/>
      <c r="J22" s="673"/>
      <c r="K22" s="673"/>
      <c r="L22" s="660">
        <f t="shared" ref="L22" si="22">SUM(L23:L28)</f>
        <v>0</v>
      </c>
      <c r="M22" s="673"/>
      <c r="N22" s="673"/>
      <c r="O22" s="673"/>
      <c r="P22" s="673"/>
      <c r="Q22" s="673"/>
      <c r="R22" s="673"/>
      <c r="S22" s="673"/>
      <c r="T22" s="673"/>
      <c r="U22" s="660">
        <f t="shared" ref="U22" si="23">SUM(U23:U28)</f>
        <v>0</v>
      </c>
      <c r="V22" s="399"/>
    </row>
    <row r="23" spans="1:22">
      <c r="A23" s="393">
        <v>3.1</v>
      </c>
      <c r="B23" s="418" t="s">
        <v>636</v>
      </c>
      <c r="C23" s="659"/>
      <c r="D23" s="657"/>
      <c r="E23" s="657"/>
      <c r="F23" s="673"/>
      <c r="G23" s="657"/>
      <c r="H23" s="673"/>
      <c r="I23" s="673"/>
      <c r="J23" s="673"/>
      <c r="K23" s="673"/>
      <c r="L23" s="657"/>
      <c r="M23" s="673"/>
      <c r="N23" s="673"/>
      <c r="O23" s="673"/>
      <c r="P23" s="673"/>
      <c r="Q23" s="673"/>
      <c r="R23" s="673"/>
      <c r="S23" s="673"/>
      <c r="T23" s="673"/>
      <c r="U23" s="657"/>
      <c r="V23" s="399"/>
    </row>
    <row r="24" spans="1:22">
      <c r="A24" s="393">
        <v>3.2</v>
      </c>
      <c r="B24" s="418" t="s">
        <v>637</v>
      </c>
      <c r="C24" s="659"/>
      <c r="D24" s="657"/>
      <c r="E24" s="657"/>
      <c r="F24" s="673"/>
      <c r="G24" s="657"/>
      <c r="H24" s="673"/>
      <c r="I24" s="673"/>
      <c r="J24" s="673"/>
      <c r="K24" s="673"/>
      <c r="L24" s="657"/>
      <c r="M24" s="673"/>
      <c r="N24" s="673"/>
      <c r="O24" s="673"/>
      <c r="P24" s="673"/>
      <c r="Q24" s="673"/>
      <c r="R24" s="673"/>
      <c r="S24" s="673"/>
      <c r="T24" s="673"/>
      <c r="U24" s="657"/>
      <c r="V24" s="399"/>
    </row>
    <row r="25" spans="1:22">
      <c r="A25" s="393">
        <v>3.3</v>
      </c>
      <c r="B25" s="418" t="s">
        <v>638</v>
      </c>
      <c r="C25" s="659">
        <v>76979524.829999998</v>
      </c>
      <c r="D25" s="657">
        <v>76979524.829999998</v>
      </c>
      <c r="E25" s="657"/>
      <c r="F25" s="673"/>
      <c r="G25" s="657">
        <v>0</v>
      </c>
      <c r="H25" s="673"/>
      <c r="I25" s="673"/>
      <c r="J25" s="673"/>
      <c r="K25" s="673"/>
      <c r="L25" s="657">
        <v>0</v>
      </c>
      <c r="M25" s="673"/>
      <c r="N25" s="673"/>
      <c r="O25" s="673"/>
      <c r="P25" s="673"/>
      <c r="Q25" s="673"/>
      <c r="R25" s="673"/>
      <c r="S25" s="673"/>
      <c r="T25" s="673"/>
      <c r="U25" s="657">
        <v>0</v>
      </c>
      <c r="V25" s="399"/>
    </row>
    <row r="26" spans="1:22">
      <c r="A26" s="393">
        <v>3.4</v>
      </c>
      <c r="B26" s="418" t="s">
        <v>639</v>
      </c>
      <c r="C26" s="659">
        <v>0</v>
      </c>
      <c r="D26" s="657">
        <v>0</v>
      </c>
      <c r="E26" s="657"/>
      <c r="F26" s="673"/>
      <c r="G26" s="657">
        <v>0</v>
      </c>
      <c r="H26" s="673"/>
      <c r="I26" s="673"/>
      <c r="J26" s="673"/>
      <c r="K26" s="673"/>
      <c r="L26" s="657">
        <v>0</v>
      </c>
      <c r="M26" s="673"/>
      <c r="N26" s="673"/>
      <c r="O26" s="673"/>
      <c r="P26" s="673"/>
      <c r="Q26" s="673"/>
      <c r="R26" s="673"/>
      <c r="S26" s="673"/>
      <c r="T26" s="673"/>
      <c r="U26" s="657">
        <v>0</v>
      </c>
      <c r="V26" s="399"/>
    </row>
    <row r="27" spans="1:22">
      <c r="A27" s="393">
        <v>3.5</v>
      </c>
      <c r="B27" s="418" t="s">
        <v>640</v>
      </c>
      <c r="C27" s="659">
        <v>33533584.470000003</v>
      </c>
      <c r="D27" s="657">
        <v>33161872.470000003</v>
      </c>
      <c r="E27" s="657"/>
      <c r="F27" s="673"/>
      <c r="G27" s="657">
        <v>371712</v>
      </c>
      <c r="H27" s="673"/>
      <c r="I27" s="673"/>
      <c r="J27" s="673"/>
      <c r="K27" s="673"/>
      <c r="L27" s="657">
        <v>0</v>
      </c>
      <c r="M27" s="673"/>
      <c r="N27" s="673"/>
      <c r="O27" s="673"/>
      <c r="P27" s="673"/>
      <c r="Q27" s="673"/>
      <c r="R27" s="673"/>
      <c r="S27" s="673"/>
      <c r="T27" s="673"/>
      <c r="U27" s="657">
        <v>0</v>
      </c>
      <c r="V27" s="399"/>
    </row>
    <row r="28" spans="1:22">
      <c r="A28" s="393">
        <v>3.6</v>
      </c>
      <c r="B28" s="418" t="s">
        <v>641</v>
      </c>
      <c r="C28" s="659">
        <v>30368.750000000007</v>
      </c>
      <c r="D28" s="657">
        <v>0</v>
      </c>
      <c r="E28" s="657"/>
      <c r="F28" s="673"/>
      <c r="G28" s="657">
        <v>0</v>
      </c>
      <c r="H28" s="673"/>
      <c r="I28" s="673"/>
      <c r="J28" s="673"/>
      <c r="K28" s="673"/>
      <c r="L28" s="657">
        <v>0</v>
      </c>
      <c r="M28" s="673"/>
      <c r="N28" s="673"/>
      <c r="O28" s="673"/>
      <c r="P28" s="673"/>
      <c r="Q28" s="673"/>
      <c r="R28" s="673"/>
      <c r="S28" s="673"/>
      <c r="T28" s="673"/>
      <c r="U28" s="657">
        <v>0</v>
      </c>
      <c r="V28" s="399"/>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workbookViewId="0">
      <selection activeCell="A5" sqref="A5:B7"/>
    </sheetView>
  </sheetViews>
  <sheetFormatPr defaultColWidth="9.28515625" defaultRowHeight="12.75"/>
  <cols>
    <col min="1" max="1" width="11.7109375" style="396" bestFit="1" customWidth="1"/>
    <col min="2" max="2" width="90.28515625" style="396" bestFit="1" customWidth="1"/>
    <col min="3" max="3" width="19.7109375" style="396" customWidth="1"/>
    <col min="4" max="4" width="21.140625" style="396" customWidth="1"/>
    <col min="5" max="5" width="17.140625" style="396" customWidth="1"/>
    <col min="6" max="6" width="22.28515625" style="396" customWidth="1"/>
    <col min="7" max="7" width="19.28515625" style="396" customWidth="1"/>
    <col min="8" max="8" width="17.140625" style="396" customWidth="1"/>
    <col min="9" max="14" width="22.28515625" style="396" customWidth="1"/>
    <col min="15" max="15" width="23" style="396" customWidth="1"/>
    <col min="16" max="16" width="21.7109375" style="396" bestFit="1" customWidth="1"/>
    <col min="17" max="19" width="19" style="396" bestFit="1" customWidth="1"/>
    <col min="20" max="20" width="14.7109375" style="396" customWidth="1"/>
    <col min="21" max="21" width="20" style="396" customWidth="1"/>
    <col min="22" max="16384" width="9.28515625" style="396"/>
  </cols>
  <sheetData>
    <row r="1" spans="1:21" ht="13.5">
      <c r="A1" s="387" t="s">
        <v>30</v>
      </c>
      <c r="B1" s="450" t="str">
        <f>'Info '!C2</f>
        <v>JSC Isbank Georgia</v>
      </c>
    </row>
    <row r="2" spans="1:21" ht="13.5">
      <c r="A2" s="388" t="s">
        <v>31</v>
      </c>
      <c r="B2" s="451">
        <f>'1. key ratios '!B2</f>
        <v>44561</v>
      </c>
      <c r="C2" s="423"/>
    </row>
    <row r="3" spans="1:21">
      <c r="A3" s="389" t="s">
        <v>644</v>
      </c>
    </row>
    <row r="5" spans="1:21" ht="13.5" customHeight="1">
      <c r="A5" s="792" t="s">
        <v>645</v>
      </c>
      <c r="B5" s="793"/>
      <c r="C5" s="801" t="s">
        <v>646</v>
      </c>
      <c r="D5" s="802"/>
      <c r="E5" s="802"/>
      <c r="F5" s="802"/>
      <c r="G5" s="802"/>
      <c r="H5" s="802"/>
      <c r="I5" s="802"/>
      <c r="J5" s="802"/>
      <c r="K5" s="802"/>
      <c r="L5" s="802"/>
      <c r="M5" s="802"/>
      <c r="N5" s="802"/>
      <c r="O5" s="802"/>
      <c r="P5" s="802"/>
      <c r="Q5" s="802"/>
      <c r="R5" s="802"/>
      <c r="S5" s="802"/>
      <c r="T5" s="803"/>
      <c r="U5" s="435"/>
    </row>
    <row r="6" spans="1:21">
      <c r="A6" s="794"/>
      <c r="B6" s="795"/>
      <c r="C6" s="785" t="s">
        <v>109</v>
      </c>
      <c r="D6" s="798" t="s">
        <v>647</v>
      </c>
      <c r="E6" s="798"/>
      <c r="F6" s="799"/>
      <c r="G6" s="800" t="s">
        <v>648</v>
      </c>
      <c r="H6" s="798"/>
      <c r="I6" s="798"/>
      <c r="J6" s="798"/>
      <c r="K6" s="799"/>
      <c r="L6" s="788" t="s">
        <v>649</v>
      </c>
      <c r="M6" s="789"/>
      <c r="N6" s="789"/>
      <c r="O6" s="789"/>
      <c r="P6" s="789"/>
      <c r="Q6" s="789"/>
      <c r="R6" s="789"/>
      <c r="S6" s="789"/>
      <c r="T6" s="790"/>
      <c r="U6" s="422"/>
    </row>
    <row r="7" spans="1:21">
      <c r="A7" s="796"/>
      <c r="B7" s="797"/>
      <c r="C7" s="786"/>
      <c r="E7" s="416" t="s">
        <v>622</v>
      </c>
      <c r="F7" s="428" t="s">
        <v>623</v>
      </c>
      <c r="H7" s="416" t="s">
        <v>622</v>
      </c>
      <c r="I7" s="428" t="s">
        <v>624</v>
      </c>
      <c r="J7" s="428" t="s">
        <v>625</v>
      </c>
      <c r="K7" s="428" t="s">
        <v>626</v>
      </c>
      <c r="L7" s="439"/>
      <c r="M7" s="416" t="s">
        <v>627</v>
      </c>
      <c r="N7" s="428" t="s">
        <v>625</v>
      </c>
      <c r="O7" s="428" t="s">
        <v>628</v>
      </c>
      <c r="P7" s="428" t="s">
        <v>629</v>
      </c>
      <c r="Q7" s="428" t="s">
        <v>630</v>
      </c>
      <c r="R7" s="428" t="s">
        <v>631</v>
      </c>
      <c r="S7" s="428" t="s">
        <v>632</v>
      </c>
      <c r="T7" s="437" t="s">
        <v>633</v>
      </c>
      <c r="U7" s="435"/>
    </row>
    <row r="8" spans="1:21">
      <c r="A8" s="439">
        <v>1</v>
      </c>
      <c r="B8" s="434" t="s">
        <v>635</v>
      </c>
      <c r="C8" s="665">
        <v>247836863.618128</v>
      </c>
      <c r="D8" s="657">
        <v>223523072.30000004</v>
      </c>
      <c r="E8" s="657">
        <v>0</v>
      </c>
      <c r="F8" s="657">
        <v>0</v>
      </c>
      <c r="G8" s="657">
        <v>13187784.039999999</v>
      </c>
      <c r="H8" s="657">
        <v>11690.25</v>
      </c>
      <c r="I8" s="657">
        <v>5834.84</v>
      </c>
      <c r="J8" s="657">
        <v>0</v>
      </c>
      <c r="K8" s="657">
        <v>0</v>
      </c>
      <c r="L8" s="657">
        <v>11126007.278128</v>
      </c>
      <c r="M8" s="657">
        <v>84598.900000000009</v>
      </c>
      <c r="N8" s="657">
        <v>656177.17999999993</v>
      </c>
      <c r="O8" s="657">
        <v>15639</v>
      </c>
      <c r="P8" s="657">
        <v>30749.539999999994</v>
      </c>
      <c r="Q8" s="657">
        <v>4403.9300000000012</v>
      </c>
      <c r="R8" s="657">
        <v>1803347.24</v>
      </c>
      <c r="S8" s="657">
        <v>216461.26</v>
      </c>
      <c r="T8" s="657">
        <v>0</v>
      </c>
      <c r="U8" s="399"/>
    </row>
    <row r="9" spans="1:21">
      <c r="A9" s="418">
        <v>1.1000000000000001</v>
      </c>
      <c r="B9" s="418" t="s">
        <v>650</v>
      </c>
      <c r="C9" s="659">
        <v>197774029.92812803</v>
      </c>
      <c r="D9" s="657">
        <v>173660799.03999999</v>
      </c>
      <c r="E9" s="657">
        <v>0</v>
      </c>
      <c r="F9" s="657">
        <v>0</v>
      </c>
      <c r="G9" s="657">
        <v>13181582.690000001</v>
      </c>
      <c r="H9" s="657">
        <v>11690.25</v>
      </c>
      <c r="I9" s="657">
        <v>0</v>
      </c>
      <c r="J9" s="657">
        <v>0</v>
      </c>
      <c r="K9" s="657">
        <v>0</v>
      </c>
      <c r="L9" s="657">
        <v>10931648.198127998</v>
      </c>
      <c r="M9" s="657">
        <v>84598.900000000009</v>
      </c>
      <c r="N9" s="657">
        <v>656177.17999999993</v>
      </c>
      <c r="O9" s="657">
        <v>15639</v>
      </c>
      <c r="P9" s="657">
        <v>30749.539999999994</v>
      </c>
      <c r="Q9" s="657">
        <v>13.7</v>
      </c>
      <c r="R9" s="657">
        <v>1775930.48</v>
      </c>
      <c r="S9" s="657">
        <v>150737.61999999997</v>
      </c>
      <c r="T9" s="657">
        <v>0</v>
      </c>
      <c r="U9" s="399"/>
    </row>
    <row r="10" spans="1:21">
      <c r="A10" s="440" t="s">
        <v>14</v>
      </c>
      <c r="B10" s="440" t="s">
        <v>651</v>
      </c>
      <c r="C10" s="666">
        <v>133284476.63812795</v>
      </c>
      <c r="D10" s="657">
        <v>118941597.25999999</v>
      </c>
      <c r="E10" s="657">
        <v>0</v>
      </c>
      <c r="F10" s="657">
        <v>0</v>
      </c>
      <c r="G10" s="657">
        <v>3871428.4899999998</v>
      </c>
      <c r="H10" s="657">
        <v>11690.25</v>
      </c>
      <c r="I10" s="657">
        <v>0</v>
      </c>
      <c r="J10" s="657">
        <v>0</v>
      </c>
      <c r="K10" s="657">
        <v>0</v>
      </c>
      <c r="L10" s="657">
        <v>10471450.888127999</v>
      </c>
      <c r="M10" s="657">
        <v>84598.900000000009</v>
      </c>
      <c r="N10" s="657">
        <v>656177.17999999993</v>
      </c>
      <c r="O10" s="657">
        <v>15639</v>
      </c>
      <c r="P10" s="657">
        <v>27193.509999999995</v>
      </c>
      <c r="Q10" s="657">
        <v>0</v>
      </c>
      <c r="R10" s="657">
        <v>1762934.98</v>
      </c>
      <c r="S10" s="657">
        <v>0</v>
      </c>
      <c r="T10" s="657">
        <v>0</v>
      </c>
      <c r="U10" s="399"/>
    </row>
    <row r="11" spans="1:21">
      <c r="A11" s="408" t="s">
        <v>652</v>
      </c>
      <c r="B11" s="408" t="s">
        <v>653</v>
      </c>
      <c r="C11" s="667">
        <v>87450349.719999999</v>
      </c>
      <c r="D11" s="657">
        <v>73167628.150000021</v>
      </c>
      <c r="E11" s="657">
        <v>0</v>
      </c>
      <c r="F11" s="657">
        <v>0</v>
      </c>
      <c r="G11" s="657">
        <v>3871428.4899999998</v>
      </c>
      <c r="H11" s="657">
        <v>11690.25</v>
      </c>
      <c r="I11" s="657">
        <v>0</v>
      </c>
      <c r="J11" s="657">
        <v>0</v>
      </c>
      <c r="K11" s="657">
        <v>0</v>
      </c>
      <c r="L11" s="657">
        <v>10411293.08</v>
      </c>
      <c r="M11" s="657">
        <v>84598.900000000009</v>
      </c>
      <c r="N11" s="657">
        <v>656177.17999999993</v>
      </c>
      <c r="O11" s="657">
        <v>15639</v>
      </c>
      <c r="P11" s="657">
        <v>27193.509999999995</v>
      </c>
      <c r="Q11" s="657">
        <v>0</v>
      </c>
      <c r="R11" s="657">
        <v>1762934.98</v>
      </c>
      <c r="S11" s="657">
        <v>0</v>
      </c>
      <c r="T11" s="657">
        <v>0</v>
      </c>
      <c r="U11" s="399"/>
    </row>
    <row r="12" spans="1:21">
      <c r="A12" s="408" t="s">
        <v>654</v>
      </c>
      <c r="B12" s="408" t="s">
        <v>655</v>
      </c>
      <c r="C12" s="667">
        <v>13136112.680000002</v>
      </c>
      <c r="D12" s="657">
        <v>13136112.680000002</v>
      </c>
      <c r="E12" s="657">
        <v>0</v>
      </c>
      <c r="F12" s="657">
        <v>0</v>
      </c>
      <c r="G12" s="657">
        <v>0</v>
      </c>
      <c r="H12" s="657">
        <v>0</v>
      </c>
      <c r="I12" s="657">
        <v>0</v>
      </c>
      <c r="J12" s="657">
        <v>0</v>
      </c>
      <c r="K12" s="657">
        <v>0</v>
      </c>
      <c r="L12" s="657">
        <v>0</v>
      </c>
      <c r="M12" s="657">
        <v>0</v>
      </c>
      <c r="N12" s="657">
        <v>0</v>
      </c>
      <c r="O12" s="657">
        <v>0</v>
      </c>
      <c r="P12" s="657">
        <v>0</v>
      </c>
      <c r="Q12" s="657">
        <v>0</v>
      </c>
      <c r="R12" s="657">
        <v>0</v>
      </c>
      <c r="S12" s="657">
        <v>0</v>
      </c>
      <c r="T12" s="657">
        <v>0</v>
      </c>
      <c r="U12" s="399"/>
    </row>
    <row r="13" spans="1:21">
      <c r="A13" s="408" t="s">
        <v>656</v>
      </c>
      <c r="B13" s="408" t="s">
        <v>657</v>
      </c>
      <c r="C13" s="667">
        <v>246699.19</v>
      </c>
      <c r="D13" s="657">
        <v>246699.19</v>
      </c>
      <c r="E13" s="657">
        <v>0</v>
      </c>
      <c r="F13" s="657">
        <v>0</v>
      </c>
      <c r="G13" s="657">
        <v>0</v>
      </c>
      <c r="H13" s="657">
        <v>0</v>
      </c>
      <c r="I13" s="657">
        <v>0</v>
      </c>
      <c r="J13" s="657">
        <v>0</v>
      </c>
      <c r="K13" s="657">
        <v>0</v>
      </c>
      <c r="L13" s="657">
        <v>0</v>
      </c>
      <c r="M13" s="657">
        <v>0</v>
      </c>
      <c r="N13" s="657">
        <v>0</v>
      </c>
      <c r="O13" s="657">
        <v>0</v>
      </c>
      <c r="P13" s="657">
        <v>0</v>
      </c>
      <c r="Q13" s="657">
        <v>0</v>
      </c>
      <c r="R13" s="657">
        <v>0</v>
      </c>
      <c r="S13" s="657">
        <v>0</v>
      </c>
      <c r="T13" s="657">
        <v>0</v>
      </c>
      <c r="U13" s="399"/>
    </row>
    <row r="14" spans="1:21">
      <c r="A14" s="408" t="s">
        <v>658</v>
      </c>
      <c r="B14" s="408" t="s">
        <v>659</v>
      </c>
      <c r="C14" s="667">
        <v>32451315.048127998</v>
      </c>
      <c r="D14" s="657">
        <v>32391157.239999998</v>
      </c>
      <c r="E14" s="657">
        <v>0</v>
      </c>
      <c r="F14" s="657">
        <v>0</v>
      </c>
      <c r="G14" s="657">
        <v>0</v>
      </c>
      <c r="H14" s="657">
        <v>0</v>
      </c>
      <c r="I14" s="657">
        <v>0</v>
      </c>
      <c r="J14" s="657">
        <v>0</v>
      </c>
      <c r="K14" s="657">
        <v>0</v>
      </c>
      <c r="L14" s="657">
        <v>60157.808127999997</v>
      </c>
      <c r="M14" s="657">
        <v>0</v>
      </c>
      <c r="N14" s="657">
        <v>0</v>
      </c>
      <c r="O14" s="657">
        <v>0</v>
      </c>
      <c r="P14" s="657">
        <v>0</v>
      </c>
      <c r="Q14" s="657">
        <v>0</v>
      </c>
      <c r="R14" s="657">
        <v>0</v>
      </c>
      <c r="S14" s="657">
        <v>0</v>
      </c>
      <c r="T14" s="657">
        <v>0</v>
      </c>
      <c r="U14" s="399"/>
    </row>
    <row r="15" spans="1:21">
      <c r="A15" s="409">
        <v>1.2</v>
      </c>
      <c r="B15" s="409" t="s">
        <v>660</v>
      </c>
      <c r="C15" s="659">
        <v>8546740.2159279995</v>
      </c>
      <c r="D15" s="657">
        <v>3473215.9808000014</v>
      </c>
      <c r="E15" s="657">
        <v>0</v>
      </c>
      <c r="F15" s="657">
        <v>0</v>
      </c>
      <c r="G15" s="657">
        <v>1318158.2689999999</v>
      </c>
      <c r="H15" s="657">
        <v>1169.0250000000001</v>
      </c>
      <c r="I15" s="657">
        <v>0</v>
      </c>
      <c r="J15" s="657">
        <v>0</v>
      </c>
      <c r="K15" s="657">
        <v>0</v>
      </c>
      <c r="L15" s="657">
        <v>3755365.9661280005</v>
      </c>
      <c r="M15" s="657">
        <v>25379.670000000006</v>
      </c>
      <c r="N15" s="657">
        <v>198885.75799999997</v>
      </c>
      <c r="O15" s="657">
        <v>15639</v>
      </c>
      <c r="P15" s="657">
        <v>30749.539999999994</v>
      </c>
      <c r="Q15" s="657">
        <v>13.7</v>
      </c>
      <c r="R15" s="657">
        <v>541875.99399999995</v>
      </c>
      <c r="S15" s="657">
        <v>150737.61999999997</v>
      </c>
      <c r="T15" s="657">
        <v>0</v>
      </c>
      <c r="U15" s="399"/>
    </row>
    <row r="16" spans="1:21">
      <c r="A16" s="441">
        <v>1.3</v>
      </c>
      <c r="B16" s="409" t="s">
        <v>707</v>
      </c>
      <c r="C16" s="674"/>
      <c r="D16" s="674"/>
      <c r="E16" s="674"/>
      <c r="F16" s="674"/>
      <c r="G16" s="674"/>
      <c r="H16" s="674"/>
      <c r="I16" s="674"/>
      <c r="J16" s="674"/>
      <c r="K16" s="674"/>
      <c r="L16" s="674"/>
      <c r="M16" s="674"/>
      <c r="N16" s="674"/>
      <c r="O16" s="674"/>
      <c r="P16" s="674"/>
      <c r="Q16" s="674"/>
      <c r="R16" s="674"/>
      <c r="S16" s="674"/>
      <c r="T16" s="674"/>
      <c r="U16" s="399"/>
    </row>
    <row r="17" spans="1:21">
      <c r="A17" s="412" t="s">
        <v>661</v>
      </c>
      <c r="B17" s="410" t="s">
        <v>662</v>
      </c>
      <c r="C17" s="668">
        <v>194254063.87694955</v>
      </c>
      <c r="D17" s="657">
        <v>170144497.78977227</v>
      </c>
      <c r="E17" s="657">
        <v>0</v>
      </c>
      <c r="F17" s="657">
        <v>0</v>
      </c>
      <c r="G17" s="657">
        <v>13178675.697177222</v>
      </c>
      <c r="H17" s="657">
        <v>11690.25</v>
      </c>
      <c r="I17" s="657">
        <v>0</v>
      </c>
      <c r="J17" s="657">
        <v>0</v>
      </c>
      <c r="K17" s="657">
        <v>0</v>
      </c>
      <c r="L17" s="657">
        <v>10930890.389999999</v>
      </c>
      <c r="M17" s="657">
        <v>84598.900000000009</v>
      </c>
      <c r="N17" s="657">
        <v>656177.17999999993</v>
      </c>
      <c r="O17" s="657">
        <v>15639</v>
      </c>
      <c r="P17" s="657">
        <v>30749.539999999994</v>
      </c>
      <c r="Q17" s="657">
        <v>13.7</v>
      </c>
      <c r="R17" s="657">
        <v>1775930.48</v>
      </c>
      <c r="S17" s="657">
        <v>150737.61999999997</v>
      </c>
      <c r="T17" s="657">
        <v>0</v>
      </c>
      <c r="U17" s="399"/>
    </row>
    <row r="18" spans="1:21">
      <c r="A18" s="411" t="s">
        <v>663</v>
      </c>
      <c r="B18" s="411" t="s">
        <v>664</v>
      </c>
      <c r="C18" s="669">
        <v>110440312.82702214</v>
      </c>
      <c r="D18" s="657">
        <v>96098191.257022172</v>
      </c>
      <c r="E18" s="657">
        <v>0</v>
      </c>
      <c r="F18" s="657">
        <v>0</v>
      </c>
      <c r="G18" s="657">
        <v>3871428.4899999998</v>
      </c>
      <c r="H18" s="657">
        <v>11690.25</v>
      </c>
      <c r="I18" s="657">
        <v>0</v>
      </c>
      <c r="J18" s="657">
        <v>0</v>
      </c>
      <c r="K18" s="657">
        <v>0</v>
      </c>
      <c r="L18" s="657">
        <v>10470693.08</v>
      </c>
      <c r="M18" s="657">
        <v>84598.900000000009</v>
      </c>
      <c r="N18" s="657">
        <v>656177.17999999993</v>
      </c>
      <c r="O18" s="657">
        <v>15639</v>
      </c>
      <c r="P18" s="657">
        <v>27193.509999999995</v>
      </c>
      <c r="Q18" s="657">
        <v>0</v>
      </c>
      <c r="R18" s="657">
        <v>1762934.98</v>
      </c>
      <c r="S18" s="657">
        <v>0</v>
      </c>
      <c r="T18" s="657">
        <v>0</v>
      </c>
      <c r="U18" s="399"/>
    </row>
    <row r="19" spans="1:21">
      <c r="A19" s="412" t="s">
        <v>665</v>
      </c>
      <c r="B19" s="412" t="s">
        <v>666</v>
      </c>
      <c r="C19" s="670">
        <v>194588612.02890041</v>
      </c>
      <c r="D19" s="657">
        <v>162603669.85555276</v>
      </c>
      <c r="E19" s="657">
        <v>0</v>
      </c>
      <c r="F19" s="657">
        <v>0</v>
      </c>
      <c r="G19" s="657">
        <v>11067996.351199999</v>
      </c>
      <c r="H19" s="657">
        <v>143189.74999999997</v>
      </c>
      <c r="I19" s="657">
        <v>0</v>
      </c>
      <c r="J19" s="657">
        <v>0</v>
      </c>
      <c r="K19" s="657">
        <v>0</v>
      </c>
      <c r="L19" s="657">
        <v>20916945.822147634</v>
      </c>
      <c r="M19" s="657">
        <v>145243.0199999999</v>
      </c>
      <c r="N19" s="657">
        <v>4325454.1884956816</v>
      </c>
      <c r="O19" s="657">
        <v>207388.19999999995</v>
      </c>
      <c r="P19" s="657">
        <v>78124.88999999997</v>
      </c>
      <c r="Q19" s="657">
        <v>39325.82</v>
      </c>
      <c r="R19" s="657">
        <v>3943244.7999999993</v>
      </c>
      <c r="S19" s="657">
        <v>0</v>
      </c>
      <c r="T19" s="657">
        <v>0</v>
      </c>
      <c r="U19" s="399"/>
    </row>
    <row r="20" spans="1:21">
      <c r="A20" s="411" t="s">
        <v>667</v>
      </c>
      <c r="B20" s="411" t="s">
        <v>664</v>
      </c>
      <c r="C20" s="669">
        <v>134648843.15207711</v>
      </c>
      <c r="D20" s="657">
        <v>111722508.97202405</v>
      </c>
      <c r="E20" s="657">
        <v>0</v>
      </c>
      <c r="F20" s="657">
        <v>0</v>
      </c>
      <c r="G20" s="657">
        <v>4971528.7451999998</v>
      </c>
      <c r="H20" s="657">
        <v>143189.74999999997</v>
      </c>
      <c r="I20" s="657">
        <v>0</v>
      </c>
      <c r="J20" s="657">
        <v>0</v>
      </c>
      <c r="K20" s="657">
        <v>0</v>
      </c>
      <c r="L20" s="657">
        <v>17954805.434853088</v>
      </c>
      <c r="M20" s="657">
        <v>145243.0199999999</v>
      </c>
      <c r="N20" s="657">
        <v>3669277.0084956815</v>
      </c>
      <c r="O20" s="657">
        <v>207388.19999999995</v>
      </c>
      <c r="P20" s="657">
        <v>78124.88999999997</v>
      </c>
      <c r="Q20" s="657">
        <v>0</v>
      </c>
      <c r="R20" s="657">
        <v>2180309.8199999989</v>
      </c>
      <c r="S20" s="657">
        <v>0</v>
      </c>
      <c r="T20" s="657">
        <v>0</v>
      </c>
      <c r="U20" s="399"/>
    </row>
    <row r="21" spans="1:21">
      <c r="A21" s="413">
        <v>1.4</v>
      </c>
      <c r="B21" s="414" t="s">
        <v>668</v>
      </c>
      <c r="C21" s="671"/>
      <c r="D21" s="657"/>
      <c r="E21" s="657"/>
      <c r="F21" s="657"/>
      <c r="G21" s="657"/>
      <c r="H21" s="657"/>
      <c r="I21" s="657"/>
      <c r="J21" s="657"/>
      <c r="K21" s="657"/>
      <c r="L21" s="657"/>
      <c r="M21" s="657"/>
      <c r="N21" s="657"/>
      <c r="O21" s="657"/>
      <c r="P21" s="657"/>
      <c r="Q21" s="657"/>
      <c r="R21" s="657"/>
      <c r="S21" s="657"/>
      <c r="T21" s="657"/>
      <c r="U21" s="399"/>
    </row>
    <row r="22" spans="1:21">
      <c r="A22" s="413">
        <v>1.5</v>
      </c>
      <c r="B22" s="414" t="s">
        <v>669</v>
      </c>
      <c r="C22" s="671"/>
      <c r="D22" s="657"/>
      <c r="E22" s="657"/>
      <c r="F22" s="657"/>
      <c r="G22" s="657"/>
      <c r="H22" s="657"/>
      <c r="I22" s="657"/>
      <c r="J22" s="657"/>
      <c r="K22" s="657"/>
      <c r="L22" s="657"/>
      <c r="M22" s="657"/>
      <c r="N22" s="657"/>
      <c r="O22" s="657"/>
      <c r="P22" s="657"/>
      <c r="Q22" s="657"/>
      <c r="R22" s="657"/>
      <c r="S22" s="657"/>
      <c r="T22" s="657"/>
      <c r="U22" s="399"/>
    </row>
  </sheetData>
  <mergeCells count="6">
    <mergeCell ref="A5:B7"/>
    <mergeCell ref="D6:F6"/>
    <mergeCell ref="G6:K6"/>
    <mergeCell ref="L6:T6"/>
    <mergeCell ref="C6:C7"/>
    <mergeCell ref="C5:T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workbookViewId="0">
      <selection activeCell="A5" sqref="A5:B6"/>
    </sheetView>
  </sheetViews>
  <sheetFormatPr defaultColWidth="9.28515625" defaultRowHeight="12.75"/>
  <cols>
    <col min="1" max="1" width="11.7109375" style="396" bestFit="1" customWidth="1"/>
    <col min="2" max="2" width="53.42578125" style="396" bestFit="1" customWidth="1"/>
    <col min="3" max="3" width="14.7109375" style="396" customWidth="1"/>
    <col min="4" max="4" width="12.28515625" style="396" bestFit="1" customWidth="1"/>
    <col min="5" max="5" width="11.42578125" style="396" customWidth="1"/>
    <col min="6" max="7" width="11.42578125" style="442" customWidth="1"/>
    <col min="8" max="9" width="11.42578125" style="396" customWidth="1"/>
    <col min="10" max="14" width="11.42578125" style="442" customWidth="1"/>
    <col min="15" max="15" width="18.7109375" style="396" bestFit="1" customWidth="1"/>
    <col min="16" max="16384" width="9.28515625" style="396"/>
  </cols>
  <sheetData>
    <row r="1" spans="1:15" ht="13.5">
      <c r="A1" s="387" t="s">
        <v>30</v>
      </c>
      <c r="B1" s="450" t="str">
        <f>'Info '!C2</f>
        <v>JSC Isbank Georgia</v>
      </c>
      <c r="F1" s="396"/>
      <c r="G1" s="396"/>
      <c r="J1" s="396"/>
      <c r="K1" s="396"/>
      <c r="L1" s="396"/>
      <c r="M1" s="396"/>
      <c r="N1" s="396"/>
    </row>
    <row r="2" spans="1:15" ht="13.5">
      <c r="A2" s="388" t="s">
        <v>31</v>
      </c>
      <c r="B2" s="451">
        <f>'1. key ratios '!B2</f>
        <v>44561</v>
      </c>
      <c r="F2" s="396"/>
      <c r="G2" s="396"/>
      <c r="J2" s="396"/>
      <c r="K2" s="396"/>
      <c r="L2" s="396"/>
      <c r="M2" s="396"/>
      <c r="N2" s="396"/>
    </row>
    <row r="3" spans="1:15">
      <c r="A3" s="389" t="s">
        <v>670</v>
      </c>
      <c r="F3" s="396"/>
      <c r="G3" s="396"/>
      <c r="J3" s="396"/>
      <c r="K3" s="396"/>
      <c r="L3" s="396"/>
      <c r="M3" s="396"/>
      <c r="N3" s="396"/>
    </row>
    <row r="4" spans="1:15">
      <c r="F4" s="396"/>
      <c r="G4" s="396"/>
      <c r="J4" s="396"/>
      <c r="K4" s="396"/>
      <c r="L4" s="396"/>
      <c r="M4" s="396"/>
      <c r="N4" s="396"/>
    </row>
    <row r="5" spans="1:15" ht="46.5" customHeight="1">
      <c r="A5" s="759" t="s">
        <v>695</v>
      </c>
      <c r="B5" s="760"/>
      <c r="C5" s="804" t="s">
        <v>671</v>
      </c>
      <c r="D5" s="805"/>
      <c r="E5" s="805"/>
      <c r="F5" s="805"/>
      <c r="G5" s="805"/>
      <c r="H5" s="806"/>
      <c r="I5" s="804" t="s">
        <v>672</v>
      </c>
      <c r="J5" s="807"/>
      <c r="K5" s="807"/>
      <c r="L5" s="807"/>
      <c r="M5" s="807"/>
      <c r="N5" s="808"/>
      <c r="O5" s="809" t="s">
        <v>673</v>
      </c>
    </row>
    <row r="6" spans="1:15" ht="75" customHeight="1">
      <c r="A6" s="763"/>
      <c r="B6" s="764"/>
      <c r="C6" s="415"/>
      <c r="D6" s="416" t="s">
        <v>674</v>
      </c>
      <c r="E6" s="416" t="s">
        <v>675</v>
      </c>
      <c r="F6" s="416" t="s">
        <v>676</v>
      </c>
      <c r="G6" s="416" t="s">
        <v>677</v>
      </c>
      <c r="H6" s="416" t="s">
        <v>678</v>
      </c>
      <c r="I6" s="421"/>
      <c r="J6" s="416" t="s">
        <v>674</v>
      </c>
      <c r="K6" s="416" t="s">
        <v>675</v>
      </c>
      <c r="L6" s="416" t="s">
        <v>676</v>
      </c>
      <c r="M6" s="416" t="s">
        <v>677</v>
      </c>
      <c r="N6" s="416" t="s">
        <v>678</v>
      </c>
      <c r="O6" s="810"/>
    </row>
    <row r="7" spans="1:15">
      <c r="A7" s="393">
        <v>1</v>
      </c>
      <c r="B7" s="397" t="s">
        <v>698</v>
      </c>
      <c r="C7" s="661">
        <v>12297517.07</v>
      </c>
      <c r="D7" s="661">
        <v>12290364.279999999</v>
      </c>
      <c r="E7" s="661">
        <v>0</v>
      </c>
      <c r="F7" s="661">
        <v>0</v>
      </c>
      <c r="G7" s="661">
        <v>3324.96</v>
      </c>
      <c r="H7" s="661">
        <v>3827.83</v>
      </c>
      <c r="I7" s="661">
        <v>251297.5956</v>
      </c>
      <c r="J7" s="661">
        <v>245807.2856</v>
      </c>
      <c r="K7" s="661">
        <v>0</v>
      </c>
      <c r="L7" s="661">
        <v>0</v>
      </c>
      <c r="M7" s="661">
        <v>1662.48</v>
      </c>
      <c r="N7" s="661">
        <v>3827.83</v>
      </c>
      <c r="O7" s="657"/>
    </row>
    <row r="8" spans="1:15">
      <c r="A8" s="393">
        <v>2</v>
      </c>
      <c r="B8" s="397" t="s">
        <v>569</v>
      </c>
      <c r="C8" s="661">
        <v>46385437.109999999</v>
      </c>
      <c r="D8" s="657">
        <v>46382331.590000004</v>
      </c>
      <c r="E8" s="657">
        <v>0</v>
      </c>
      <c r="F8" s="662">
        <v>0</v>
      </c>
      <c r="G8" s="662">
        <v>3105.52</v>
      </c>
      <c r="H8" s="657">
        <v>0</v>
      </c>
      <c r="I8" s="657">
        <v>755734.29160000011</v>
      </c>
      <c r="J8" s="662">
        <v>754181.5316000001</v>
      </c>
      <c r="K8" s="662">
        <v>0</v>
      </c>
      <c r="L8" s="662">
        <v>0</v>
      </c>
      <c r="M8" s="662">
        <v>1552.76</v>
      </c>
      <c r="N8" s="662">
        <v>0</v>
      </c>
      <c r="O8" s="657"/>
    </row>
    <row r="9" spans="1:15">
      <c r="A9" s="393">
        <v>3</v>
      </c>
      <c r="B9" s="397" t="s">
        <v>570</v>
      </c>
      <c r="C9" s="661">
        <v>0</v>
      </c>
      <c r="D9" s="657">
        <v>0</v>
      </c>
      <c r="E9" s="657">
        <v>0</v>
      </c>
      <c r="F9" s="663">
        <v>0</v>
      </c>
      <c r="G9" s="663">
        <v>0</v>
      </c>
      <c r="H9" s="657">
        <v>0</v>
      </c>
      <c r="I9" s="657">
        <v>0</v>
      </c>
      <c r="J9" s="663">
        <v>0</v>
      </c>
      <c r="K9" s="663">
        <v>0</v>
      </c>
      <c r="L9" s="663">
        <v>0</v>
      </c>
      <c r="M9" s="663">
        <v>0</v>
      </c>
      <c r="N9" s="663">
        <v>0</v>
      </c>
      <c r="O9" s="657"/>
    </row>
    <row r="10" spans="1:15" ht="25.5">
      <c r="A10" s="393">
        <v>4</v>
      </c>
      <c r="B10" s="397" t="s">
        <v>699</v>
      </c>
      <c r="C10" s="661">
        <v>25130035.670000002</v>
      </c>
      <c r="D10" s="657">
        <v>24541381.98</v>
      </c>
      <c r="E10" s="657">
        <v>0</v>
      </c>
      <c r="F10" s="663">
        <v>588639.99</v>
      </c>
      <c r="G10" s="663">
        <v>0</v>
      </c>
      <c r="H10" s="657">
        <v>13.7</v>
      </c>
      <c r="I10" s="657">
        <v>667433.33659999992</v>
      </c>
      <c r="J10" s="663">
        <v>490827.63959999994</v>
      </c>
      <c r="K10" s="663">
        <v>0</v>
      </c>
      <c r="L10" s="663">
        <v>176591.997</v>
      </c>
      <c r="M10" s="663">
        <v>0</v>
      </c>
      <c r="N10" s="663">
        <v>13.7</v>
      </c>
      <c r="O10" s="657"/>
    </row>
    <row r="11" spans="1:15">
      <c r="A11" s="393">
        <v>5</v>
      </c>
      <c r="B11" s="397" t="s">
        <v>571</v>
      </c>
      <c r="C11" s="661">
        <v>13106582.529999999</v>
      </c>
      <c r="D11" s="657">
        <v>13106582.529999999</v>
      </c>
      <c r="E11" s="657">
        <v>0</v>
      </c>
      <c r="F11" s="663">
        <v>0</v>
      </c>
      <c r="G11" s="663">
        <v>0</v>
      </c>
      <c r="H11" s="657">
        <v>0</v>
      </c>
      <c r="I11" s="657">
        <v>262131.65059999999</v>
      </c>
      <c r="J11" s="663">
        <v>262131.65059999999</v>
      </c>
      <c r="K11" s="663">
        <v>0</v>
      </c>
      <c r="L11" s="663">
        <v>0</v>
      </c>
      <c r="M11" s="663">
        <v>0</v>
      </c>
      <c r="N11" s="663">
        <v>0</v>
      </c>
      <c r="O11" s="657"/>
    </row>
    <row r="12" spans="1:15">
      <c r="A12" s="393">
        <v>6</v>
      </c>
      <c r="B12" s="397" t="s">
        <v>572</v>
      </c>
      <c r="C12" s="661">
        <v>2397761.8400000003</v>
      </c>
      <c r="D12" s="657">
        <v>2359178.3300000005</v>
      </c>
      <c r="E12" s="657">
        <v>11690.25</v>
      </c>
      <c r="F12" s="663">
        <v>0</v>
      </c>
      <c r="G12" s="663">
        <v>10163.019999999999</v>
      </c>
      <c r="H12" s="657">
        <v>16730.239999999998</v>
      </c>
      <c r="I12" s="657">
        <v>70164.341600000014</v>
      </c>
      <c r="J12" s="663">
        <v>47183.566600000006</v>
      </c>
      <c r="K12" s="663">
        <v>1169.0249999999999</v>
      </c>
      <c r="L12" s="663">
        <v>0</v>
      </c>
      <c r="M12" s="663">
        <v>5081.5099999999993</v>
      </c>
      <c r="N12" s="663">
        <v>16730.239999999998</v>
      </c>
      <c r="O12" s="657"/>
    </row>
    <row r="13" spans="1:15">
      <c r="A13" s="393">
        <v>7</v>
      </c>
      <c r="B13" s="397" t="s">
        <v>573</v>
      </c>
      <c r="C13" s="661">
        <v>16692629.750000002</v>
      </c>
      <c r="D13" s="657">
        <v>16692629.750000002</v>
      </c>
      <c r="E13" s="657">
        <v>0</v>
      </c>
      <c r="F13" s="663">
        <v>0</v>
      </c>
      <c r="G13" s="663">
        <v>0</v>
      </c>
      <c r="H13" s="657">
        <v>0</v>
      </c>
      <c r="I13" s="657">
        <v>333852.59500000003</v>
      </c>
      <c r="J13" s="663">
        <v>333852.59500000003</v>
      </c>
      <c r="K13" s="663">
        <v>0</v>
      </c>
      <c r="L13" s="663">
        <v>0</v>
      </c>
      <c r="M13" s="663">
        <v>0</v>
      </c>
      <c r="N13" s="663">
        <v>0</v>
      </c>
      <c r="O13" s="657"/>
    </row>
    <row r="14" spans="1:15">
      <c r="A14" s="393">
        <v>8</v>
      </c>
      <c r="B14" s="397" t="s">
        <v>574</v>
      </c>
      <c r="C14" s="661">
        <v>10621374.780000001</v>
      </c>
      <c r="D14" s="657">
        <v>9707263.8400000017</v>
      </c>
      <c r="E14" s="657">
        <v>0</v>
      </c>
      <c r="F14" s="663">
        <v>679527.48999999987</v>
      </c>
      <c r="G14" s="663">
        <v>0</v>
      </c>
      <c r="H14" s="657">
        <v>234583.45</v>
      </c>
      <c r="I14" s="657">
        <v>632586.97380000004</v>
      </c>
      <c r="J14" s="663">
        <v>194145.27680000005</v>
      </c>
      <c r="K14" s="663">
        <v>0</v>
      </c>
      <c r="L14" s="663">
        <v>203858.24700000003</v>
      </c>
      <c r="M14" s="663">
        <v>0</v>
      </c>
      <c r="N14" s="663">
        <v>234583.45</v>
      </c>
      <c r="O14" s="657"/>
    </row>
    <row r="15" spans="1:15">
      <c r="A15" s="393">
        <v>9</v>
      </c>
      <c r="B15" s="397" t="s">
        <v>575</v>
      </c>
      <c r="C15" s="661">
        <v>5819748.9900000002</v>
      </c>
      <c r="D15" s="657">
        <v>5819748.9900000002</v>
      </c>
      <c r="E15" s="657">
        <v>0</v>
      </c>
      <c r="F15" s="663">
        <v>0</v>
      </c>
      <c r="G15" s="663">
        <v>0</v>
      </c>
      <c r="H15" s="657">
        <v>0</v>
      </c>
      <c r="I15" s="657">
        <v>116394.9798</v>
      </c>
      <c r="J15" s="663">
        <v>116394.9798</v>
      </c>
      <c r="K15" s="663">
        <v>0</v>
      </c>
      <c r="L15" s="663">
        <v>0</v>
      </c>
      <c r="M15" s="663">
        <v>0</v>
      </c>
      <c r="N15" s="663">
        <v>0</v>
      </c>
      <c r="O15" s="657"/>
    </row>
    <row r="16" spans="1:15">
      <c r="A16" s="393">
        <v>10</v>
      </c>
      <c r="B16" s="397" t="s">
        <v>576</v>
      </c>
      <c r="C16" s="661">
        <v>6248287.1799999988</v>
      </c>
      <c r="D16" s="657">
        <v>4485352.1999999993</v>
      </c>
      <c r="E16" s="657">
        <v>0</v>
      </c>
      <c r="F16" s="663">
        <v>1762934.98</v>
      </c>
      <c r="G16" s="663">
        <v>0</v>
      </c>
      <c r="H16" s="657">
        <v>0</v>
      </c>
      <c r="I16" s="657">
        <v>618587.53799999994</v>
      </c>
      <c r="J16" s="663">
        <v>89707.044000000009</v>
      </c>
      <c r="K16" s="663">
        <v>0</v>
      </c>
      <c r="L16" s="663">
        <v>528880.49399999995</v>
      </c>
      <c r="M16" s="663">
        <v>0</v>
      </c>
      <c r="N16" s="663">
        <v>0</v>
      </c>
      <c r="O16" s="657"/>
    </row>
    <row r="17" spans="1:15">
      <c r="A17" s="393">
        <v>11</v>
      </c>
      <c r="B17" s="397" t="s">
        <v>577</v>
      </c>
      <c r="C17" s="661">
        <v>13135957.199999999</v>
      </c>
      <c r="D17" s="657">
        <v>3799248.8</v>
      </c>
      <c r="E17" s="657">
        <v>9310154.1999999993</v>
      </c>
      <c r="F17" s="663">
        <v>748.76</v>
      </c>
      <c r="G17" s="663">
        <v>5252.99</v>
      </c>
      <c r="H17" s="657">
        <v>20552.45</v>
      </c>
      <c r="I17" s="657">
        <v>1030403.969</v>
      </c>
      <c r="J17" s="663">
        <v>75984.975999999995</v>
      </c>
      <c r="K17" s="663">
        <v>931015.41999999993</v>
      </c>
      <c r="L17" s="663">
        <v>224.62799999999999</v>
      </c>
      <c r="M17" s="663">
        <v>2626.4949999999999</v>
      </c>
      <c r="N17" s="663">
        <v>20552.45</v>
      </c>
      <c r="O17" s="657"/>
    </row>
    <row r="18" spans="1:15">
      <c r="A18" s="393">
        <v>12</v>
      </c>
      <c r="B18" s="397" t="s">
        <v>578</v>
      </c>
      <c r="C18" s="661">
        <v>3500032.65</v>
      </c>
      <c r="D18" s="657">
        <v>3287694.61</v>
      </c>
      <c r="E18" s="657">
        <v>28356.49</v>
      </c>
      <c r="F18" s="663">
        <v>89992.88</v>
      </c>
      <c r="G18" s="663">
        <v>0</v>
      </c>
      <c r="H18" s="657">
        <v>93988.670000000013</v>
      </c>
      <c r="I18" s="657">
        <v>189576.07519999996</v>
      </c>
      <c r="J18" s="663">
        <v>65753.892200000002</v>
      </c>
      <c r="K18" s="663">
        <v>2835.6490000000003</v>
      </c>
      <c r="L18" s="663">
        <v>26997.864000000005</v>
      </c>
      <c r="M18" s="663">
        <v>0</v>
      </c>
      <c r="N18" s="663">
        <v>93988.670000000013</v>
      </c>
      <c r="O18" s="657"/>
    </row>
    <row r="19" spans="1:15">
      <c r="A19" s="393">
        <v>13</v>
      </c>
      <c r="B19" s="397" t="s">
        <v>579</v>
      </c>
      <c r="C19" s="661">
        <v>3289340.92</v>
      </c>
      <c r="D19" s="657">
        <v>283916.60999999993</v>
      </c>
      <c r="E19" s="657">
        <v>2979874.84</v>
      </c>
      <c r="F19" s="663">
        <v>0</v>
      </c>
      <c r="G19" s="663">
        <v>2600.4</v>
      </c>
      <c r="H19" s="657">
        <v>22949.070000000003</v>
      </c>
      <c r="I19" s="657">
        <v>327915.08620000002</v>
      </c>
      <c r="J19" s="663">
        <v>5678.3321999999998</v>
      </c>
      <c r="K19" s="663">
        <v>297987.484</v>
      </c>
      <c r="L19" s="663">
        <v>0</v>
      </c>
      <c r="M19" s="663">
        <v>1300.2</v>
      </c>
      <c r="N19" s="663">
        <v>22949.070000000003</v>
      </c>
      <c r="O19" s="657"/>
    </row>
    <row r="20" spans="1:15">
      <c r="A20" s="393">
        <v>14</v>
      </c>
      <c r="B20" s="397" t="s">
        <v>580</v>
      </c>
      <c r="C20" s="661">
        <v>16210020.699999999</v>
      </c>
      <c r="D20" s="657">
        <v>9031410.5800000001</v>
      </c>
      <c r="E20" s="657">
        <v>0</v>
      </c>
      <c r="F20" s="663">
        <v>7057820.8800000008</v>
      </c>
      <c r="G20" s="663">
        <v>8886.98</v>
      </c>
      <c r="H20" s="657">
        <v>111902.25999999998</v>
      </c>
      <c r="I20" s="657">
        <v>2414320.2256000005</v>
      </c>
      <c r="J20" s="663">
        <v>180628.21160000001</v>
      </c>
      <c r="K20" s="663">
        <v>0</v>
      </c>
      <c r="L20" s="663">
        <v>2117346.264</v>
      </c>
      <c r="M20" s="663">
        <v>4443.49</v>
      </c>
      <c r="N20" s="663">
        <v>111902.25999999998</v>
      </c>
      <c r="O20" s="657"/>
    </row>
    <row r="21" spans="1:15">
      <c r="A21" s="393">
        <v>15</v>
      </c>
      <c r="B21" s="397" t="s">
        <v>581</v>
      </c>
      <c r="C21" s="661">
        <v>2843555.24</v>
      </c>
      <c r="D21" s="657">
        <v>2843092.15</v>
      </c>
      <c r="E21" s="657">
        <v>0</v>
      </c>
      <c r="F21" s="663">
        <v>0</v>
      </c>
      <c r="G21" s="663">
        <v>0</v>
      </c>
      <c r="H21" s="657">
        <v>463.09</v>
      </c>
      <c r="I21" s="657">
        <v>57324.933000000005</v>
      </c>
      <c r="J21" s="663">
        <v>56861.843000000001</v>
      </c>
      <c r="K21" s="663">
        <v>0</v>
      </c>
      <c r="L21" s="663">
        <v>0</v>
      </c>
      <c r="M21" s="663">
        <v>0</v>
      </c>
      <c r="N21" s="663">
        <v>463.09</v>
      </c>
      <c r="O21" s="657"/>
    </row>
    <row r="22" spans="1:15">
      <c r="A22" s="393">
        <v>16</v>
      </c>
      <c r="B22" s="397" t="s">
        <v>582</v>
      </c>
      <c r="C22" s="661">
        <v>0</v>
      </c>
      <c r="D22" s="657">
        <v>0</v>
      </c>
      <c r="E22" s="657">
        <v>0</v>
      </c>
      <c r="F22" s="663">
        <v>0</v>
      </c>
      <c r="G22" s="663">
        <v>0</v>
      </c>
      <c r="H22" s="657">
        <v>0</v>
      </c>
      <c r="I22" s="657">
        <v>0</v>
      </c>
      <c r="J22" s="663">
        <v>0</v>
      </c>
      <c r="K22" s="663">
        <v>0</v>
      </c>
      <c r="L22" s="663">
        <v>0</v>
      </c>
      <c r="M22" s="663">
        <v>0</v>
      </c>
      <c r="N22" s="663">
        <v>0</v>
      </c>
      <c r="O22" s="657"/>
    </row>
    <row r="23" spans="1:15">
      <c r="A23" s="393">
        <v>17</v>
      </c>
      <c r="B23" s="397" t="s">
        <v>702</v>
      </c>
      <c r="C23" s="661">
        <v>0</v>
      </c>
      <c r="D23" s="657">
        <v>0</v>
      </c>
      <c r="E23" s="657">
        <v>0</v>
      </c>
      <c r="F23" s="663">
        <v>0</v>
      </c>
      <c r="G23" s="663">
        <v>0</v>
      </c>
      <c r="H23" s="657">
        <v>0</v>
      </c>
      <c r="I23" s="657">
        <v>0</v>
      </c>
      <c r="J23" s="663">
        <v>0</v>
      </c>
      <c r="K23" s="663">
        <v>0</v>
      </c>
      <c r="L23" s="663">
        <v>0</v>
      </c>
      <c r="M23" s="663">
        <v>0</v>
      </c>
      <c r="N23" s="663">
        <v>0</v>
      </c>
      <c r="O23" s="657"/>
    </row>
    <row r="24" spans="1:15">
      <c r="A24" s="393">
        <v>18</v>
      </c>
      <c r="B24" s="397" t="s">
        <v>583</v>
      </c>
      <c r="C24" s="661">
        <v>46430969.000000007</v>
      </c>
      <c r="D24" s="657">
        <v>46430969.000000007</v>
      </c>
      <c r="E24" s="657">
        <v>0</v>
      </c>
      <c r="F24" s="663">
        <v>0</v>
      </c>
      <c r="G24" s="663">
        <v>0</v>
      </c>
      <c r="H24" s="657">
        <v>0</v>
      </c>
      <c r="I24" s="657">
        <v>928619.38000000012</v>
      </c>
      <c r="J24" s="663">
        <v>928619.38000000012</v>
      </c>
      <c r="K24" s="663">
        <v>0</v>
      </c>
      <c r="L24" s="663">
        <v>0</v>
      </c>
      <c r="M24" s="663">
        <v>0</v>
      </c>
      <c r="N24" s="663">
        <v>0</v>
      </c>
      <c r="O24" s="657"/>
    </row>
    <row r="25" spans="1:15">
      <c r="A25" s="393">
        <v>19</v>
      </c>
      <c r="B25" s="397" t="s">
        <v>584</v>
      </c>
      <c r="C25" s="661">
        <v>3503849.34</v>
      </c>
      <c r="D25" s="657">
        <v>3503849.34</v>
      </c>
      <c r="E25" s="657">
        <v>0</v>
      </c>
      <c r="F25" s="663">
        <v>0</v>
      </c>
      <c r="G25" s="663">
        <v>0</v>
      </c>
      <c r="H25" s="657">
        <v>0</v>
      </c>
      <c r="I25" s="657">
        <v>70076.986799999999</v>
      </c>
      <c r="J25" s="663">
        <v>70076.986799999999</v>
      </c>
      <c r="K25" s="663">
        <v>0</v>
      </c>
      <c r="L25" s="663">
        <v>0</v>
      </c>
      <c r="M25" s="663">
        <v>0</v>
      </c>
      <c r="N25" s="663">
        <v>0</v>
      </c>
      <c r="O25" s="657"/>
    </row>
    <row r="26" spans="1:15">
      <c r="A26" s="393">
        <v>20</v>
      </c>
      <c r="B26" s="397" t="s">
        <v>701</v>
      </c>
      <c r="C26" s="661">
        <v>8221245.3799999999</v>
      </c>
      <c r="D26" s="657">
        <v>8178209.1200000001</v>
      </c>
      <c r="E26" s="657">
        <v>366.51</v>
      </c>
      <c r="F26" s="663">
        <v>1888.35</v>
      </c>
      <c r="G26" s="663">
        <v>7908.3600000000006</v>
      </c>
      <c r="H26" s="657">
        <v>32873.040000000001</v>
      </c>
      <c r="I26" s="657">
        <v>200994.55840000001</v>
      </c>
      <c r="J26" s="663">
        <v>163564.18239999999</v>
      </c>
      <c r="K26" s="663">
        <v>36.650999999999996</v>
      </c>
      <c r="L26" s="663">
        <v>566.505</v>
      </c>
      <c r="M26" s="663">
        <v>3954.1800000000003</v>
      </c>
      <c r="N26" s="663">
        <v>32873.040000000001</v>
      </c>
      <c r="O26" s="657"/>
    </row>
    <row r="27" spans="1:15">
      <c r="A27" s="393">
        <v>21</v>
      </c>
      <c r="B27" s="397" t="s">
        <v>585</v>
      </c>
      <c r="C27" s="661">
        <v>56574.71</v>
      </c>
      <c r="D27" s="657">
        <v>56574.71</v>
      </c>
      <c r="E27" s="657">
        <v>0</v>
      </c>
      <c r="F27" s="663">
        <v>0</v>
      </c>
      <c r="G27" s="663">
        <v>0</v>
      </c>
      <c r="H27" s="657">
        <v>0</v>
      </c>
      <c r="I27" s="657">
        <v>1131.4942000000001</v>
      </c>
      <c r="J27" s="663">
        <v>1131.4942000000001</v>
      </c>
      <c r="K27" s="663">
        <v>0</v>
      </c>
      <c r="L27" s="663">
        <v>0</v>
      </c>
      <c r="M27" s="663">
        <v>0</v>
      </c>
      <c r="N27" s="663">
        <v>0</v>
      </c>
      <c r="O27" s="657"/>
    </row>
    <row r="28" spans="1:15">
      <c r="A28" s="393">
        <v>22</v>
      </c>
      <c r="B28" s="397" t="s">
        <v>586</v>
      </c>
      <c r="C28" s="661">
        <v>0</v>
      </c>
      <c r="D28" s="657">
        <v>0</v>
      </c>
      <c r="E28" s="657">
        <v>0</v>
      </c>
      <c r="F28" s="663">
        <v>0</v>
      </c>
      <c r="G28" s="663">
        <v>0</v>
      </c>
      <c r="H28" s="657">
        <v>0</v>
      </c>
      <c r="I28" s="657">
        <v>0</v>
      </c>
      <c r="J28" s="663">
        <v>0</v>
      </c>
      <c r="K28" s="663">
        <v>0</v>
      </c>
      <c r="L28" s="663">
        <v>0</v>
      </c>
      <c r="M28" s="663">
        <v>0</v>
      </c>
      <c r="N28" s="663">
        <v>0</v>
      </c>
      <c r="O28" s="657"/>
    </row>
    <row r="29" spans="1:15">
      <c r="A29" s="393">
        <v>23</v>
      </c>
      <c r="B29" s="397" t="s">
        <v>587</v>
      </c>
      <c r="C29" s="661">
        <v>11212850.378128</v>
      </c>
      <c r="D29" s="657">
        <v>10377110.359999999</v>
      </c>
      <c r="E29" s="657">
        <v>672515.26</v>
      </c>
      <c r="F29" s="663">
        <v>53764.7</v>
      </c>
      <c r="G29" s="663">
        <v>0</v>
      </c>
      <c r="H29" s="657">
        <v>109460.058128</v>
      </c>
      <c r="I29" s="657">
        <v>400383.20132799994</v>
      </c>
      <c r="J29" s="663">
        <v>207542.2072</v>
      </c>
      <c r="K29" s="663">
        <v>67251.526000000013</v>
      </c>
      <c r="L29" s="663">
        <v>16129.41</v>
      </c>
      <c r="M29" s="663">
        <v>0</v>
      </c>
      <c r="N29" s="663">
        <v>109460.058128</v>
      </c>
      <c r="O29" s="657"/>
    </row>
    <row r="30" spans="1:15">
      <c r="A30" s="393">
        <v>24</v>
      </c>
      <c r="B30" s="397" t="s">
        <v>700</v>
      </c>
      <c r="C30" s="661">
        <v>0</v>
      </c>
      <c r="D30" s="657">
        <v>0</v>
      </c>
      <c r="E30" s="657">
        <v>0</v>
      </c>
      <c r="F30" s="663">
        <v>0</v>
      </c>
      <c r="G30" s="663">
        <v>0</v>
      </c>
      <c r="H30" s="657">
        <v>0</v>
      </c>
      <c r="I30" s="657">
        <v>0</v>
      </c>
      <c r="J30" s="663">
        <v>0</v>
      </c>
      <c r="K30" s="663">
        <v>0</v>
      </c>
      <c r="L30" s="663">
        <v>0</v>
      </c>
      <c r="M30" s="663">
        <v>0</v>
      </c>
      <c r="N30" s="663">
        <v>0</v>
      </c>
      <c r="O30" s="657"/>
    </row>
    <row r="31" spans="1:15">
      <c r="A31" s="393">
        <v>25</v>
      </c>
      <c r="B31" s="397" t="s">
        <v>588</v>
      </c>
      <c r="C31" s="661">
        <v>733093.17999999993</v>
      </c>
      <c r="D31" s="657">
        <v>346163.53</v>
      </c>
      <c r="E31" s="657">
        <v>184826.49</v>
      </c>
      <c r="F31" s="663">
        <v>0</v>
      </c>
      <c r="G31" s="663">
        <v>1495.86</v>
      </c>
      <c r="H31" s="657">
        <v>200607.3</v>
      </c>
      <c r="I31" s="657">
        <v>226761.1496</v>
      </c>
      <c r="J31" s="663">
        <v>6923.2705999999998</v>
      </c>
      <c r="K31" s="663">
        <v>18482.648999999998</v>
      </c>
      <c r="L31" s="663">
        <v>0</v>
      </c>
      <c r="M31" s="663">
        <v>747.93</v>
      </c>
      <c r="N31" s="663">
        <v>200607.3</v>
      </c>
      <c r="O31" s="657"/>
    </row>
    <row r="32" spans="1:15">
      <c r="A32" s="393">
        <v>26</v>
      </c>
      <c r="B32" s="397" t="s">
        <v>697</v>
      </c>
      <c r="C32" s="661">
        <v>0</v>
      </c>
      <c r="D32" s="657">
        <v>0</v>
      </c>
      <c r="E32" s="657">
        <v>0</v>
      </c>
      <c r="F32" s="663">
        <v>0</v>
      </c>
      <c r="G32" s="663">
        <v>0</v>
      </c>
      <c r="H32" s="657">
        <v>0</v>
      </c>
      <c r="I32" s="657">
        <v>0</v>
      </c>
      <c r="J32" s="663">
        <v>0</v>
      </c>
      <c r="K32" s="663">
        <v>0</v>
      </c>
      <c r="L32" s="663">
        <v>0</v>
      </c>
      <c r="M32" s="663">
        <v>0</v>
      </c>
      <c r="N32" s="663">
        <v>0</v>
      </c>
      <c r="O32" s="657"/>
    </row>
    <row r="33" spans="1:15">
      <c r="A33" s="393">
        <v>27</v>
      </c>
      <c r="B33" s="417" t="s">
        <v>109</v>
      </c>
      <c r="C33" s="664">
        <f>SUM(C7:C32)</f>
        <v>247836863.61812797</v>
      </c>
      <c r="D33" s="664">
        <f t="shared" ref="D33:N33" si="0">SUM(D7:D32)</f>
        <v>223523072.3000001</v>
      </c>
      <c r="E33" s="664">
        <f t="shared" si="0"/>
        <v>13187784.039999999</v>
      </c>
      <c r="F33" s="664">
        <f t="shared" si="0"/>
        <v>10235318.029999999</v>
      </c>
      <c r="G33" s="664">
        <f t="shared" si="0"/>
        <v>42738.09</v>
      </c>
      <c r="H33" s="664">
        <f t="shared" si="0"/>
        <v>847951.15812799986</v>
      </c>
      <c r="I33" s="664">
        <f t="shared" si="0"/>
        <v>9555690.361928001</v>
      </c>
      <c r="J33" s="664">
        <f t="shared" si="0"/>
        <v>4296996.3458000012</v>
      </c>
      <c r="K33" s="664">
        <f t="shared" si="0"/>
        <v>1318778.4040000001</v>
      </c>
      <c r="L33" s="664">
        <f t="shared" si="0"/>
        <v>3070595.409</v>
      </c>
      <c r="M33" s="664">
        <f t="shared" si="0"/>
        <v>21369.044999999998</v>
      </c>
      <c r="N33" s="664">
        <f t="shared" si="0"/>
        <v>847951.15812799986</v>
      </c>
      <c r="O33" s="664">
        <f>'18. Assets by Exposure classes'!G21</f>
        <v>1423935</v>
      </c>
    </row>
    <row r="34" spans="1:15">
      <c r="A34" s="399"/>
      <c r="B34" s="399"/>
      <c r="C34" s="399"/>
      <c r="D34" s="399"/>
      <c r="E34" s="399"/>
      <c r="H34" s="399"/>
      <c r="I34" s="399"/>
      <c r="O34" s="399"/>
    </row>
    <row r="35" spans="1:15">
      <c r="A35" s="399"/>
      <c r="B35" s="432"/>
      <c r="C35" s="432"/>
      <c r="D35" s="399"/>
      <c r="E35" s="399"/>
      <c r="H35" s="399"/>
      <c r="I35" s="399"/>
      <c r="O35" s="399"/>
    </row>
    <row r="36" spans="1:15">
      <c r="A36" s="399"/>
      <c r="B36" s="399"/>
      <c r="C36" s="399"/>
      <c r="D36" s="399"/>
      <c r="E36" s="399"/>
      <c r="H36" s="399"/>
      <c r="I36" s="399"/>
      <c r="O36" s="399"/>
    </row>
    <row r="37" spans="1:15">
      <c r="A37" s="399"/>
      <c r="B37" s="399"/>
      <c r="C37" s="399"/>
      <c r="D37" s="399"/>
      <c r="E37" s="399"/>
      <c r="H37" s="399"/>
      <c r="I37" s="399"/>
      <c r="O37" s="399"/>
    </row>
    <row r="38" spans="1:15">
      <c r="A38" s="399"/>
      <c r="B38" s="399"/>
      <c r="C38" s="399"/>
      <c r="D38" s="399"/>
      <c r="E38" s="399"/>
      <c r="H38" s="399"/>
      <c r="I38" s="399"/>
      <c r="O38" s="399"/>
    </row>
    <row r="39" spans="1:15">
      <c r="A39" s="399"/>
      <c r="B39" s="399"/>
      <c r="C39" s="399"/>
      <c r="D39" s="399"/>
      <c r="E39" s="399"/>
      <c r="H39" s="399"/>
      <c r="I39" s="399"/>
      <c r="O39" s="399"/>
    </row>
    <row r="40" spans="1:15">
      <c r="A40" s="399"/>
      <c r="B40" s="399"/>
      <c r="C40" s="399"/>
      <c r="D40" s="399"/>
      <c r="E40" s="399"/>
      <c r="H40" s="399"/>
      <c r="I40" s="399"/>
      <c r="O40" s="399"/>
    </row>
    <row r="41" spans="1:15">
      <c r="A41" s="433"/>
      <c r="B41" s="433"/>
      <c r="C41" s="433"/>
      <c r="D41" s="399"/>
      <c r="E41" s="399"/>
      <c r="H41" s="399"/>
      <c r="I41" s="399"/>
      <c r="O41" s="399"/>
    </row>
    <row r="42" spans="1:15">
      <c r="A42" s="433"/>
      <c r="B42" s="433"/>
      <c r="C42" s="433"/>
      <c r="D42" s="399"/>
      <c r="E42" s="399"/>
      <c r="H42" s="399"/>
      <c r="I42" s="399"/>
      <c r="O42" s="399"/>
    </row>
    <row r="43" spans="1:15">
      <c r="A43" s="399"/>
      <c r="B43" s="399"/>
      <c r="C43" s="399"/>
      <c r="D43" s="399"/>
      <c r="E43" s="399"/>
      <c r="H43" s="399"/>
      <c r="I43" s="399"/>
      <c r="O43" s="399"/>
    </row>
    <row r="44" spans="1:15">
      <c r="A44" s="399"/>
      <c r="B44" s="399"/>
      <c r="C44" s="399"/>
      <c r="D44" s="399"/>
      <c r="E44" s="399"/>
      <c r="H44" s="399"/>
      <c r="I44" s="399"/>
      <c r="O44" s="399"/>
    </row>
    <row r="45" spans="1:15">
      <c r="A45" s="399"/>
      <c r="B45" s="399"/>
      <c r="C45" s="399"/>
      <c r="D45" s="399"/>
      <c r="E45" s="399"/>
      <c r="H45" s="399"/>
      <c r="I45" s="399"/>
      <c r="O45" s="399"/>
    </row>
    <row r="46" spans="1:15">
      <c r="A46" s="399"/>
      <c r="B46" s="399"/>
      <c r="C46" s="399"/>
      <c r="D46" s="399"/>
      <c r="E46" s="399"/>
      <c r="H46" s="399"/>
      <c r="I46" s="399"/>
      <c r="O46" s="399"/>
    </row>
  </sheetData>
  <mergeCells count="4">
    <mergeCell ref="A5:B6"/>
    <mergeCell ref="C5:H5"/>
    <mergeCell ref="I5:N5"/>
    <mergeCell ref="O5:O6"/>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zoomScaleNormal="100" workbookViewId="0">
      <selection activeCell="A5" sqref="A5:B5"/>
    </sheetView>
  </sheetViews>
  <sheetFormatPr defaultColWidth="8.7109375" defaultRowHeight="12"/>
  <cols>
    <col min="1" max="1" width="11.7109375" style="443" bestFit="1" customWidth="1"/>
    <col min="2" max="2" width="39.140625" style="443" bestFit="1" customWidth="1"/>
    <col min="3" max="3" width="16.140625" style="443" bestFit="1" customWidth="1"/>
    <col min="4" max="4" width="20.7109375" style="443" bestFit="1" customWidth="1"/>
    <col min="5" max="5" width="20.42578125" style="443" bestFit="1" customWidth="1"/>
    <col min="6" max="6" width="18.85546875" style="443" bestFit="1" customWidth="1"/>
    <col min="7" max="7" width="19" style="443" bestFit="1" customWidth="1"/>
    <col min="8" max="8" width="22.28515625" style="443" bestFit="1" customWidth="1"/>
    <col min="9" max="9" width="14.42578125" style="443" bestFit="1" customWidth="1"/>
    <col min="10" max="10" width="17.7109375" style="443" bestFit="1" customWidth="1"/>
    <col min="11" max="11" width="16" style="443" bestFit="1" customWidth="1"/>
    <col min="12" max="16384" width="8.7109375" style="443"/>
  </cols>
  <sheetData>
    <row r="1" spans="1:11" s="396" customFormat="1" ht="13.5">
      <c r="A1" s="387" t="s">
        <v>30</v>
      </c>
      <c r="B1" s="450" t="str">
        <f>'Info '!C2</f>
        <v>JSC Isbank Georgia</v>
      </c>
    </row>
    <row r="2" spans="1:11" s="396" customFormat="1" ht="13.5">
      <c r="A2" s="388" t="s">
        <v>31</v>
      </c>
      <c r="B2" s="451">
        <f>'1. key ratios '!B2</f>
        <v>44561</v>
      </c>
    </row>
    <row r="3" spans="1:11" s="396" customFormat="1" ht="12.75">
      <c r="A3" s="389" t="s">
        <v>679</v>
      </c>
    </row>
    <row r="4" spans="1:11">
      <c r="C4" s="444" t="s">
        <v>0</v>
      </c>
      <c r="D4" s="444" t="s">
        <v>1</v>
      </c>
      <c r="E4" s="444" t="s">
        <v>2</v>
      </c>
      <c r="F4" s="444" t="s">
        <v>3</v>
      </c>
      <c r="G4" s="444" t="s">
        <v>4</v>
      </c>
      <c r="H4" s="444" t="s">
        <v>5</v>
      </c>
      <c r="I4" s="444" t="s">
        <v>8</v>
      </c>
      <c r="J4" s="444" t="s">
        <v>9</v>
      </c>
      <c r="K4" s="444" t="s">
        <v>10</v>
      </c>
    </row>
    <row r="5" spans="1:11" ht="105" customHeight="1">
      <c r="A5" s="811" t="s">
        <v>757</v>
      </c>
      <c r="B5" s="812"/>
      <c r="C5" s="420" t="s">
        <v>680</v>
      </c>
      <c r="D5" s="420" t="s">
        <v>681</v>
      </c>
      <c r="E5" s="420" t="s">
        <v>682</v>
      </c>
      <c r="F5" s="445" t="s">
        <v>683</v>
      </c>
      <c r="G5" s="420" t="s">
        <v>684</v>
      </c>
      <c r="H5" s="420" t="s">
        <v>685</v>
      </c>
      <c r="I5" s="420" t="s">
        <v>686</v>
      </c>
      <c r="J5" s="420" t="s">
        <v>687</v>
      </c>
      <c r="K5" s="420" t="s">
        <v>688</v>
      </c>
    </row>
    <row r="6" spans="1:11" ht="12.75">
      <c r="A6" s="393">
        <v>1</v>
      </c>
      <c r="B6" s="393" t="s">
        <v>635</v>
      </c>
      <c r="C6" s="657">
        <v>4317872.3099999987</v>
      </c>
      <c r="D6" s="657">
        <v>0</v>
      </c>
      <c r="E6" s="657">
        <v>0</v>
      </c>
      <c r="F6" s="657">
        <v>0</v>
      </c>
      <c r="G6" s="657">
        <v>109303486.23463638</v>
      </c>
      <c r="H6" s="657">
        <v>0</v>
      </c>
      <c r="I6" s="657">
        <v>33594622.764030412</v>
      </c>
      <c r="J6" s="657">
        <v>47040989.561105452</v>
      </c>
      <c r="K6" s="657">
        <v>53579892.748355694</v>
      </c>
    </row>
    <row r="7" spans="1:11" ht="12.75">
      <c r="A7" s="393">
        <v>2</v>
      </c>
      <c r="B7" s="393" t="s">
        <v>689</v>
      </c>
      <c r="C7" s="657">
        <v>0</v>
      </c>
      <c r="D7" s="657">
        <v>0</v>
      </c>
      <c r="E7" s="657">
        <v>0</v>
      </c>
      <c r="F7" s="657">
        <v>0</v>
      </c>
      <c r="G7" s="657">
        <v>0</v>
      </c>
      <c r="H7" s="657">
        <v>0</v>
      </c>
      <c r="I7" s="657">
        <v>0</v>
      </c>
      <c r="J7" s="657">
        <v>0</v>
      </c>
      <c r="K7" s="657">
        <v>20211172.790621206</v>
      </c>
    </row>
    <row r="8" spans="1:11" ht="12.75">
      <c r="A8" s="393">
        <v>3</v>
      </c>
      <c r="B8" s="393" t="s">
        <v>643</v>
      </c>
      <c r="C8" s="657">
        <v>264399.77600000001</v>
      </c>
      <c r="D8" s="657"/>
      <c r="E8" s="657">
        <v>0</v>
      </c>
      <c r="F8" s="657">
        <v>0</v>
      </c>
      <c r="G8" s="657">
        <v>18457008.739535872</v>
      </c>
      <c r="H8" s="657">
        <v>0</v>
      </c>
      <c r="I8" s="657">
        <v>294150.01046412636</v>
      </c>
      <c r="J8" s="657">
        <v>4339889.9399999995</v>
      </c>
      <c r="K8" s="657">
        <v>87188029.58494401</v>
      </c>
    </row>
    <row r="9" spans="1:11" ht="12.75">
      <c r="A9" s="393">
        <v>4</v>
      </c>
      <c r="B9" s="418" t="s">
        <v>690</v>
      </c>
      <c r="C9" s="657">
        <v>0</v>
      </c>
      <c r="D9" s="657"/>
      <c r="E9" s="657">
        <v>0</v>
      </c>
      <c r="F9" s="657">
        <v>0</v>
      </c>
      <c r="G9" s="657">
        <v>10470693.08</v>
      </c>
      <c r="H9" s="657">
        <v>0</v>
      </c>
      <c r="I9" s="657">
        <v>64938.337294541321</v>
      </c>
      <c r="J9" s="657">
        <v>395258.97270545876</v>
      </c>
      <c r="K9" s="657">
        <v>195116.88812800002</v>
      </c>
    </row>
    <row r="10" spans="1:11" ht="12.75">
      <c r="A10" s="393">
        <v>5</v>
      </c>
      <c r="B10" s="418" t="s">
        <v>691</v>
      </c>
      <c r="C10" s="657"/>
      <c r="D10" s="657"/>
      <c r="E10" s="657"/>
      <c r="F10" s="657"/>
      <c r="G10" s="657"/>
      <c r="H10" s="657"/>
      <c r="I10" s="657"/>
      <c r="J10" s="657"/>
      <c r="K10" s="657"/>
    </row>
    <row r="11" spans="1:11" ht="12.75">
      <c r="A11" s="393">
        <v>6</v>
      </c>
      <c r="B11" s="418" t="s">
        <v>692</v>
      </c>
      <c r="C11" s="657"/>
      <c r="D11" s="657"/>
      <c r="E11" s="657"/>
      <c r="F11" s="657"/>
      <c r="G11" s="657"/>
      <c r="H11" s="657"/>
      <c r="I11" s="657"/>
      <c r="J11" s="657"/>
      <c r="K11" s="657"/>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showGridLines="0" zoomScale="90" zoomScaleNormal="90" workbookViewId="0">
      <selection activeCell="A5" sqref="A5:B6"/>
    </sheetView>
  </sheetViews>
  <sheetFormatPr defaultRowHeight="15"/>
  <cols>
    <col min="1" max="1" width="10" bestFit="1" customWidth="1"/>
    <col min="2" max="2" width="70.85546875" customWidth="1"/>
    <col min="3" max="3" width="10.5703125" bestFit="1" customWidth="1"/>
    <col min="4" max="8" width="9.85546875" customWidth="1"/>
    <col min="9" max="9" width="10.5703125" bestFit="1" customWidth="1"/>
    <col min="10" max="14" width="11.85546875" customWidth="1"/>
    <col min="15" max="15" width="12.42578125" bestFit="1" customWidth="1"/>
    <col min="16" max="16" width="34.140625" bestFit="1" customWidth="1"/>
    <col min="17" max="17" width="34.140625" customWidth="1"/>
    <col min="18" max="18" width="33.5703125" bestFit="1" customWidth="1"/>
    <col min="19" max="19" width="36.5703125" bestFit="1" customWidth="1"/>
  </cols>
  <sheetData>
    <row r="1" spans="1:19">
      <c r="A1" s="387" t="s">
        <v>30</v>
      </c>
      <c r="B1" s="450" t="str">
        <f>'Info '!C2</f>
        <v>JSC Isbank Georgia</v>
      </c>
    </row>
    <row r="2" spans="1:19">
      <c r="A2" s="388" t="s">
        <v>31</v>
      </c>
      <c r="B2" s="451">
        <f>'1. key ratios '!B2</f>
        <v>44561</v>
      </c>
    </row>
    <row r="3" spans="1:19">
      <c r="A3" s="389" t="s">
        <v>732</v>
      </c>
      <c r="B3" s="396"/>
    </row>
    <row r="4" spans="1:19">
      <c r="A4" s="389"/>
      <c r="B4" s="396"/>
    </row>
    <row r="5" spans="1:19">
      <c r="A5" s="814" t="s">
        <v>733</v>
      </c>
      <c r="B5" s="814"/>
      <c r="C5" s="815" t="s">
        <v>734</v>
      </c>
      <c r="D5" s="815"/>
      <c r="E5" s="815"/>
      <c r="F5" s="815"/>
      <c r="G5" s="815"/>
      <c r="H5" s="815"/>
      <c r="I5" s="815" t="s">
        <v>735</v>
      </c>
      <c r="J5" s="815"/>
      <c r="K5" s="815"/>
      <c r="L5" s="815"/>
      <c r="M5" s="815"/>
      <c r="N5" s="816"/>
      <c r="O5" s="813" t="s">
        <v>736</v>
      </c>
      <c r="P5" s="813" t="s">
        <v>737</v>
      </c>
      <c r="Q5" s="813" t="s">
        <v>738</v>
      </c>
      <c r="R5" s="813" t="s">
        <v>739</v>
      </c>
      <c r="S5" s="813" t="s">
        <v>740</v>
      </c>
    </row>
    <row r="6" spans="1:19" ht="24" customHeight="1">
      <c r="A6" s="814"/>
      <c r="B6" s="814"/>
      <c r="C6" s="697"/>
      <c r="D6" s="698" t="s">
        <v>674</v>
      </c>
      <c r="E6" s="698" t="s">
        <v>675</v>
      </c>
      <c r="F6" s="698" t="s">
        <v>676</v>
      </c>
      <c r="G6" s="698" t="s">
        <v>677</v>
      </c>
      <c r="H6" s="698" t="s">
        <v>678</v>
      </c>
      <c r="I6" s="697"/>
      <c r="J6" s="698" t="s">
        <v>674</v>
      </c>
      <c r="K6" s="698" t="s">
        <v>675</v>
      </c>
      <c r="L6" s="698" t="s">
        <v>676</v>
      </c>
      <c r="M6" s="698" t="s">
        <v>677</v>
      </c>
      <c r="N6" s="699" t="s">
        <v>678</v>
      </c>
      <c r="O6" s="813"/>
      <c r="P6" s="813"/>
      <c r="Q6" s="813"/>
      <c r="R6" s="813"/>
      <c r="S6" s="813"/>
    </row>
    <row r="7" spans="1:19">
      <c r="A7" s="680">
        <v>1</v>
      </c>
      <c r="B7" s="681" t="s">
        <v>741</v>
      </c>
      <c r="C7" s="693">
        <f>SUM(D7:H7)</f>
        <v>0</v>
      </c>
      <c r="D7" s="693">
        <v>0</v>
      </c>
      <c r="E7" s="693">
        <v>0</v>
      </c>
      <c r="F7" s="693">
        <v>0</v>
      </c>
      <c r="G7" s="693">
        <v>0</v>
      </c>
      <c r="H7" s="693">
        <v>0</v>
      </c>
      <c r="I7" s="693">
        <f>SUM(J7:N7)</f>
        <v>0</v>
      </c>
      <c r="J7" s="693">
        <v>0</v>
      </c>
      <c r="K7" s="693">
        <v>0</v>
      </c>
      <c r="L7" s="693">
        <v>0</v>
      </c>
      <c r="M7" s="693">
        <v>0</v>
      </c>
      <c r="N7" s="693">
        <v>0</v>
      </c>
      <c r="O7" s="694">
        <v>0</v>
      </c>
      <c r="P7" s="695">
        <v>0</v>
      </c>
      <c r="Q7" s="695">
        <v>0</v>
      </c>
      <c r="R7" s="695">
        <v>0</v>
      </c>
      <c r="S7" s="690">
        <v>0</v>
      </c>
    </row>
    <row r="8" spans="1:19">
      <c r="A8" s="680">
        <v>2</v>
      </c>
      <c r="B8" s="682" t="s">
        <v>742</v>
      </c>
      <c r="C8" s="693">
        <f t="shared" ref="C8:C18" si="0">SUM(D8:H8)</f>
        <v>3688589.6900000004</v>
      </c>
      <c r="D8" s="693">
        <v>3328821.5100000007</v>
      </c>
      <c r="E8" s="693">
        <v>8078.34</v>
      </c>
      <c r="F8" s="693">
        <v>1038.8699999999999</v>
      </c>
      <c r="G8" s="693">
        <v>42338.09</v>
      </c>
      <c r="H8" s="693">
        <v>308312.88</v>
      </c>
      <c r="I8" s="693">
        <f t="shared" ref="I8:I18" si="1">SUM(J8:N8)</f>
        <v>397177.85019999999</v>
      </c>
      <c r="J8" s="693">
        <v>66576.430200000003</v>
      </c>
      <c r="K8" s="693">
        <v>807.83400000000006</v>
      </c>
      <c r="L8" s="693">
        <v>311.661</v>
      </c>
      <c r="M8" s="693">
        <v>21169.044999999998</v>
      </c>
      <c r="N8" s="693">
        <v>308312.88</v>
      </c>
      <c r="O8" s="694">
        <v>164</v>
      </c>
      <c r="P8" s="695">
        <v>0.11584351100831179</v>
      </c>
      <c r="Q8" s="695">
        <v>0.12275359975372446</v>
      </c>
      <c r="R8" s="695">
        <v>0.12094149156568287</v>
      </c>
      <c r="S8" s="690">
        <v>35.052775878956581</v>
      </c>
    </row>
    <row r="9" spans="1:19">
      <c r="A9" s="680">
        <v>3</v>
      </c>
      <c r="B9" s="682" t="s">
        <v>743</v>
      </c>
      <c r="C9" s="693">
        <f t="shared" si="0"/>
        <v>0</v>
      </c>
      <c r="D9" s="693">
        <v>0</v>
      </c>
      <c r="E9" s="693">
        <v>0</v>
      </c>
      <c r="F9" s="693">
        <v>0</v>
      </c>
      <c r="G9" s="693">
        <v>0</v>
      </c>
      <c r="H9" s="693">
        <v>0</v>
      </c>
      <c r="I9" s="693">
        <f t="shared" si="1"/>
        <v>0</v>
      </c>
      <c r="J9" s="693">
        <v>0</v>
      </c>
      <c r="K9" s="693">
        <v>0</v>
      </c>
      <c r="L9" s="693">
        <v>0</v>
      </c>
      <c r="M9" s="693">
        <v>0</v>
      </c>
      <c r="N9" s="693">
        <v>0</v>
      </c>
      <c r="O9" s="694">
        <v>0</v>
      </c>
      <c r="P9" s="695">
        <v>0</v>
      </c>
      <c r="Q9" s="695">
        <v>0</v>
      </c>
      <c r="R9" s="695">
        <v>0</v>
      </c>
      <c r="S9" s="690">
        <v>0</v>
      </c>
    </row>
    <row r="10" spans="1:19">
      <c r="A10" s="680">
        <v>4</v>
      </c>
      <c r="B10" s="682" t="s">
        <v>744</v>
      </c>
      <c r="C10" s="693">
        <f t="shared" si="0"/>
        <v>0</v>
      </c>
      <c r="D10" s="693">
        <v>0</v>
      </c>
      <c r="E10" s="693">
        <v>0</v>
      </c>
      <c r="F10" s="693">
        <v>0</v>
      </c>
      <c r="G10" s="693">
        <v>0</v>
      </c>
      <c r="H10" s="693">
        <v>0</v>
      </c>
      <c r="I10" s="693">
        <f t="shared" si="1"/>
        <v>0</v>
      </c>
      <c r="J10" s="693">
        <v>0</v>
      </c>
      <c r="K10" s="693">
        <v>0</v>
      </c>
      <c r="L10" s="693">
        <v>0</v>
      </c>
      <c r="M10" s="693">
        <v>0</v>
      </c>
      <c r="N10" s="693">
        <v>0</v>
      </c>
      <c r="O10" s="694">
        <v>0</v>
      </c>
      <c r="P10" s="695">
        <v>0</v>
      </c>
      <c r="Q10" s="695">
        <v>0</v>
      </c>
      <c r="R10" s="695">
        <v>0</v>
      </c>
      <c r="S10" s="690">
        <v>0</v>
      </c>
    </row>
    <row r="11" spans="1:19">
      <c r="A11" s="680">
        <v>5</v>
      </c>
      <c r="B11" s="682" t="s">
        <v>745</v>
      </c>
      <c r="C11" s="693">
        <f t="shared" si="0"/>
        <v>42730.939999999988</v>
      </c>
      <c r="D11" s="693">
        <v>36336.079999999987</v>
      </c>
      <c r="E11" s="693">
        <v>366.51</v>
      </c>
      <c r="F11" s="693">
        <v>1888.35</v>
      </c>
      <c r="G11" s="693">
        <v>400</v>
      </c>
      <c r="H11" s="693">
        <v>3740</v>
      </c>
      <c r="I11" s="693">
        <f t="shared" si="1"/>
        <v>5269.8775999999998</v>
      </c>
      <c r="J11" s="693">
        <v>726.72160000000008</v>
      </c>
      <c r="K11" s="693">
        <v>36.650999999999996</v>
      </c>
      <c r="L11" s="693">
        <v>566.505</v>
      </c>
      <c r="M11" s="693">
        <v>200</v>
      </c>
      <c r="N11" s="693">
        <v>3740</v>
      </c>
      <c r="O11" s="694">
        <v>53</v>
      </c>
      <c r="P11" s="695">
        <v>0.14562636384675767</v>
      </c>
      <c r="Q11" s="695">
        <v>0.16079999999999994</v>
      </c>
      <c r="R11" s="695">
        <v>0.14548482200485174</v>
      </c>
      <c r="S11" s="690">
        <v>0</v>
      </c>
    </row>
    <row r="12" spans="1:19">
      <c r="A12" s="680">
        <v>6</v>
      </c>
      <c r="B12" s="682" t="s">
        <v>746</v>
      </c>
      <c r="C12" s="693">
        <f t="shared" si="0"/>
        <v>0</v>
      </c>
      <c r="D12" s="693">
        <v>0</v>
      </c>
      <c r="E12" s="693">
        <v>0</v>
      </c>
      <c r="F12" s="693">
        <v>0</v>
      </c>
      <c r="G12" s="693">
        <v>0</v>
      </c>
      <c r="H12" s="693">
        <v>0</v>
      </c>
      <c r="I12" s="693">
        <f t="shared" si="1"/>
        <v>0</v>
      </c>
      <c r="J12" s="693">
        <v>0</v>
      </c>
      <c r="K12" s="693">
        <v>0</v>
      </c>
      <c r="L12" s="693">
        <v>0</v>
      </c>
      <c r="M12" s="693">
        <v>0</v>
      </c>
      <c r="N12" s="693">
        <v>0</v>
      </c>
      <c r="O12" s="694">
        <v>0</v>
      </c>
      <c r="P12" s="695">
        <v>0</v>
      </c>
      <c r="Q12" s="695">
        <v>0</v>
      </c>
      <c r="R12" s="695">
        <v>0</v>
      </c>
      <c r="S12" s="690">
        <v>0</v>
      </c>
    </row>
    <row r="13" spans="1:19">
      <c r="A13" s="680">
        <v>7</v>
      </c>
      <c r="B13" s="682" t="s">
        <v>747</v>
      </c>
      <c r="C13" s="693">
        <f>SUM(C14:C16)</f>
        <v>2921115.9781280002</v>
      </c>
      <c r="D13" s="693">
        <f t="shared" ref="D13:O13" si="2">SUM(D14:D16)</f>
        <v>1617153.19</v>
      </c>
      <c r="E13" s="693">
        <f t="shared" si="2"/>
        <v>406123.93999999994</v>
      </c>
      <c r="F13" s="693">
        <f t="shared" si="2"/>
        <v>752039.9</v>
      </c>
      <c r="G13" s="693">
        <f t="shared" si="2"/>
        <v>0</v>
      </c>
      <c r="H13" s="693">
        <f t="shared" si="2"/>
        <v>145798.94812799999</v>
      </c>
      <c r="I13" s="693">
        <f t="shared" si="2"/>
        <v>444366.37592799996</v>
      </c>
      <c r="J13" s="693">
        <f t="shared" si="2"/>
        <v>32343.063800000004</v>
      </c>
      <c r="K13" s="693">
        <f t="shared" si="2"/>
        <v>40612.394</v>
      </c>
      <c r="L13" s="693">
        <f t="shared" si="2"/>
        <v>225611.96999999997</v>
      </c>
      <c r="M13" s="693">
        <f t="shared" si="2"/>
        <v>0</v>
      </c>
      <c r="N13" s="693">
        <f t="shared" si="2"/>
        <v>145798.94812799999</v>
      </c>
      <c r="O13" s="693">
        <f t="shared" si="2"/>
        <v>33</v>
      </c>
      <c r="P13" s="695">
        <v>0.12624657</v>
      </c>
      <c r="Q13" s="695">
        <v>0.13376166870568085</v>
      </c>
      <c r="R13" s="695">
        <v>0.11352180598735173</v>
      </c>
      <c r="S13" s="690">
        <v>90.461209577173321</v>
      </c>
    </row>
    <row r="14" spans="1:19">
      <c r="A14" s="683">
        <v>7.1</v>
      </c>
      <c r="B14" s="684" t="s">
        <v>748</v>
      </c>
      <c r="C14" s="689">
        <f t="shared" si="0"/>
        <v>2613515.7281280002</v>
      </c>
      <c r="D14" s="689">
        <v>1371732.64</v>
      </c>
      <c r="E14" s="689">
        <v>406123.93999999994</v>
      </c>
      <c r="F14" s="689">
        <v>752039.9</v>
      </c>
      <c r="G14" s="689">
        <v>0</v>
      </c>
      <c r="H14" s="689">
        <v>83619.248127999992</v>
      </c>
      <c r="I14" s="689">
        <f t="shared" si="1"/>
        <v>377278.26492799999</v>
      </c>
      <c r="J14" s="689">
        <v>27434.652800000003</v>
      </c>
      <c r="K14" s="689">
        <v>40612.394</v>
      </c>
      <c r="L14" s="689">
        <v>225611.96999999997</v>
      </c>
      <c r="M14" s="689">
        <v>0</v>
      </c>
      <c r="N14" s="689">
        <v>83619.248127999992</v>
      </c>
      <c r="O14" s="690">
        <v>27</v>
      </c>
      <c r="P14" s="695">
        <v>0.12624657</v>
      </c>
      <c r="Q14" s="695">
        <v>0.13376166870568085</v>
      </c>
      <c r="R14" s="695">
        <v>0.11397399722517046</v>
      </c>
      <c r="S14" s="690">
        <v>90.577593656548729</v>
      </c>
    </row>
    <row r="15" spans="1:19">
      <c r="A15" s="683">
        <v>7.2</v>
      </c>
      <c r="B15" s="684" t="s">
        <v>749</v>
      </c>
      <c r="C15" s="689">
        <f t="shared" si="0"/>
        <v>307600.25</v>
      </c>
      <c r="D15" s="689">
        <v>245420.55</v>
      </c>
      <c r="E15" s="689">
        <v>0</v>
      </c>
      <c r="F15" s="689">
        <v>0</v>
      </c>
      <c r="G15" s="689">
        <v>0</v>
      </c>
      <c r="H15" s="689">
        <v>62179.7</v>
      </c>
      <c r="I15" s="689">
        <f t="shared" si="1"/>
        <v>67088.111000000004</v>
      </c>
      <c r="J15" s="689">
        <v>4908.4110000000001</v>
      </c>
      <c r="K15" s="689">
        <v>0</v>
      </c>
      <c r="L15" s="689">
        <v>0</v>
      </c>
      <c r="M15" s="689">
        <v>0</v>
      </c>
      <c r="N15" s="689">
        <v>62179.7</v>
      </c>
      <c r="O15" s="690">
        <v>6</v>
      </c>
      <c r="P15" s="695">
        <v>0</v>
      </c>
      <c r="Q15" s="695">
        <v>0</v>
      </c>
      <c r="R15" s="695">
        <v>0.10967977753594153</v>
      </c>
      <c r="S15" s="690">
        <v>75.03549536809011</v>
      </c>
    </row>
    <row r="16" spans="1:19">
      <c r="A16" s="683">
        <v>7.3</v>
      </c>
      <c r="B16" s="684" t="s">
        <v>750</v>
      </c>
      <c r="C16" s="689">
        <f t="shared" si="0"/>
        <v>0</v>
      </c>
      <c r="D16" s="689">
        <v>0</v>
      </c>
      <c r="E16" s="689">
        <v>0</v>
      </c>
      <c r="F16" s="689">
        <v>0</v>
      </c>
      <c r="G16" s="689">
        <v>0</v>
      </c>
      <c r="H16" s="689">
        <v>0</v>
      </c>
      <c r="I16" s="689">
        <f t="shared" si="1"/>
        <v>0</v>
      </c>
      <c r="J16" s="689">
        <v>0</v>
      </c>
      <c r="K16" s="689">
        <v>0</v>
      </c>
      <c r="L16" s="689">
        <v>0</v>
      </c>
      <c r="M16" s="689">
        <v>0</v>
      </c>
      <c r="N16" s="689">
        <v>0</v>
      </c>
      <c r="O16" s="690">
        <v>0</v>
      </c>
      <c r="P16" s="695">
        <v>0</v>
      </c>
      <c r="Q16" s="695">
        <v>0</v>
      </c>
      <c r="R16" s="695">
        <v>0</v>
      </c>
      <c r="S16" s="690">
        <v>0</v>
      </c>
    </row>
    <row r="17" spans="1:19">
      <c r="A17" s="680">
        <v>8</v>
      </c>
      <c r="B17" s="682" t="s">
        <v>751</v>
      </c>
      <c r="C17" s="689">
        <f t="shared" si="0"/>
        <v>0</v>
      </c>
      <c r="D17" s="689">
        <v>0</v>
      </c>
      <c r="E17" s="689">
        <v>0</v>
      </c>
      <c r="F17" s="689">
        <v>0</v>
      </c>
      <c r="G17" s="689">
        <v>0</v>
      </c>
      <c r="H17" s="689">
        <v>0</v>
      </c>
      <c r="I17" s="689">
        <f t="shared" si="1"/>
        <v>0</v>
      </c>
      <c r="J17" s="689">
        <v>0</v>
      </c>
      <c r="K17" s="689">
        <v>0</v>
      </c>
      <c r="L17" s="689">
        <v>0</v>
      </c>
      <c r="M17" s="689">
        <v>0</v>
      </c>
      <c r="N17" s="689">
        <v>0</v>
      </c>
      <c r="O17" s="690">
        <v>0</v>
      </c>
      <c r="P17" s="695">
        <v>0</v>
      </c>
      <c r="Q17" s="695">
        <v>0</v>
      </c>
      <c r="R17" s="695">
        <v>0</v>
      </c>
      <c r="S17" s="690">
        <v>0</v>
      </c>
    </row>
    <row r="18" spans="1:19">
      <c r="A18" s="685">
        <v>9</v>
      </c>
      <c r="B18" s="686" t="s">
        <v>752</v>
      </c>
      <c r="C18" s="689">
        <f t="shared" si="0"/>
        <v>0</v>
      </c>
      <c r="D18" s="691">
        <v>0</v>
      </c>
      <c r="E18" s="691">
        <v>0</v>
      </c>
      <c r="F18" s="691">
        <v>0</v>
      </c>
      <c r="G18" s="691">
        <v>0</v>
      </c>
      <c r="H18" s="691">
        <v>0</v>
      </c>
      <c r="I18" s="689">
        <f t="shared" si="1"/>
        <v>0</v>
      </c>
      <c r="J18" s="691">
        <v>0</v>
      </c>
      <c r="K18" s="691">
        <v>0</v>
      </c>
      <c r="L18" s="691">
        <v>0</v>
      </c>
      <c r="M18" s="691">
        <v>0</v>
      </c>
      <c r="N18" s="691">
        <v>0</v>
      </c>
      <c r="O18" s="692">
        <v>0</v>
      </c>
      <c r="P18" s="696">
        <v>0</v>
      </c>
      <c r="Q18" s="696">
        <v>0</v>
      </c>
      <c r="R18" s="696">
        <v>0</v>
      </c>
      <c r="S18" s="692">
        <v>0</v>
      </c>
    </row>
    <row r="19" spans="1:19">
      <c r="A19" s="687">
        <v>10</v>
      </c>
      <c r="B19" s="688" t="s">
        <v>753</v>
      </c>
      <c r="C19" s="693">
        <f>SUM(C7:C13,C17+C18)</f>
        <v>6652436.6081280001</v>
      </c>
      <c r="D19" s="693">
        <f t="shared" ref="D19:O19" si="3">SUM(D7:D13,D17+D18)</f>
        <v>4982310.7800000012</v>
      </c>
      <c r="E19" s="693">
        <f t="shared" si="3"/>
        <v>414568.78999999992</v>
      </c>
      <c r="F19" s="693">
        <f t="shared" si="3"/>
        <v>754967.12</v>
      </c>
      <c r="G19" s="693">
        <f t="shared" si="3"/>
        <v>42738.09</v>
      </c>
      <c r="H19" s="693">
        <f t="shared" si="3"/>
        <v>457851.82812800002</v>
      </c>
      <c r="I19" s="693">
        <f t="shared" si="3"/>
        <v>846814.10372799996</v>
      </c>
      <c r="J19" s="693">
        <f t="shared" si="3"/>
        <v>99646.21560000001</v>
      </c>
      <c r="K19" s="693">
        <f t="shared" si="3"/>
        <v>41456.879000000001</v>
      </c>
      <c r="L19" s="693">
        <f t="shared" si="3"/>
        <v>226490.13599999997</v>
      </c>
      <c r="M19" s="693">
        <f t="shared" si="3"/>
        <v>21369.044999999998</v>
      </c>
      <c r="N19" s="693">
        <f t="shared" si="3"/>
        <v>457851.82812800002</v>
      </c>
      <c r="O19" s="693">
        <f t="shared" si="3"/>
        <v>250</v>
      </c>
      <c r="P19" s="695">
        <v>0.12034946068078047</v>
      </c>
      <c r="Q19" s="695">
        <v>0.12817833252988409</v>
      </c>
      <c r="R19" s="695">
        <v>0.11784112342539077</v>
      </c>
      <c r="S19" s="690">
        <v>59.15772153752399</v>
      </c>
    </row>
    <row r="20" spans="1:19" ht="25.5">
      <c r="A20" s="683">
        <v>10.1</v>
      </c>
      <c r="B20" s="684" t="s">
        <v>754</v>
      </c>
      <c r="C20" s="689"/>
      <c r="D20" s="689"/>
      <c r="E20" s="689"/>
      <c r="F20" s="689"/>
      <c r="G20" s="689"/>
      <c r="H20" s="689"/>
      <c r="I20" s="689"/>
      <c r="J20" s="689"/>
      <c r="K20" s="689"/>
      <c r="L20" s="689"/>
      <c r="M20" s="689"/>
      <c r="N20" s="689"/>
      <c r="O20" s="690"/>
      <c r="P20" s="690"/>
      <c r="Q20" s="690"/>
      <c r="R20" s="690"/>
      <c r="S20" s="690"/>
    </row>
  </sheetData>
  <mergeCells count="8">
    <mergeCell ref="R5:R6"/>
    <mergeCell ref="S5:S6"/>
    <mergeCell ref="A5:B6"/>
    <mergeCell ref="C5:H5"/>
    <mergeCell ref="I5:N5"/>
    <mergeCell ref="O5:O6"/>
    <mergeCell ref="P5:P6"/>
    <mergeCell ref="Q5:Q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4.25"/>
  <cols>
    <col min="1" max="1" width="9.5703125" style="4" bestFit="1" customWidth="1"/>
    <col min="2" max="2" width="41" style="4" bestFit="1" customWidth="1"/>
    <col min="3" max="3" width="12" style="4" bestFit="1" customWidth="1"/>
    <col min="4" max="4" width="13.28515625" style="4" customWidth="1"/>
    <col min="5" max="8" width="12" style="4" bestFit="1" customWidth="1"/>
    <col min="9" max="16384" width="9.28515625" style="5"/>
  </cols>
  <sheetData>
    <row r="1" spans="1:8">
      <c r="A1" s="449" t="s">
        <v>30</v>
      </c>
      <c r="B1" s="450" t="str">
        <f>'Info '!C2</f>
        <v>JSC Isbank Georgia</v>
      </c>
    </row>
    <row r="2" spans="1:8">
      <c r="A2" s="449" t="s">
        <v>31</v>
      </c>
      <c r="B2" s="451">
        <f>'1. key ratios '!B2</f>
        <v>44561</v>
      </c>
    </row>
    <row r="3" spans="1:8">
      <c r="A3" s="2"/>
    </row>
    <row r="4" spans="1:8" ht="15" thickBot="1">
      <c r="A4" s="23" t="s">
        <v>32</v>
      </c>
      <c r="B4" s="24" t="s">
        <v>33</v>
      </c>
      <c r="C4" s="23"/>
      <c r="D4" s="25"/>
      <c r="E4" s="25"/>
      <c r="F4" s="26"/>
      <c r="G4" s="26"/>
      <c r="H4" s="469" t="s">
        <v>73</v>
      </c>
    </row>
    <row r="5" spans="1:8">
      <c r="A5" s="27"/>
      <c r="B5" s="28"/>
      <c r="C5" s="704" t="s">
        <v>68</v>
      </c>
      <c r="D5" s="705"/>
      <c r="E5" s="706"/>
      <c r="F5" s="704" t="s">
        <v>72</v>
      </c>
      <c r="G5" s="705"/>
      <c r="H5" s="707"/>
    </row>
    <row r="6" spans="1:8">
      <c r="A6" s="29" t="s">
        <v>6</v>
      </c>
      <c r="B6" s="470" t="s">
        <v>34</v>
      </c>
      <c r="C6" s="471" t="s">
        <v>69</v>
      </c>
      <c r="D6" s="471" t="s">
        <v>70</v>
      </c>
      <c r="E6" s="471" t="s">
        <v>71</v>
      </c>
      <c r="F6" s="471" t="s">
        <v>69</v>
      </c>
      <c r="G6" s="471" t="s">
        <v>70</v>
      </c>
      <c r="H6" s="472" t="s">
        <v>71</v>
      </c>
    </row>
    <row r="7" spans="1:8">
      <c r="A7" s="29">
        <v>1</v>
      </c>
      <c r="B7" s="473" t="s">
        <v>35</v>
      </c>
      <c r="C7" s="474">
        <v>698582.4</v>
      </c>
      <c r="D7" s="474">
        <v>2275027.3200000003</v>
      </c>
      <c r="E7" s="475">
        <f>C7+D7</f>
        <v>2973609.72</v>
      </c>
      <c r="F7" s="476">
        <v>1206775.8799999999</v>
      </c>
      <c r="G7" s="474">
        <v>1960313.7800000003</v>
      </c>
      <c r="H7" s="477">
        <f>F7+G7</f>
        <v>3167089.66</v>
      </c>
    </row>
    <row r="8" spans="1:8">
      <c r="A8" s="29">
        <v>2</v>
      </c>
      <c r="B8" s="473" t="s">
        <v>36</v>
      </c>
      <c r="C8" s="474">
        <v>18404927.190000001</v>
      </c>
      <c r="D8" s="474">
        <v>57699470.149999999</v>
      </c>
      <c r="E8" s="475">
        <f t="shared" ref="E8:E19" si="0">C8+D8</f>
        <v>76104397.340000004</v>
      </c>
      <c r="F8" s="476">
        <v>3453801.01</v>
      </c>
      <c r="G8" s="474">
        <v>52144677.530000001</v>
      </c>
      <c r="H8" s="477">
        <f t="shared" ref="H8:H40" si="1">F8+G8</f>
        <v>55598478.539999999</v>
      </c>
    </row>
    <row r="9" spans="1:8">
      <c r="A9" s="29">
        <v>3</v>
      </c>
      <c r="B9" s="473" t="s">
        <v>37</v>
      </c>
      <c r="C9" s="474">
        <v>5424.82</v>
      </c>
      <c r="D9" s="474">
        <v>11378980.510332998</v>
      </c>
      <c r="E9" s="475">
        <f t="shared" si="0"/>
        <v>11384405.330332998</v>
      </c>
      <c r="F9" s="476">
        <v>5669.79</v>
      </c>
      <c r="G9" s="474">
        <v>9929440.8285220005</v>
      </c>
      <c r="H9" s="477">
        <f t="shared" si="1"/>
        <v>9935110.6185219996</v>
      </c>
    </row>
    <row r="10" spans="1:8">
      <c r="A10" s="29">
        <v>4</v>
      </c>
      <c r="B10" s="473" t="s">
        <v>38</v>
      </c>
      <c r="C10" s="474">
        <v>0</v>
      </c>
      <c r="D10" s="474">
        <v>0</v>
      </c>
      <c r="E10" s="475">
        <f t="shared" si="0"/>
        <v>0</v>
      </c>
      <c r="F10" s="476">
        <v>0</v>
      </c>
      <c r="G10" s="474">
        <v>0</v>
      </c>
      <c r="H10" s="477">
        <f t="shared" si="1"/>
        <v>0</v>
      </c>
    </row>
    <row r="11" spans="1:8">
      <c r="A11" s="29">
        <v>5</v>
      </c>
      <c r="B11" s="473" t="s">
        <v>39</v>
      </c>
      <c r="C11" s="474">
        <v>21158147.693977498</v>
      </c>
      <c r="D11" s="474">
        <v>13330949.006063502</v>
      </c>
      <c r="E11" s="475">
        <f t="shared" si="0"/>
        <v>34489096.700040996</v>
      </c>
      <c r="F11" s="476">
        <v>22191066.36294286</v>
      </c>
      <c r="G11" s="474">
        <v>10244000.502592275</v>
      </c>
      <c r="H11" s="477">
        <f t="shared" si="1"/>
        <v>32435066.865535133</v>
      </c>
    </row>
    <row r="12" spans="1:8">
      <c r="A12" s="29">
        <v>6.1</v>
      </c>
      <c r="B12" s="478" t="s">
        <v>40</v>
      </c>
      <c r="C12" s="474">
        <v>77645869.129999995</v>
      </c>
      <c r="D12" s="474">
        <v>170190994.48812801</v>
      </c>
      <c r="E12" s="475">
        <f t="shared" si="0"/>
        <v>247836863.618128</v>
      </c>
      <c r="F12" s="476">
        <v>78758521.920000002</v>
      </c>
      <c r="G12" s="474">
        <v>150976525.69</v>
      </c>
      <c r="H12" s="477">
        <f t="shared" si="1"/>
        <v>229735047.61000001</v>
      </c>
    </row>
    <row r="13" spans="1:8">
      <c r="A13" s="29">
        <v>6.2</v>
      </c>
      <c r="B13" s="478" t="s">
        <v>41</v>
      </c>
      <c r="C13" s="479">
        <v>-4648377.0820000004</v>
      </c>
      <c r="D13" s="479">
        <v>-6331248.2799279997</v>
      </c>
      <c r="E13" s="480">
        <f t="shared" si="0"/>
        <v>-10979625.361928001</v>
      </c>
      <c r="F13" s="481">
        <v>-7169732.6776000019</v>
      </c>
      <c r="G13" s="479">
        <v>-4453044.8596000001</v>
      </c>
      <c r="H13" s="482">
        <f t="shared" si="1"/>
        <v>-11622777.537200002</v>
      </c>
    </row>
    <row r="14" spans="1:8">
      <c r="A14" s="29">
        <v>6</v>
      </c>
      <c r="B14" s="473" t="s">
        <v>42</v>
      </c>
      <c r="C14" s="475">
        <f>C12+C13</f>
        <v>72997492.047999993</v>
      </c>
      <c r="D14" s="475">
        <f>D12+D13</f>
        <v>163859746.20820001</v>
      </c>
      <c r="E14" s="475">
        <f t="shared" si="0"/>
        <v>236857238.25620002</v>
      </c>
      <c r="F14" s="475">
        <f>F12+F13</f>
        <v>71588789.242400005</v>
      </c>
      <c r="G14" s="475">
        <f>G12+G13</f>
        <v>146523480.83039999</v>
      </c>
      <c r="H14" s="477">
        <f t="shared" si="1"/>
        <v>218112270.07279998</v>
      </c>
    </row>
    <row r="15" spans="1:8">
      <c r="A15" s="29">
        <v>7</v>
      </c>
      <c r="B15" s="473" t="s">
        <v>43</v>
      </c>
      <c r="C15" s="474">
        <v>1098003.4000000004</v>
      </c>
      <c r="D15" s="474">
        <v>1055865.9257759999</v>
      </c>
      <c r="E15" s="475">
        <f t="shared" si="0"/>
        <v>2153869.3257760005</v>
      </c>
      <c r="F15" s="476">
        <v>1202691.2800000003</v>
      </c>
      <c r="G15" s="474">
        <v>1363489.0701340002</v>
      </c>
      <c r="H15" s="477">
        <f t="shared" si="1"/>
        <v>2566180.3501340002</v>
      </c>
    </row>
    <row r="16" spans="1:8">
      <c r="A16" s="29">
        <v>8</v>
      </c>
      <c r="B16" s="473" t="s">
        <v>199</v>
      </c>
      <c r="C16" s="474">
        <v>735525.39</v>
      </c>
      <c r="D16" s="474">
        <v>0</v>
      </c>
      <c r="E16" s="475">
        <f t="shared" si="0"/>
        <v>735525.39</v>
      </c>
      <c r="F16" s="476">
        <v>1102533.5200000003</v>
      </c>
      <c r="G16" s="474">
        <v>0</v>
      </c>
      <c r="H16" s="477">
        <f t="shared" si="1"/>
        <v>1102533.5200000003</v>
      </c>
    </row>
    <row r="17" spans="1:8">
      <c r="A17" s="29">
        <v>9</v>
      </c>
      <c r="B17" s="473" t="s">
        <v>44</v>
      </c>
      <c r="C17" s="474">
        <v>0</v>
      </c>
      <c r="D17" s="474">
        <v>0</v>
      </c>
      <c r="E17" s="475">
        <f t="shared" si="0"/>
        <v>0</v>
      </c>
      <c r="F17" s="476">
        <v>0</v>
      </c>
      <c r="G17" s="474">
        <v>0</v>
      </c>
      <c r="H17" s="477">
        <f t="shared" si="1"/>
        <v>0</v>
      </c>
    </row>
    <row r="18" spans="1:8">
      <c r="A18" s="29">
        <v>10</v>
      </c>
      <c r="B18" s="473" t="s">
        <v>45</v>
      </c>
      <c r="C18" s="474">
        <v>7914683.459999999</v>
      </c>
      <c r="D18" s="474">
        <v>0</v>
      </c>
      <c r="E18" s="475">
        <f t="shared" si="0"/>
        <v>7914683.459999999</v>
      </c>
      <c r="F18" s="476">
        <v>1471670.1799999992</v>
      </c>
      <c r="G18" s="474">
        <v>0</v>
      </c>
      <c r="H18" s="477">
        <f t="shared" si="1"/>
        <v>1471670.1799999992</v>
      </c>
    </row>
    <row r="19" spans="1:8">
      <c r="A19" s="29">
        <v>11</v>
      </c>
      <c r="B19" s="473" t="s">
        <v>46</v>
      </c>
      <c r="C19" s="474">
        <v>3783788.41792347</v>
      </c>
      <c r="D19" s="474">
        <v>327125.60000000003</v>
      </c>
      <c r="E19" s="475">
        <f t="shared" si="0"/>
        <v>4110914.0179234701</v>
      </c>
      <c r="F19" s="476">
        <v>2637214.8776665856</v>
      </c>
      <c r="G19" s="474">
        <v>292218.55000000005</v>
      </c>
      <c r="H19" s="477">
        <f t="shared" si="1"/>
        <v>2929433.4276665859</v>
      </c>
    </row>
    <row r="20" spans="1:8">
      <c r="A20" s="29">
        <v>12</v>
      </c>
      <c r="B20" s="483" t="s">
        <v>47</v>
      </c>
      <c r="C20" s="475">
        <f>SUM(C7:C11)+SUM(C14:C19)</f>
        <v>126796574.81990096</v>
      </c>
      <c r="D20" s="475">
        <f>SUM(D7:D11)+SUM(D14:D19)</f>
        <v>249927164.7203725</v>
      </c>
      <c r="E20" s="475">
        <f>C20+D20</f>
        <v>376723739.54027343</v>
      </c>
      <c r="F20" s="475">
        <f>SUM(F7:F11)+SUM(F14:F19)</f>
        <v>104860212.14300945</v>
      </c>
      <c r="G20" s="475">
        <f>SUM(G7:G11)+SUM(G14:G19)</f>
        <v>222457621.09164828</v>
      </c>
      <c r="H20" s="477">
        <f t="shared" si="1"/>
        <v>327317833.23465776</v>
      </c>
    </row>
    <row r="21" spans="1:8">
      <c r="A21" s="29"/>
      <c r="B21" s="470" t="s">
        <v>48</v>
      </c>
      <c r="C21" s="484"/>
      <c r="D21" s="484"/>
      <c r="E21" s="484"/>
      <c r="F21" s="485"/>
      <c r="G21" s="484"/>
      <c r="H21" s="486"/>
    </row>
    <row r="22" spans="1:8">
      <c r="A22" s="29">
        <v>13</v>
      </c>
      <c r="B22" s="473" t="s">
        <v>49</v>
      </c>
      <c r="C22" s="474">
        <v>0</v>
      </c>
      <c r="D22" s="474">
        <v>90628699.900000006</v>
      </c>
      <c r="E22" s="475">
        <f>C22+D22</f>
        <v>90628699.900000006</v>
      </c>
      <c r="F22" s="476">
        <v>0</v>
      </c>
      <c r="G22" s="474">
        <v>130739241.7511</v>
      </c>
      <c r="H22" s="477">
        <f t="shared" si="1"/>
        <v>130739241.7511</v>
      </c>
    </row>
    <row r="23" spans="1:8">
      <c r="A23" s="29">
        <v>14</v>
      </c>
      <c r="B23" s="473" t="s">
        <v>50</v>
      </c>
      <c r="C23" s="474">
        <v>18108879.950000003</v>
      </c>
      <c r="D23" s="474">
        <v>35923472.610000007</v>
      </c>
      <c r="E23" s="475">
        <f t="shared" ref="E23:E40" si="2">C23+D23</f>
        <v>54032352.56000001</v>
      </c>
      <c r="F23" s="476">
        <v>10275546.07</v>
      </c>
      <c r="G23" s="474">
        <v>27541509.330000002</v>
      </c>
      <c r="H23" s="477">
        <f t="shared" si="1"/>
        <v>37817055.400000006</v>
      </c>
    </row>
    <row r="24" spans="1:8">
      <c r="A24" s="29">
        <v>15</v>
      </c>
      <c r="B24" s="473" t="s">
        <v>51</v>
      </c>
      <c r="C24" s="474">
        <v>0</v>
      </c>
      <c r="D24" s="474">
        <v>0</v>
      </c>
      <c r="E24" s="475">
        <f t="shared" si="2"/>
        <v>0</v>
      </c>
      <c r="F24" s="476">
        <v>0</v>
      </c>
      <c r="G24" s="474">
        <v>0</v>
      </c>
      <c r="H24" s="477">
        <f t="shared" si="1"/>
        <v>0</v>
      </c>
    </row>
    <row r="25" spans="1:8">
      <c r="A25" s="29">
        <v>16</v>
      </c>
      <c r="B25" s="473" t="s">
        <v>52</v>
      </c>
      <c r="C25" s="474">
        <v>4057461.42</v>
      </c>
      <c r="D25" s="474">
        <v>46685240.799999997</v>
      </c>
      <c r="E25" s="475">
        <f t="shared" si="2"/>
        <v>50742702.219999999</v>
      </c>
      <c r="F25" s="476">
        <v>128387.76000000001</v>
      </c>
      <c r="G25" s="474">
        <v>37458872.869999997</v>
      </c>
      <c r="H25" s="477">
        <f t="shared" si="1"/>
        <v>37587260.629999995</v>
      </c>
    </row>
    <row r="26" spans="1:8">
      <c r="A26" s="29">
        <v>17</v>
      </c>
      <c r="B26" s="473" t="s">
        <v>53</v>
      </c>
      <c r="C26" s="484"/>
      <c r="D26" s="484"/>
      <c r="E26" s="475">
        <f t="shared" si="2"/>
        <v>0</v>
      </c>
      <c r="F26" s="485"/>
      <c r="G26" s="484"/>
      <c r="H26" s="477">
        <f t="shared" si="1"/>
        <v>0</v>
      </c>
    </row>
    <row r="27" spans="1:8">
      <c r="A27" s="29">
        <v>18</v>
      </c>
      <c r="B27" s="473" t="s">
        <v>54</v>
      </c>
      <c r="C27" s="474">
        <v>0</v>
      </c>
      <c r="D27" s="474">
        <v>73641566.940032005</v>
      </c>
      <c r="E27" s="475">
        <f t="shared" si="2"/>
        <v>73641566.940032005</v>
      </c>
      <c r="F27" s="476">
        <v>5000000</v>
      </c>
      <c r="G27" s="474">
        <v>29125333.304208003</v>
      </c>
      <c r="H27" s="477">
        <f t="shared" si="1"/>
        <v>34125333.304208003</v>
      </c>
    </row>
    <row r="28" spans="1:8">
      <c r="A28" s="29">
        <v>19</v>
      </c>
      <c r="B28" s="473" t="s">
        <v>55</v>
      </c>
      <c r="C28" s="474">
        <v>80687.899999999994</v>
      </c>
      <c r="D28" s="474">
        <v>870978.14999999991</v>
      </c>
      <c r="E28" s="475">
        <f t="shared" si="2"/>
        <v>951666.04999999993</v>
      </c>
      <c r="F28" s="476">
        <v>11039.8</v>
      </c>
      <c r="G28" s="474">
        <v>1248591.7808940001</v>
      </c>
      <c r="H28" s="477">
        <f t="shared" si="1"/>
        <v>1259631.5808940001</v>
      </c>
    </row>
    <row r="29" spans="1:8">
      <c r="A29" s="29">
        <v>20</v>
      </c>
      <c r="B29" s="473" t="s">
        <v>56</v>
      </c>
      <c r="C29" s="474">
        <v>3075725.5729999999</v>
      </c>
      <c r="D29" s="474">
        <v>9047994.9364</v>
      </c>
      <c r="E29" s="475">
        <f t="shared" si="2"/>
        <v>12123720.509399999</v>
      </c>
      <c r="F29" s="476">
        <v>910821.88260000001</v>
      </c>
      <c r="G29" s="474">
        <v>1562461.2377819999</v>
      </c>
      <c r="H29" s="477">
        <f t="shared" si="1"/>
        <v>2473283.1203819998</v>
      </c>
    </row>
    <row r="30" spans="1:8">
      <c r="A30" s="29">
        <v>21</v>
      </c>
      <c r="B30" s="473" t="s">
        <v>57</v>
      </c>
      <c r="C30" s="474">
        <v>0</v>
      </c>
      <c r="D30" s="474">
        <v>0</v>
      </c>
      <c r="E30" s="475">
        <f t="shared" si="2"/>
        <v>0</v>
      </c>
      <c r="F30" s="476">
        <v>0</v>
      </c>
      <c r="G30" s="474">
        <v>0</v>
      </c>
      <c r="H30" s="477">
        <f t="shared" si="1"/>
        <v>0</v>
      </c>
    </row>
    <row r="31" spans="1:8">
      <c r="A31" s="29">
        <v>22</v>
      </c>
      <c r="B31" s="483" t="s">
        <v>58</v>
      </c>
      <c r="C31" s="475">
        <f>SUM(C22:C30)</f>
        <v>25322754.843000002</v>
      </c>
      <c r="D31" s="475">
        <f>SUM(D22:D30)</f>
        <v>256797953.33643201</v>
      </c>
      <c r="E31" s="475">
        <f>C31+D31</f>
        <v>282120708.17943203</v>
      </c>
      <c r="F31" s="475">
        <f>SUM(F22:F30)</f>
        <v>16325795.512600001</v>
      </c>
      <c r="G31" s="475">
        <f>SUM(G22:G30)</f>
        <v>227676010.27398404</v>
      </c>
      <c r="H31" s="477">
        <f t="shared" si="1"/>
        <v>244001805.78658405</v>
      </c>
    </row>
    <row r="32" spans="1:8">
      <c r="A32" s="29"/>
      <c r="B32" s="470" t="s">
        <v>59</v>
      </c>
      <c r="C32" s="484"/>
      <c r="D32" s="484"/>
      <c r="E32" s="474"/>
      <c r="F32" s="485"/>
      <c r="G32" s="484"/>
      <c r="H32" s="486"/>
    </row>
    <row r="33" spans="1:8">
      <c r="A33" s="29">
        <v>23</v>
      </c>
      <c r="B33" s="473" t="s">
        <v>60</v>
      </c>
      <c r="C33" s="474">
        <v>69161600</v>
      </c>
      <c r="D33" s="484">
        <v>0</v>
      </c>
      <c r="E33" s="475">
        <f t="shared" si="2"/>
        <v>69161600</v>
      </c>
      <c r="F33" s="476">
        <v>69161600</v>
      </c>
      <c r="G33" s="484">
        <v>0</v>
      </c>
      <c r="H33" s="477">
        <f t="shared" si="1"/>
        <v>69161600</v>
      </c>
    </row>
    <row r="34" spans="1:8">
      <c r="A34" s="29">
        <v>24</v>
      </c>
      <c r="B34" s="473" t="s">
        <v>61</v>
      </c>
      <c r="C34" s="474">
        <v>0</v>
      </c>
      <c r="D34" s="484">
        <v>0</v>
      </c>
      <c r="E34" s="475">
        <f t="shared" si="2"/>
        <v>0</v>
      </c>
      <c r="F34" s="476">
        <v>0</v>
      </c>
      <c r="G34" s="484">
        <v>0</v>
      </c>
      <c r="H34" s="477">
        <f t="shared" si="1"/>
        <v>0</v>
      </c>
    </row>
    <row r="35" spans="1:8">
      <c r="A35" s="29">
        <v>25</v>
      </c>
      <c r="B35" s="487" t="s">
        <v>62</v>
      </c>
      <c r="C35" s="474">
        <v>0</v>
      </c>
      <c r="D35" s="484">
        <v>0</v>
      </c>
      <c r="E35" s="475">
        <f t="shared" si="2"/>
        <v>0</v>
      </c>
      <c r="F35" s="476">
        <v>0</v>
      </c>
      <c r="G35" s="484">
        <v>0</v>
      </c>
      <c r="H35" s="477">
        <f t="shared" si="1"/>
        <v>0</v>
      </c>
    </row>
    <row r="36" spans="1:8">
      <c r="A36" s="29">
        <v>26</v>
      </c>
      <c r="B36" s="473" t="s">
        <v>63</v>
      </c>
      <c r="C36" s="474">
        <v>0</v>
      </c>
      <c r="D36" s="484">
        <v>0</v>
      </c>
      <c r="E36" s="475">
        <f t="shared" si="2"/>
        <v>0</v>
      </c>
      <c r="F36" s="476">
        <v>0</v>
      </c>
      <c r="G36" s="484">
        <v>0</v>
      </c>
      <c r="H36" s="477">
        <f t="shared" si="1"/>
        <v>0</v>
      </c>
    </row>
    <row r="37" spans="1:8">
      <c r="A37" s="29">
        <v>27</v>
      </c>
      <c r="B37" s="473" t="s">
        <v>64</v>
      </c>
      <c r="C37" s="474">
        <v>0</v>
      </c>
      <c r="D37" s="484">
        <v>0</v>
      </c>
      <c r="E37" s="475">
        <f t="shared" si="2"/>
        <v>0</v>
      </c>
      <c r="F37" s="476">
        <v>0</v>
      </c>
      <c r="G37" s="484">
        <v>0</v>
      </c>
      <c r="H37" s="477">
        <f t="shared" si="1"/>
        <v>0</v>
      </c>
    </row>
    <row r="38" spans="1:8">
      <c r="A38" s="29">
        <v>28</v>
      </c>
      <c r="B38" s="473" t="s">
        <v>65</v>
      </c>
      <c r="C38" s="474">
        <v>25441431.328289483</v>
      </c>
      <c r="D38" s="484">
        <v>0</v>
      </c>
      <c r="E38" s="475">
        <f t="shared" si="2"/>
        <v>25441431.328289483</v>
      </c>
      <c r="F38" s="476">
        <v>14154426.987222282</v>
      </c>
      <c r="G38" s="484">
        <v>0</v>
      </c>
      <c r="H38" s="477">
        <f t="shared" si="1"/>
        <v>14154426.987222282</v>
      </c>
    </row>
    <row r="39" spans="1:8">
      <c r="A39" s="29">
        <v>29</v>
      </c>
      <c r="B39" s="473" t="s">
        <v>66</v>
      </c>
      <c r="C39" s="474">
        <v>0</v>
      </c>
      <c r="D39" s="484">
        <v>0</v>
      </c>
      <c r="E39" s="475">
        <f t="shared" si="2"/>
        <v>0</v>
      </c>
      <c r="F39" s="476">
        <v>0</v>
      </c>
      <c r="G39" s="484">
        <v>0</v>
      </c>
      <c r="H39" s="477">
        <f t="shared" si="1"/>
        <v>0</v>
      </c>
    </row>
    <row r="40" spans="1:8">
      <c r="A40" s="29">
        <v>30</v>
      </c>
      <c r="B40" s="488" t="s">
        <v>266</v>
      </c>
      <c r="C40" s="489">
        <v>94603031.328289479</v>
      </c>
      <c r="D40" s="484">
        <v>0</v>
      </c>
      <c r="E40" s="475">
        <f t="shared" si="2"/>
        <v>94603031.328289479</v>
      </c>
      <c r="F40" s="489">
        <v>83316026.987222284</v>
      </c>
      <c r="G40" s="484">
        <v>0</v>
      </c>
      <c r="H40" s="477">
        <f t="shared" si="1"/>
        <v>83316026.987222284</v>
      </c>
    </row>
    <row r="41" spans="1:8" ht="15" thickBot="1">
      <c r="A41" s="30">
        <v>31</v>
      </c>
      <c r="B41" s="31" t="s">
        <v>67</v>
      </c>
      <c r="C41" s="490">
        <f>C31+C40</f>
        <v>119925786.17128947</v>
      </c>
      <c r="D41" s="490">
        <f>D31+D40</f>
        <v>256797953.33643201</v>
      </c>
      <c r="E41" s="490">
        <f>C41+D41</f>
        <v>376723739.50772148</v>
      </c>
      <c r="F41" s="490">
        <f>F31+F40</f>
        <v>99641822.499822289</v>
      </c>
      <c r="G41" s="490">
        <f>G31+G40</f>
        <v>227676010.27398404</v>
      </c>
      <c r="H41" s="491">
        <f>F41+G41</f>
        <v>327317832.77380633</v>
      </c>
    </row>
    <row r="43" spans="1:8">
      <c r="B43" s="32"/>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showGridLines="0" workbookViewId="0">
      <pane xSplit="1" ySplit="6" topLeftCell="B7"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9.5703125" style="4" bestFit="1" customWidth="1"/>
    <col min="2" max="2" width="52" style="4" bestFit="1" customWidth="1"/>
    <col min="3" max="8" width="12.7109375" style="4" customWidth="1"/>
    <col min="9" max="9" width="8.7109375" style="4" customWidth="1"/>
    <col min="10" max="16384" width="9.28515625" style="4"/>
  </cols>
  <sheetData>
    <row r="1" spans="1:8">
      <c r="A1" s="449" t="s">
        <v>30</v>
      </c>
      <c r="B1" s="450" t="str">
        <f>'Info '!C2</f>
        <v>JSC Isbank Georgia</v>
      </c>
      <c r="C1" s="3"/>
    </row>
    <row r="2" spans="1:8">
      <c r="A2" s="449" t="s">
        <v>31</v>
      </c>
      <c r="B2" s="451">
        <f>'1. key ratios '!B2</f>
        <v>44561</v>
      </c>
      <c r="C2" s="339"/>
      <c r="D2" s="7"/>
      <c r="E2" s="7"/>
      <c r="F2" s="7"/>
      <c r="G2" s="7"/>
      <c r="H2" s="7"/>
    </row>
    <row r="3" spans="1:8">
      <c r="A3" s="2"/>
      <c r="B3" s="3"/>
      <c r="C3" s="6"/>
      <c r="D3" s="7"/>
      <c r="E3" s="7"/>
      <c r="F3" s="7"/>
      <c r="G3" s="7"/>
      <c r="H3" s="7"/>
    </row>
    <row r="4" spans="1:8" ht="13.5" thickBot="1">
      <c r="A4" s="34" t="s">
        <v>195</v>
      </c>
      <c r="B4" s="182" t="s">
        <v>22</v>
      </c>
      <c r="C4" s="23"/>
      <c r="D4" s="25"/>
      <c r="E4" s="25"/>
      <c r="F4" s="26"/>
      <c r="G4" s="26"/>
      <c r="H4" s="492" t="s">
        <v>73</v>
      </c>
    </row>
    <row r="5" spans="1:8">
      <c r="A5" s="36" t="s">
        <v>6</v>
      </c>
      <c r="B5" s="37"/>
      <c r="C5" s="704" t="s">
        <v>68</v>
      </c>
      <c r="D5" s="705"/>
      <c r="E5" s="706"/>
      <c r="F5" s="704" t="s">
        <v>72</v>
      </c>
      <c r="G5" s="705"/>
      <c r="H5" s="707"/>
    </row>
    <row r="6" spans="1:8">
      <c r="A6" s="38" t="s">
        <v>6</v>
      </c>
      <c r="B6" s="493"/>
      <c r="C6" s="494" t="s">
        <v>69</v>
      </c>
      <c r="D6" s="494" t="s">
        <v>70</v>
      </c>
      <c r="E6" s="494" t="s">
        <v>71</v>
      </c>
      <c r="F6" s="494" t="s">
        <v>69</v>
      </c>
      <c r="G6" s="494" t="s">
        <v>70</v>
      </c>
      <c r="H6" s="495" t="s">
        <v>71</v>
      </c>
    </row>
    <row r="7" spans="1:8">
      <c r="A7" s="39"/>
      <c r="B7" s="182" t="s">
        <v>194</v>
      </c>
      <c r="C7" s="496"/>
      <c r="D7" s="496"/>
      <c r="E7" s="496"/>
      <c r="F7" s="496"/>
      <c r="G7" s="496"/>
      <c r="H7" s="497"/>
    </row>
    <row r="8" spans="1:8" ht="25.5">
      <c r="A8" s="39">
        <v>1</v>
      </c>
      <c r="B8" s="498" t="s">
        <v>193</v>
      </c>
      <c r="C8" s="499">
        <v>658724.18000000005</v>
      </c>
      <c r="D8" s="499">
        <v>15574.3</v>
      </c>
      <c r="E8" s="480">
        <f t="shared" ref="E8:E22" si="0">C8+D8</f>
        <v>674298.4800000001</v>
      </c>
      <c r="F8" s="500">
        <v>349339.36000000004</v>
      </c>
      <c r="G8" s="500">
        <v>15784.85</v>
      </c>
      <c r="H8" s="482">
        <f t="shared" ref="H8:H22" si="1">F8+G8</f>
        <v>365124.21</v>
      </c>
    </row>
    <row r="9" spans="1:8">
      <c r="A9" s="39">
        <v>2</v>
      </c>
      <c r="B9" s="498" t="s">
        <v>192</v>
      </c>
      <c r="C9" s="501">
        <f>C10+C11+C12+C13+C14+C15+C16+C17+C18</f>
        <v>17188722.730000004</v>
      </c>
      <c r="D9" s="501">
        <f>D10+D11+D12+D13+D14+D15+D16+D17+D18</f>
        <v>1268934.3400000001</v>
      </c>
      <c r="E9" s="480">
        <f t="shared" si="0"/>
        <v>18457657.070000004</v>
      </c>
      <c r="F9" s="501">
        <f>F10+F11+F12+F13+F14+F15+F16+F17+F18</f>
        <v>14352303.800000003</v>
      </c>
      <c r="G9" s="501">
        <f>G10+G11+G12+G13+G14+G15+G16+G17+G18</f>
        <v>790610.41</v>
      </c>
      <c r="H9" s="482">
        <f t="shared" si="1"/>
        <v>15142914.210000003</v>
      </c>
    </row>
    <row r="10" spans="1:8">
      <c r="A10" s="39">
        <v>2.1</v>
      </c>
      <c r="B10" s="502" t="s">
        <v>191</v>
      </c>
      <c r="C10" s="500">
        <v>0</v>
      </c>
      <c r="D10" s="500">
        <v>292444.64</v>
      </c>
      <c r="E10" s="480">
        <f t="shared" si="0"/>
        <v>292444.64</v>
      </c>
      <c r="F10" s="500">
        <v>0</v>
      </c>
      <c r="G10" s="500">
        <v>138762.01999999999</v>
      </c>
      <c r="H10" s="482">
        <f t="shared" si="1"/>
        <v>138762.01999999999</v>
      </c>
    </row>
    <row r="11" spans="1:8">
      <c r="A11" s="39">
        <v>2.2000000000000002</v>
      </c>
      <c r="B11" s="502" t="s">
        <v>190</v>
      </c>
      <c r="C11" s="500">
        <v>16300474.930000003</v>
      </c>
      <c r="D11" s="500">
        <v>0</v>
      </c>
      <c r="E11" s="480">
        <f t="shared" si="0"/>
        <v>16300474.930000003</v>
      </c>
      <c r="F11" s="500">
        <v>13367295.070000002</v>
      </c>
      <c r="G11" s="500">
        <v>0</v>
      </c>
      <c r="H11" s="482">
        <f t="shared" si="1"/>
        <v>13367295.070000002</v>
      </c>
    </row>
    <row r="12" spans="1:8">
      <c r="A12" s="39">
        <v>2.2999999999999998</v>
      </c>
      <c r="B12" s="502" t="s">
        <v>189</v>
      </c>
      <c r="C12" s="500"/>
      <c r="D12" s="500"/>
      <c r="E12" s="480">
        <f t="shared" si="0"/>
        <v>0</v>
      </c>
      <c r="F12" s="500"/>
      <c r="G12" s="500"/>
      <c r="H12" s="482">
        <f t="shared" si="1"/>
        <v>0</v>
      </c>
    </row>
    <row r="13" spans="1:8">
      <c r="A13" s="39">
        <v>2.4</v>
      </c>
      <c r="B13" s="502" t="s">
        <v>188</v>
      </c>
      <c r="C13" s="500"/>
      <c r="D13" s="500"/>
      <c r="E13" s="480">
        <f t="shared" si="0"/>
        <v>0</v>
      </c>
      <c r="F13" s="500"/>
      <c r="G13" s="500"/>
      <c r="H13" s="482">
        <f t="shared" si="1"/>
        <v>0</v>
      </c>
    </row>
    <row r="14" spans="1:8">
      <c r="A14" s="39">
        <v>2.5</v>
      </c>
      <c r="B14" s="502" t="s">
        <v>187</v>
      </c>
      <c r="C14" s="500"/>
      <c r="D14" s="500"/>
      <c r="E14" s="480">
        <f t="shared" si="0"/>
        <v>0</v>
      </c>
      <c r="F14" s="500"/>
      <c r="G14" s="500"/>
      <c r="H14" s="482">
        <f t="shared" si="1"/>
        <v>0</v>
      </c>
    </row>
    <row r="15" spans="1:8">
      <c r="A15" s="39">
        <v>2.6</v>
      </c>
      <c r="B15" s="502" t="s">
        <v>186</v>
      </c>
      <c r="C15" s="500"/>
      <c r="D15" s="500"/>
      <c r="E15" s="480">
        <f t="shared" si="0"/>
        <v>0</v>
      </c>
      <c r="F15" s="500"/>
      <c r="G15" s="500"/>
      <c r="H15" s="482">
        <f t="shared" si="1"/>
        <v>0</v>
      </c>
    </row>
    <row r="16" spans="1:8">
      <c r="A16" s="39">
        <v>2.7</v>
      </c>
      <c r="B16" s="502" t="s">
        <v>185</v>
      </c>
      <c r="C16" s="500"/>
      <c r="D16" s="500"/>
      <c r="E16" s="480">
        <f t="shared" si="0"/>
        <v>0</v>
      </c>
      <c r="F16" s="500"/>
      <c r="G16" s="500"/>
      <c r="H16" s="482">
        <f t="shared" si="1"/>
        <v>0</v>
      </c>
    </row>
    <row r="17" spans="1:8">
      <c r="A17" s="39">
        <v>2.8</v>
      </c>
      <c r="B17" s="502" t="s">
        <v>184</v>
      </c>
      <c r="C17" s="500">
        <v>888247.79999999993</v>
      </c>
      <c r="D17" s="500">
        <v>976489.70000000007</v>
      </c>
      <c r="E17" s="480">
        <f t="shared" si="0"/>
        <v>1864737.5</v>
      </c>
      <c r="F17" s="500">
        <v>985008.72999999986</v>
      </c>
      <c r="G17" s="500">
        <v>651848.39</v>
      </c>
      <c r="H17" s="482">
        <f t="shared" si="1"/>
        <v>1636857.1199999999</v>
      </c>
    </row>
    <row r="18" spans="1:8">
      <c r="A18" s="39">
        <v>2.9</v>
      </c>
      <c r="B18" s="502" t="s">
        <v>183</v>
      </c>
      <c r="C18" s="500">
        <v>0</v>
      </c>
      <c r="D18" s="500">
        <v>0</v>
      </c>
      <c r="E18" s="480">
        <f t="shared" si="0"/>
        <v>0</v>
      </c>
      <c r="F18" s="500">
        <v>0</v>
      </c>
      <c r="G18" s="500">
        <v>0</v>
      </c>
      <c r="H18" s="482">
        <f t="shared" si="1"/>
        <v>0</v>
      </c>
    </row>
    <row r="19" spans="1:8">
      <c r="A19" s="39">
        <v>3</v>
      </c>
      <c r="B19" s="498" t="s">
        <v>182</v>
      </c>
      <c r="C19" s="500">
        <v>0</v>
      </c>
      <c r="D19" s="500">
        <v>0</v>
      </c>
      <c r="E19" s="480">
        <f t="shared" si="0"/>
        <v>0</v>
      </c>
      <c r="F19" s="500">
        <v>0</v>
      </c>
      <c r="G19" s="500">
        <v>0</v>
      </c>
      <c r="H19" s="482">
        <f t="shared" si="1"/>
        <v>0</v>
      </c>
    </row>
    <row r="20" spans="1:8">
      <c r="A20" s="39">
        <v>4</v>
      </c>
      <c r="B20" s="498" t="s">
        <v>181</v>
      </c>
      <c r="C20" s="500">
        <v>2627498.1154971151</v>
      </c>
      <c r="D20" s="500">
        <v>398544.22378388589</v>
      </c>
      <c r="E20" s="480">
        <f t="shared" si="0"/>
        <v>3026042.3392810011</v>
      </c>
      <c r="F20" s="500">
        <v>2884238.735680623</v>
      </c>
      <c r="G20" s="500">
        <v>488948.61011158419</v>
      </c>
      <c r="H20" s="482">
        <f t="shared" si="1"/>
        <v>3373187.3457922069</v>
      </c>
    </row>
    <row r="21" spans="1:8">
      <c r="A21" s="39">
        <v>5</v>
      </c>
      <c r="B21" s="498" t="s">
        <v>180</v>
      </c>
      <c r="C21" s="500">
        <v>0</v>
      </c>
      <c r="D21" s="500"/>
      <c r="E21" s="480">
        <f t="shared" si="0"/>
        <v>0</v>
      </c>
      <c r="F21" s="500">
        <v>0</v>
      </c>
      <c r="G21" s="500"/>
      <c r="H21" s="482">
        <f t="shared" si="1"/>
        <v>0</v>
      </c>
    </row>
    <row r="22" spans="1:8">
      <c r="A22" s="39">
        <v>6</v>
      </c>
      <c r="B22" s="503" t="s">
        <v>179</v>
      </c>
      <c r="C22" s="501">
        <f>C8+C9+C19+C20+C21</f>
        <v>20474945.02549712</v>
      </c>
      <c r="D22" s="501">
        <f>D8+D9+D19+D20+D21</f>
        <v>1683052.863783886</v>
      </c>
      <c r="E22" s="480">
        <f t="shared" si="0"/>
        <v>22157997.889281005</v>
      </c>
      <c r="F22" s="501">
        <f>F8+F9+F19+F20+F21</f>
        <v>17585881.895680625</v>
      </c>
      <c r="G22" s="501">
        <f>G8+G9+G19+G20+G21</f>
        <v>1295343.8701115842</v>
      </c>
      <c r="H22" s="482">
        <f t="shared" si="1"/>
        <v>18881225.76579221</v>
      </c>
    </row>
    <row r="23" spans="1:8">
      <c r="A23" s="39"/>
      <c r="B23" s="182" t="s">
        <v>178</v>
      </c>
      <c r="C23" s="500"/>
      <c r="D23" s="500"/>
      <c r="E23" s="479"/>
      <c r="F23" s="500"/>
      <c r="G23" s="500"/>
      <c r="H23" s="504"/>
    </row>
    <row r="24" spans="1:8">
      <c r="A24" s="39">
        <v>7</v>
      </c>
      <c r="B24" s="498" t="s">
        <v>177</v>
      </c>
      <c r="C24" s="500">
        <v>478941.17</v>
      </c>
      <c r="D24" s="500">
        <v>0</v>
      </c>
      <c r="E24" s="480">
        <f t="shared" ref="E24:E31" si="2">C24+D24</f>
        <v>478941.17</v>
      </c>
      <c r="F24" s="500">
        <v>208660.13</v>
      </c>
      <c r="G24" s="500">
        <v>0</v>
      </c>
      <c r="H24" s="482">
        <f t="shared" ref="H24:H31" si="3">F24+G24</f>
        <v>208660.13</v>
      </c>
    </row>
    <row r="25" spans="1:8">
      <c r="A25" s="39">
        <v>8</v>
      </c>
      <c r="B25" s="498" t="s">
        <v>176</v>
      </c>
      <c r="C25" s="500">
        <v>578131.878256</v>
      </c>
      <c r="D25" s="500">
        <v>579864.121744</v>
      </c>
      <c r="E25" s="480">
        <f t="shared" si="2"/>
        <v>1157996</v>
      </c>
      <c r="F25" s="500">
        <v>421664.55999999994</v>
      </c>
      <c r="G25" s="500">
        <v>332208.62</v>
      </c>
      <c r="H25" s="482">
        <f t="shared" si="3"/>
        <v>753873.17999999993</v>
      </c>
    </row>
    <row r="26" spans="1:8">
      <c r="A26" s="39">
        <v>9</v>
      </c>
      <c r="B26" s="498" t="s">
        <v>175</v>
      </c>
      <c r="C26" s="500">
        <v>34260.74</v>
      </c>
      <c r="D26" s="500">
        <v>1312566.6400000001</v>
      </c>
      <c r="E26" s="480">
        <f t="shared" si="2"/>
        <v>1346827.3800000001</v>
      </c>
      <c r="F26" s="500">
        <v>57842.53</v>
      </c>
      <c r="G26" s="500">
        <v>1981090.71</v>
      </c>
      <c r="H26" s="482">
        <f t="shared" si="3"/>
        <v>2038933.24</v>
      </c>
    </row>
    <row r="27" spans="1:8">
      <c r="A27" s="39">
        <v>10</v>
      </c>
      <c r="B27" s="498" t="s">
        <v>174</v>
      </c>
      <c r="C27" s="500"/>
      <c r="D27" s="500"/>
      <c r="E27" s="480">
        <f t="shared" si="2"/>
        <v>0</v>
      </c>
      <c r="F27" s="500"/>
      <c r="G27" s="500"/>
      <c r="H27" s="482">
        <f t="shared" si="3"/>
        <v>0</v>
      </c>
    </row>
    <row r="28" spans="1:8">
      <c r="A28" s="39">
        <v>11</v>
      </c>
      <c r="B28" s="498" t="s">
        <v>173</v>
      </c>
      <c r="C28" s="500">
        <v>24836.65</v>
      </c>
      <c r="D28" s="500">
        <v>1643234.77</v>
      </c>
      <c r="E28" s="480">
        <f t="shared" si="2"/>
        <v>1668071.42</v>
      </c>
      <c r="F28" s="500">
        <v>292032.40000000002</v>
      </c>
      <c r="G28" s="500">
        <v>909902.06</v>
      </c>
      <c r="H28" s="482">
        <f t="shared" si="3"/>
        <v>1201934.46</v>
      </c>
    </row>
    <row r="29" spans="1:8">
      <c r="A29" s="39">
        <v>12</v>
      </c>
      <c r="B29" s="498" t="s">
        <v>172</v>
      </c>
      <c r="C29" s="500"/>
      <c r="D29" s="500"/>
      <c r="E29" s="480">
        <f t="shared" si="2"/>
        <v>0</v>
      </c>
      <c r="F29" s="500"/>
      <c r="G29" s="500"/>
      <c r="H29" s="482">
        <f t="shared" si="3"/>
        <v>0</v>
      </c>
    </row>
    <row r="30" spans="1:8">
      <c r="A30" s="39">
        <v>13</v>
      </c>
      <c r="B30" s="505" t="s">
        <v>171</v>
      </c>
      <c r="C30" s="501">
        <f>C24+C25+C26+C27+C28+C29</f>
        <v>1116170.4382559999</v>
      </c>
      <c r="D30" s="501">
        <f>D24+D25+D26+D27+D28+D29</f>
        <v>3535665.531744</v>
      </c>
      <c r="E30" s="480">
        <f t="shared" si="2"/>
        <v>4651835.97</v>
      </c>
      <c r="F30" s="501">
        <f>F24+F25+F26+F27+F28+F29</f>
        <v>980199.62</v>
      </c>
      <c r="G30" s="501">
        <f>G24+G25+G26+G27+G28+G29</f>
        <v>3223201.39</v>
      </c>
      <c r="H30" s="482">
        <f t="shared" si="3"/>
        <v>4203401.01</v>
      </c>
    </row>
    <row r="31" spans="1:8">
      <c r="A31" s="39">
        <v>14</v>
      </c>
      <c r="B31" s="505" t="s">
        <v>170</v>
      </c>
      <c r="C31" s="501">
        <f>C22-C30</f>
        <v>19358774.587241121</v>
      </c>
      <c r="D31" s="501">
        <f>D22-D30</f>
        <v>-1852612.6679601141</v>
      </c>
      <c r="E31" s="480">
        <f t="shared" si="2"/>
        <v>17506161.919281006</v>
      </c>
      <c r="F31" s="501">
        <f>F22-F30</f>
        <v>16605682.275680626</v>
      </c>
      <c r="G31" s="501">
        <f>G22-G30</f>
        <v>-1927857.5198884159</v>
      </c>
      <c r="H31" s="482">
        <f t="shared" si="3"/>
        <v>14677824.75579221</v>
      </c>
    </row>
    <row r="32" spans="1:8">
      <c r="A32" s="39"/>
      <c r="B32" s="506"/>
      <c r="C32" s="507"/>
      <c r="D32" s="507"/>
      <c r="E32" s="507"/>
      <c r="F32" s="507"/>
      <c r="G32" s="507"/>
      <c r="H32" s="508"/>
    </row>
    <row r="33" spans="1:8">
      <c r="A33" s="39"/>
      <c r="B33" s="506" t="s">
        <v>169</v>
      </c>
      <c r="C33" s="500"/>
      <c r="D33" s="500"/>
      <c r="E33" s="479"/>
      <c r="F33" s="500"/>
      <c r="G33" s="500"/>
      <c r="H33" s="504"/>
    </row>
    <row r="34" spans="1:8">
      <c r="A34" s="39">
        <v>15</v>
      </c>
      <c r="B34" s="509" t="s">
        <v>168</v>
      </c>
      <c r="C34" s="510">
        <f>C35-C36</f>
        <v>-305044.85999999987</v>
      </c>
      <c r="D34" s="510">
        <f>D35-D36</f>
        <v>0</v>
      </c>
      <c r="E34" s="480">
        <f t="shared" ref="E34:E45" si="4">C34+D34</f>
        <v>-305044.85999999987</v>
      </c>
      <c r="F34" s="510">
        <f>F35-F36</f>
        <v>91289.429999999935</v>
      </c>
      <c r="G34" s="510">
        <f>G35-G36</f>
        <v>0</v>
      </c>
      <c r="H34" s="482">
        <f t="shared" ref="H34:H45" si="5">F34+G34</f>
        <v>91289.429999999935</v>
      </c>
    </row>
    <row r="35" spans="1:8">
      <c r="A35" s="39">
        <v>15.1</v>
      </c>
      <c r="B35" s="502" t="s">
        <v>167</v>
      </c>
      <c r="C35" s="500">
        <v>1392336.55</v>
      </c>
      <c r="D35" s="500"/>
      <c r="E35" s="480">
        <f t="shared" si="4"/>
        <v>1392336.55</v>
      </c>
      <c r="F35" s="500">
        <v>1148095.3500000001</v>
      </c>
      <c r="G35" s="500"/>
      <c r="H35" s="482">
        <f t="shared" si="5"/>
        <v>1148095.3500000001</v>
      </c>
    </row>
    <row r="36" spans="1:8">
      <c r="A36" s="39">
        <v>15.2</v>
      </c>
      <c r="B36" s="502" t="s">
        <v>166</v>
      </c>
      <c r="C36" s="500">
        <v>1697381.41</v>
      </c>
      <c r="D36" s="500"/>
      <c r="E36" s="480">
        <f t="shared" si="4"/>
        <v>1697381.41</v>
      </c>
      <c r="F36" s="500">
        <v>1056805.9200000002</v>
      </c>
      <c r="G36" s="500"/>
      <c r="H36" s="482">
        <f t="shared" si="5"/>
        <v>1056805.9200000002</v>
      </c>
    </row>
    <row r="37" spans="1:8">
      <c r="A37" s="39">
        <v>16</v>
      </c>
      <c r="B37" s="498" t="s">
        <v>165</v>
      </c>
      <c r="C37" s="500">
        <v>0</v>
      </c>
      <c r="D37" s="500"/>
      <c r="E37" s="480">
        <f t="shared" si="4"/>
        <v>0</v>
      </c>
      <c r="F37" s="500">
        <v>0</v>
      </c>
      <c r="G37" s="500"/>
      <c r="H37" s="482">
        <f t="shared" si="5"/>
        <v>0</v>
      </c>
    </row>
    <row r="38" spans="1:8">
      <c r="A38" s="39">
        <v>17</v>
      </c>
      <c r="B38" s="498" t="s">
        <v>164</v>
      </c>
      <c r="C38" s="500">
        <v>0</v>
      </c>
      <c r="D38" s="500"/>
      <c r="E38" s="480">
        <f t="shared" si="4"/>
        <v>0</v>
      </c>
      <c r="F38" s="500">
        <v>0</v>
      </c>
      <c r="G38" s="500"/>
      <c r="H38" s="482">
        <f t="shared" si="5"/>
        <v>0</v>
      </c>
    </row>
    <row r="39" spans="1:8">
      <c r="A39" s="39">
        <v>18</v>
      </c>
      <c r="B39" s="498" t="s">
        <v>163</v>
      </c>
      <c r="C39" s="500">
        <v>0</v>
      </c>
      <c r="D39" s="500"/>
      <c r="E39" s="480">
        <f t="shared" si="4"/>
        <v>0</v>
      </c>
      <c r="F39" s="500">
        <v>0</v>
      </c>
      <c r="G39" s="500"/>
      <c r="H39" s="482">
        <f t="shared" si="5"/>
        <v>0</v>
      </c>
    </row>
    <row r="40" spans="1:8">
      <c r="A40" s="39">
        <v>19</v>
      </c>
      <c r="B40" s="498" t="s">
        <v>162</v>
      </c>
      <c r="C40" s="500">
        <v>3407973.6700000004</v>
      </c>
      <c r="D40" s="500"/>
      <c r="E40" s="480">
        <f t="shared" si="4"/>
        <v>3407973.6700000004</v>
      </c>
      <c r="F40" s="500">
        <v>752285.14999999991</v>
      </c>
      <c r="G40" s="500"/>
      <c r="H40" s="482">
        <f t="shared" si="5"/>
        <v>752285.14999999991</v>
      </c>
    </row>
    <row r="41" spans="1:8">
      <c r="A41" s="39">
        <v>20</v>
      </c>
      <c r="B41" s="498" t="s">
        <v>161</v>
      </c>
      <c r="C41" s="500">
        <v>-1895405.1099999994</v>
      </c>
      <c r="D41" s="500"/>
      <c r="E41" s="480">
        <f t="shared" si="4"/>
        <v>-1895405.1099999994</v>
      </c>
      <c r="F41" s="500">
        <v>136194.8899999967</v>
      </c>
      <c r="G41" s="500"/>
      <c r="H41" s="482">
        <f t="shared" si="5"/>
        <v>136194.8899999967</v>
      </c>
    </row>
    <row r="42" spans="1:8">
      <c r="A42" s="39">
        <v>21</v>
      </c>
      <c r="B42" s="498" t="s">
        <v>160</v>
      </c>
      <c r="C42" s="500">
        <v>0</v>
      </c>
      <c r="D42" s="500"/>
      <c r="E42" s="480">
        <f t="shared" si="4"/>
        <v>0</v>
      </c>
      <c r="F42" s="500">
        <v>0</v>
      </c>
      <c r="G42" s="500"/>
      <c r="H42" s="482">
        <f t="shared" si="5"/>
        <v>0</v>
      </c>
    </row>
    <row r="43" spans="1:8">
      <c r="A43" s="39">
        <v>22</v>
      </c>
      <c r="B43" s="498" t="s">
        <v>159</v>
      </c>
      <c r="C43" s="500">
        <v>2493874.2800000003</v>
      </c>
      <c r="D43" s="500"/>
      <c r="E43" s="480">
        <f t="shared" si="4"/>
        <v>2493874.2800000003</v>
      </c>
      <c r="F43" s="500">
        <v>2188709.7000000002</v>
      </c>
      <c r="G43" s="500"/>
      <c r="H43" s="482">
        <f t="shared" si="5"/>
        <v>2188709.7000000002</v>
      </c>
    </row>
    <row r="44" spans="1:8">
      <c r="A44" s="39">
        <v>23</v>
      </c>
      <c r="B44" s="498" t="s">
        <v>158</v>
      </c>
      <c r="C44" s="500">
        <v>0</v>
      </c>
      <c r="D44" s="500"/>
      <c r="E44" s="480">
        <f t="shared" si="4"/>
        <v>0</v>
      </c>
      <c r="F44" s="500">
        <v>0</v>
      </c>
      <c r="G44" s="500"/>
      <c r="H44" s="482">
        <f t="shared" si="5"/>
        <v>0</v>
      </c>
    </row>
    <row r="45" spans="1:8">
      <c r="A45" s="39">
        <v>24</v>
      </c>
      <c r="B45" s="505" t="s">
        <v>273</v>
      </c>
      <c r="C45" s="501">
        <f>C34+C37+C38+C39+C40+C41+C42+C43+C44</f>
        <v>3701397.9800000014</v>
      </c>
      <c r="D45" s="501">
        <f>D34+D37+D38+D39+D40+D41+D42+D43+D44</f>
        <v>0</v>
      </c>
      <c r="E45" s="480">
        <f t="shared" si="4"/>
        <v>3701397.9800000014</v>
      </c>
      <c r="F45" s="501">
        <f>F34+F37+F38+F39+F40+F41+F42+F43+F44</f>
        <v>3168479.1699999967</v>
      </c>
      <c r="G45" s="501">
        <f>G34+G37+G38+G39+G40+G41+G42+G43+G44</f>
        <v>0</v>
      </c>
      <c r="H45" s="482">
        <f t="shared" si="5"/>
        <v>3168479.1699999967</v>
      </c>
    </row>
    <row r="46" spans="1:8">
      <c r="A46" s="39"/>
      <c r="B46" s="182" t="s">
        <v>157</v>
      </c>
      <c r="C46" s="500"/>
      <c r="D46" s="500"/>
      <c r="E46" s="500"/>
      <c r="F46" s="500"/>
      <c r="G46" s="500"/>
      <c r="H46" s="511"/>
    </row>
    <row r="47" spans="1:8">
      <c r="A47" s="39">
        <v>25</v>
      </c>
      <c r="B47" s="498" t="s">
        <v>156</v>
      </c>
      <c r="C47" s="500">
        <v>0</v>
      </c>
      <c r="D47" s="500">
        <v>58469.22</v>
      </c>
      <c r="E47" s="480">
        <f t="shared" ref="E47:E54" si="6">C47+D47</f>
        <v>58469.22</v>
      </c>
      <c r="F47" s="500">
        <v>0</v>
      </c>
      <c r="G47" s="500"/>
      <c r="H47" s="482">
        <f t="shared" ref="H47:H54" si="7">F47+G47</f>
        <v>0</v>
      </c>
    </row>
    <row r="48" spans="1:8">
      <c r="A48" s="39">
        <v>26</v>
      </c>
      <c r="B48" s="498" t="s">
        <v>155</v>
      </c>
      <c r="C48" s="500">
        <v>185354.24000000002</v>
      </c>
      <c r="D48" s="500">
        <v>0</v>
      </c>
      <c r="E48" s="480">
        <f t="shared" si="6"/>
        <v>185354.24000000002</v>
      </c>
      <c r="F48" s="500">
        <v>106861.22</v>
      </c>
      <c r="G48" s="500"/>
      <c r="H48" s="482">
        <f t="shared" si="7"/>
        <v>106861.22</v>
      </c>
    </row>
    <row r="49" spans="1:8">
      <c r="A49" s="39">
        <v>27</v>
      </c>
      <c r="B49" s="498" t="s">
        <v>154</v>
      </c>
      <c r="C49" s="500">
        <v>4867352.68</v>
      </c>
      <c r="D49" s="500"/>
      <c r="E49" s="480">
        <f t="shared" si="6"/>
        <v>4867352.68</v>
      </c>
      <c r="F49" s="500">
        <v>4850195.4800000004</v>
      </c>
      <c r="G49" s="500"/>
      <c r="H49" s="482">
        <f t="shared" si="7"/>
        <v>4850195.4800000004</v>
      </c>
    </row>
    <row r="50" spans="1:8">
      <c r="A50" s="39">
        <v>28</v>
      </c>
      <c r="B50" s="498" t="s">
        <v>153</v>
      </c>
      <c r="C50" s="500">
        <v>84074.07</v>
      </c>
      <c r="D50" s="500">
        <v>0</v>
      </c>
      <c r="E50" s="480">
        <f t="shared" si="6"/>
        <v>84074.07</v>
      </c>
      <c r="F50" s="500">
        <v>45949.93</v>
      </c>
      <c r="G50" s="500"/>
      <c r="H50" s="482">
        <f t="shared" si="7"/>
        <v>45949.93</v>
      </c>
    </row>
    <row r="51" spans="1:8">
      <c r="A51" s="39">
        <v>29</v>
      </c>
      <c r="B51" s="498" t="s">
        <v>152</v>
      </c>
      <c r="C51" s="500">
        <v>778453.31</v>
      </c>
      <c r="D51" s="500">
        <v>0</v>
      </c>
      <c r="E51" s="480">
        <f t="shared" si="6"/>
        <v>778453.31</v>
      </c>
      <c r="F51" s="500">
        <v>537677.13</v>
      </c>
      <c r="G51" s="500"/>
      <c r="H51" s="482">
        <f t="shared" si="7"/>
        <v>537677.13</v>
      </c>
    </row>
    <row r="52" spans="1:8">
      <c r="A52" s="39">
        <v>30</v>
      </c>
      <c r="B52" s="498" t="s">
        <v>151</v>
      </c>
      <c r="C52" s="500">
        <v>2952088.0499999993</v>
      </c>
      <c r="D52" s="500"/>
      <c r="E52" s="480">
        <f t="shared" si="6"/>
        <v>2952088.0499999993</v>
      </c>
      <c r="F52" s="500">
        <v>2133035.66</v>
      </c>
      <c r="G52" s="500"/>
      <c r="H52" s="482">
        <f t="shared" si="7"/>
        <v>2133035.66</v>
      </c>
    </row>
    <row r="53" spans="1:8">
      <c r="A53" s="39">
        <v>31</v>
      </c>
      <c r="B53" s="505" t="s">
        <v>274</v>
      </c>
      <c r="C53" s="501">
        <f>C47+C48+C49+C50+C51+C52</f>
        <v>8867322.3499999996</v>
      </c>
      <c r="D53" s="501">
        <f>D47+D48+D49+D50+D51+D52</f>
        <v>58469.22</v>
      </c>
      <c r="E53" s="480">
        <f t="shared" si="6"/>
        <v>8925791.5700000003</v>
      </c>
      <c r="F53" s="501">
        <f>F47+F48+F49+F50+F51+F52</f>
        <v>7673719.4199999999</v>
      </c>
      <c r="G53" s="501">
        <f>G47+G48+G49+G50+G51+G52</f>
        <v>0</v>
      </c>
      <c r="H53" s="482">
        <f t="shared" si="7"/>
        <v>7673719.4199999999</v>
      </c>
    </row>
    <row r="54" spans="1:8">
      <c r="A54" s="39">
        <v>32</v>
      </c>
      <c r="B54" s="505" t="s">
        <v>275</v>
      </c>
      <c r="C54" s="501">
        <f>C45-C53</f>
        <v>-5165924.3699999982</v>
      </c>
      <c r="D54" s="501">
        <f>D45-D53</f>
        <v>-58469.22</v>
      </c>
      <c r="E54" s="480">
        <f t="shared" si="6"/>
        <v>-5224393.589999998</v>
      </c>
      <c r="F54" s="501">
        <f>F45-F53</f>
        <v>-4505240.2500000037</v>
      </c>
      <c r="G54" s="501">
        <f>G45-G53</f>
        <v>0</v>
      </c>
      <c r="H54" s="482">
        <f t="shared" si="7"/>
        <v>-4505240.2500000037</v>
      </c>
    </row>
    <row r="55" spans="1:8">
      <c r="A55" s="39"/>
      <c r="B55" s="506"/>
      <c r="C55" s="507"/>
      <c r="D55" s="507"/>
      <c r="E55" s="507"/>
      <c r="F55" s="507"/>
      <c r="G55" s="507"/>
      <c r="H55" s="508"/>
    </row>
    <row r="56" spans="1:8">
      <c r="A56" s="39">
        <v>33</v>
      </c>
      <c r="B56" s="505" t="s">
        <v>150</v>
      </c>
      <c r="C56" s="501">
        <f>C31+C54</f>
        <v>14192850.217241123</v>
      </c>
      <c r="D56" s="501">
        <f>D31+D54</f>
        <v>-1911081.8879601141</v>
      </c>
      <c r="E56" s="480">
        <f>C56+D56</f>
        <v>12281768.32928101</v>
      </c>
      <c r="F56" s="501">
        <f>F31+F54</f>
        <v>12100442.025680622</v>
      </c>
      <c r="G56" s="501">
        <f>G31+G54</f>
        <v>-1927857.5198884159</v>
      </c>
      <c r="H56" s="482">
        <f>F56+G56</f>
        <v>10172584.505792206</v>
      </c>
    </row>
    <row r="57" spans="1:8">
      <c r="A57" s="39"/>
      <c r="B57" s="506"/>
      <c r="C57" s="507"/>
      <c r="D57" s="507"/>
      <c r="E57" s="507"/>
      <c r="F57" s="507"/>
      <c r="G57" s="507"/>
      <c r="H57" s="508"/>
    </row>
    <row r="58" spans="1:8">
      <c r="A58" s="39">
        <v>34</v>
      </c>
      <c r="B58" s="498" t="s">
        <v>149</v>
      </c>
      <c r="C58" s="500">
        <v>-643151.76433431008</v>
      </c>
      <c r="D58" s="500"/>
      <c r="E58" s="480">
        <f>C58+D58</f>
        <v>-643151.76433431008</v>
      </c>
      <c r="F58" s="500">
        <v>5828485.6366231851</v>
      </c>
      <c r="G58" s="500"/>
      <c r="H58" s="482">
        <f>F58+G58</f>
        <v>5828485.6366231851</v>
      </c>
    </row>
    <row r="59" spans="1:8" s="183" customFormat="1" ht="25.5">
      <c r="A59" s="39">
        <v>35</v>
      </c>
      <c r="B59" s="498" t="s">
        <v>148</v>
      </c>
      <c r="C59" s="500">
        <v>25746.375719924545</v>
      </c>
      <c r="D59" s="500"/>
      <c r="E59" s="512">
        <f>C59+D59</f>
        <v>25746.375719924545</v>
      </c>
      <c r="F59" s="513">
        <v>44801.70472150296</v>
      </c>
      <c r="G59" s="513"/>
      <c r="H59" s="514">
        <f>F59+G59</f>
        <v>44801.70472150296</v>
      </c>
    </row>
    <row r="60" spans="1:8">
      <c r="A60" s="39">
        <v>36</v>
      </c>
      <c r="B60" s="498" t="s">
        <v>147</v>
      </c>
      <c r="C60" s="500">
        <v>-265993.84512096003</v>
      </c>
      <c r="D60" s="500"/>
      <c r="E60" s="480">
        <f>C60+D60</f>
        <v>-265993.84512096003</v>
      </c>
      <c r="F60" s="500">
        <v>1213419.1953083198</v>
      </c>
      <c r="G60" s="500"/>
      <c r="H60" s="482">
        <f>F60+G60</f>
        <v>1213419.1953083198</v>
      </c>
    </row>
    <row r="61" spans="1:8">
      <c r="A61" s="39">
        <v>37</v>
      </c>
      <c r="B61" s="505" t="s">
        <v>146</v>
      </c>
      <c r="C61" s="501">
        <f>C58+C59+C60</f>
        <v>-883399.23373534554</v>
      </c>
      <c r="D61" s="501">
        <f>D58+D59+D60</f>
        <v>0</v>
      </c>
      <c r="E61" s="480">
        <f>C61+D61</f>
        <v>-883399.23373534554</v>
      </c>
      <c r="F61" s="501">
        <f>F58+F59+F60</f>
        <v>7086706.5366530083</v>
      </c>
      <c r="G61" s="501">
        <f>G58+G59+G60</f>
        <v>0</v>
      </c>
      <c r="H61" s="482">
        <f>F61+G61</f>
        <v>7086706.5366530083</v>
      </c>
    </row>
    <row r="62" spans="1:8">
      <c r="A62" s="39"/>
      <c r="B62" s="515"/>
      <c r="C62" s="500"/>
      <c r="D62" s="500"/>
      <c r="E62" s="500"/>
      <c r="F62" s="500"/>
      <c r="G62" s="500"/>
      <c r="H62" s="511"/>
    </row>
    <row r="63" spans="1:8">
      <c r="A63" s="39">
        <v>38</v>
      </c>
      <c r="B63" s="516" t="s">
        <v>145</v>
      </c>
      <c r="C63" s="501">
        <f>C56-C61</f>
        <v>15076249.450976469</v>
      </c>
      <c r="D63" s="501">
        <f>D56-D61</f>
        <v>-1911081.8879601141</v>
      </c>
      <c r="E63" s="480">
        <f>C63+D63</f>
        <v>13165167.563016355</v>
      </c>
      <c r="F63" s="501">
        <f>F56-F61</f>
        <v>5013735.4890276138</v>
      </c>
      <c r="G63" s="501">
        <f>G56-G61</f>
        <v>-1927857.5198884159</v>
      </c>
      <c r="H63" s="482">
        <f>F63+G63</f>
        <v>3085877.9691391978</v>
      </c>
    </row>
    <row r="64" spans="1:8">
      <c r="A64" s="38">
        <v>39</v>
      </c>
      <c r="B64" s="498" t="s">
        <v>144</v>
      </c>
      <c r="C64" s="517">
        <v>1878163.54</v>
      </c>
      <c r="D64" s="517"/>
      <c r="E64" s="480">
        <f>C64+D64</f>
        <v>1878163.54</v>
      </c>
      <c r="F64" s="517">
        <v>288129</v>
      </c>
      <c r="G64" s="517"/>
      <c r="H64" s="482">
        <f>F64+G64</f>
        <v>288129</v>
      </c>
    </row>
    <row r="65" spans="1:8">
      <c r="A65" s="39">
        <v>40</v>
      </c>
      <c r="B65" s="505" t="s">
        <v>143</v>
      </c>
      <c r="C65" s="501">
        <f>C63-C64</f>
        <v>13198085.91097647</v>
      </c>
      <c r="D65" s="501">
        <f>D63-D64</f>
        <v>-1911081.8879601141</v>
      </c>
      <c r="E65" s="480">
        <f>C65+D65</f>
        <v>11287004.023016356</v>
      </c>
      <c r="F65" s="501">
        <f>F63-F64</f>
        <v>4725606.4890276138</v>
      </c>
      <c r="G65" s="501">
        <f>G63-G64</f>
        <v>-1927857.5198884159</v>
      </c>
      <c r="H65" s="482">
        <f>F65+G65</f>
        <v>2797748.9691391978</v>
      </c>
    </row>
    <row r="66" spans="1:8">
      <c r="A66" s="38">
        <v>41</v>
      </c>
      <c r="B66" s="498" t="s">
        <v>142</v>
      </c>
      <c r="C66" s="517"/>
      <c r="D66" s="517"/>
      <c r="E66" s="480">
        <f>C66+D66</f>
        <v>0</v>
      </c>
      <c r="F66" s="517"/>
      <c r="G66" s="517"/>
      <c r="H66" s="482">
        <f>F66+G66</f>
        <v>0</v>
      </c>
    </row>
    <row r="67" spans="1:8" ht="13.5" thickBot="1">
      <c r="A67" s="40">
        <v>42</v>
      </c>
      <c r="B67" s="41" t="s">
        <v>141</v>
      </c>
      <c r="C67" s="518">
        <f>C65+C66</f>
        <v>13198085.91097647</v>
      </c>
      <c r="D67" s="518">
        <f>D65+D66</f>
        <v>-1911081.8879601141</v>
      </c>
      <c r="E67" s="519">
        <f>C67+D67</f>
        <v>11287004.023016356</v>
      </c>
      <c r="F67" s="518">
        <f>F65+F66</f>
        <v>4725606.4890276138</v>
      </c>
      <c r="G67" s="518">
        <f>G65+G66</f>
        <v>-1927857.5198884159</v>
      </c>
      <c r="H67" s="520">
        <f>F67+G67</f>
        <v>2797748.9691391978</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showGridLines="0" zoomScaleNormal="100" workbookViewId="0">
      <selection activeCell="B5" sqref="B5:B6"/>
    </sheetView>
  </sheetViews>
  <sheetFormatPr defaultColWidth="9.28515625" defaultRowHeight="14.25"/>
  <cols>
    <col min="1" max="1" width="9.5703125" style="5" bestFit="1" customWidth="1"/>
    <col min="2" max="2" width="68.42578125" style="5" bestFit="1" customWidth="1"/>
    <col min="3" max="8" width="12.7109375" style="5" customWidth="1"/>
    <col min="9" max="16384" width="9.28515625" style="5"/>
  </cols>
  <sheetData>
    <row r="1" spans="1:8">
      <c r="A1" s="449" t="s">
        <v>30</v>
      </c>
      <c r="B1" s="450" t="str">
        <f>'Info '!C2</f>
        <v>JSC Isbank Georgia</v>
      </c>
    </row>
    <row r="2" spans="1:8">
      <c r="A2" s="449" t="s">
        <v>31</v>
      </c>
      <c r="B2" s="451">
        <f>'1. key ratios '!B2</f>
        <v>44561</v>
      </c>
    </row>
    <row r="3" spans="1:8">
      <c r="A3" s="4"/>
    </row>
    <row r="4" spans="1:8" ht="15" thickBot="1">
      <c r="A4" s="4" t="s">
        <v>74</v>
      </c>
      <c r="B4" s="4"/>
      <c r="C4" s="521"/>
      <c r="D4" s="521"/>
      <c r="E4" s="521"/>
      <c r="F4" s="521"/>
      <c r="G4" s="522"/>
      <c r="H4" s="523" t="s">
        <v>73</v>
      </c>
    </row>
    <row r="5" spans="1:8">
      <c r="A5" s="708" t="s">
        <v>6</v>
      </c>
      <c r="B5" s="710" t="s">
        <v>340</v>
      </c>
      <c r="C5" s="704" t="s">
        <v>68</v>
      </c>
      <c r="D5" s="705"/>
      <c r="E5" s="706"/>
      <c r="F5" s="704" t="s">
        <v>72</v>
      </c>
      <c r="G5" s="705"/>
      <c r="H5" s="707"/>
    </row>
    <row r="6" spans="1:8">
      <c r="A6" s="709"/>
      <c r="B6" s="711"/>
      <c r="C6" s="471" t="s">
        <v>287</v>
      </c>
      <c r="D6" s="471" t="s">
        <v>122</v>
      </c>
      <c r="E6" s="471" t="s">
        <v>109</v>
      </c>
      <c r="F6" s="471" t="s">
        <v>287</v>
      </c>
      <c r="G6" s="471" t="s">
        <v>122</v>
      </c>
      <c r="H6" s="472" t="s">
        <v>109</v>
      </c>
    </row>
    <row r="7" spans="1:8" s="18" customFormat="1">
      <c r="A7" s="171">
        <v>1</v>
      </c>
      <c r="B7" s="524" t="s">
        <v>374</v>
      </c>
      <c r="C7" s="510">
        <f>SUM(C8:C11)</f>
        <v>24971014.899999999</v>
      </c>
      <c r="D7" s="510">
        <f>SUM(D8:D11)</f>
        <v>85572463.149999991</v>
      </c>
      <c r="E7" s="510">
        <f>C7+D7</f>
        <v>110543478.04999998</v>
      </c>
      <c r="F7" s="510">
        <f>SUM(F8:F11)</f>
        <v>27809840.789999995</v>
      </c>
      <c r="G7" s="510">
        <f>SUM(G8:G11)</f>
        <v>63413394.049999997</v>
      </c>
      <c r="H7" s="482">
        <f t="shared" ref="H7:H53" si="0">F7+G7</f>
        <v>91223234.839999989</v>
      </c>
    </row>
    <row r="8" spans="1:8" s="18" customFormat="1">
      <c r="A8" s="171">
        <v>1.1000000000000001</v>
      </c>
      <c r="B8" s="525" t="s">
        <v>305</v>
      </c>
      <c r="C8" s="526">
        <v>24940646.149999999</v>
      </c>
      <c r="D8" s="526">
        <v>85572463.149999991</v>
      </c>
      <c r="E8" s="510">
        <f t="shared" ref="E8:E53" si="1">C8+D8</f>
        <v>110513109.29999998</v>
      </c>
      <c r="F8" s="526">
        <v>27767635.999999996</v>
      </c>
      <c r="G8" s="526">
        <v>47019721.539999999</v>
      </c>
      <c r="H8" s="482">
        <f t="shared" si="0"/>
        <v>74787357.539999992</v>
      </c>
    </row>
    <row r="9" spans="1:8" s="18" customFormat="1">
      <c r="A9" s="171">
        <v>1.2</v>
      </c>
      <c r="B9" s="525" t="s">
        <v>306</v>
      </c>
      <c r="C9" s="526"/>
      <c r="D9" s="526"/>
      <c r="E9" s="510">
        <f t="shared" si="1"/>
        <v>0</v>
      </c>
      <c r="F9" s="526"/>
      <c r="G9" s="526"/>
      <c r="H9" s="482">
        <f t="shared" si="0"/>
        <v>0</v>
      </c>
    </row>
    <row r="10" spans="1:8" s="18" customFormat="1">
      <c r="A10" s="171">
        <v>1.3</v>
      </c>
      <c r="B10" s="525" t="s">
        <v>307</v>
      </c>
      <c r="C10" s="526">
        <v>30368.750000000007</v>
      </c>
      <c r="D10" s="526"/>
      <c r="E10" s="510">
        <f t="shared" si="1"/>
        <v>30368.750000000007</v>
      </c>
      <c r="F10" s="526">
        <v>42204.79</v>
      </c>
      <c r="G10" s="526">
        <v>10672.51</v>
      </c>
      <c r="H10" s="482">
        <f t="shared" si="0"/>
        <v>52877.3</v>
      </c>
    </row>
    <row r="11" spans="1:8" s="18" customFormat="1">
      <c r="A11" s="171">
        <v>1.4</v>
      </c>
      <c r="B11" s="525" t="s">
        <v>288</v>
      </c>
      <c r="C11" s="526"/>
      <c r="D11" s="526"/>
      <c r="E11" s="510">
        <f t="shared" si="1"/>
        <v>0</v>
      </c>
      <c r="F11" s="526"/>
      <c r="G11" s="526">
        <v>16383000</v>
      </c>
      <c r="H11" s="482">
        <f t="shared" si="0"/>
        <v>16383000</v>
      </c>
    </row>
    <row r="12" spans="1:8" s="18" customFormat="1" ht="29.25" customHeight="1">
      <c r="A12" s="171">
        <v>2</v>
      </c>
      <c r="B12" s="527" t="s">
        <v>309</v>
      </c>
      <c r="C12" s="510"/>
      <c r="D12" s="510"/>
      <c r="E12" s="510">
        <f t="shared" si="1"/>
        <v>0</v>
      </c>
      <c r="F12" s="510"/>
      <c r="G12" s="510"/>
      <c r="H12" s="482">
        <f t="shared" si="0"/>
        <v>0</v>
      </c>
    </row>
    <row r="13" spans="1:8" s="18" customFormat="1" ht="19.899999999999999" customHeight="1">
      <c r="A13" s="171">
        <v>3</v>
      </c>
      <c r="B13" s="527" t="s">
        <v>308</v>
      </c>
      <c r="C13" s="510">
        <f>SUM(C14:C15)</f>
        <v>0</v>
      </c>
      <c r="D13" s="510">
        <f>SUM(D14:D15)</f>
        <v>0</v>
      </c>
      <c r="E13" s="510">
        <f t="shared" si="1"/>
        <v>0</v>
      </c>
      <c r="F13" s="510">
        <f>SUM(F14:F15)</f>
        <v>5273000</v>
      </c>
      <c r="G13" s="510">
        <f>SUM(G14:G15)</f>
        <v>0</v>
      </c>
      <c r="H13" s="482">
        <f t="shared" si="0"/>
        <v>5273000</v>
      </c>
    </row>
    <row r="14" spans="1:8" s="18" customFormat="1">
      <c r="A14" s="171">
        <v>3.1</v>
      </c>
      <c r="B14" s="528" t="s">
        <v>289</v>
      </c>
      <c r="C14" s="526">
        <v>0</v>
      </c>
      <c r="D14" s="526"/>
      <c r="E14" s="510">
        <f t="shared" si="1"/>
        <v>0</v>
      </c>
      <c r="F14" s="526">
        <v>5273000</v>
      </c>
      <c r="G14" s="526"/>
      <c r="H14" s="482">
        <f t="shared" si="0"/>
        <v>5273000</v>
      </c>
    </row>
    <row r="15" spans="1:8" s="18" customFormat="1">
      <c r="A15" s="171">
        <v>3.2</v>
      </c>
      <c r="B15" s="528" t="s">
        <v>290</v>
      </c>
      <c r="C15" s="526"/>
      <c r="D15" s="526"/>
      <c r="E15" s="510">
        <f t="shared" si="1"/>
        <v>0</v>
      </c>
      <c r="F15" s="526"/>
      <c r="G15" s="526"/>
      <c r="H15" s="482">
        <f t="shared" si="0"/>
        <v>0</v>
      </c>
    </row>
    <row r="16" spans="1:8" s="18" customFormat="1">
      <c r="A16" s="171">
        <v>4</v>
      </c>
      <c r="B16" s="529" t="s">
        <v>319</v>
      </c>
      <c r="C16" s="510">
        <f>SUM(C17:C18)</f>
        <v>59574093.180000007</v>
      </c>
      <c r="D16" s="510">
        <f>SUM(D17:D18)</f>
        <v>123978225.740944</v>
      </c>
      <c r="E16" s="510">
        <f t="shared" si="1"/>
        <v>183552318.92094401</v>
      </c>
      <c r="F16" s="510">
        <f>SUM(F17:F18)</f>
        <v>58929361.079999998</v>
      </c>
      <c r="G16" s="510">
        <f>SUM(G17:G18)</f>
        <v>76756613.844440997</v>
      </c>
      <c r="H16" s="482">
        <f t="shared" si="0"/>
        <v>135685974.92444098</v>
      </c>
    </row>
    <row r="17" spans="1:8" s="18" customFormat="1">
      <c r="A17" s="171">
        <v>4.0999999999999996</v>
      </c>
      <c r="B17" s="528" t="s">
        <v>310</v>
      </c>
      <c r="C17" s="526">
        <v>36250931.180000007</v>
      </c>
      <c r="D17" s="526">
        <v>70321862.909999996</v>
      </c>
      <c r="E17" s="510">
        <f t="shared" si="1"/>
        <v>106572794.09</v>
      </c>
      <c r="F17" s="526">
        <v>35693506.710000001</v>
      </c>
      <c r="G17" s="526">
        <v>53491960.169999994</v>
      </c>
      <c r="H17" s="482">
        <f t="shared" si="0"/>
        <v>89185466.879999995</v>
      </c>
    </row>
    <row r="18" spans="1:8" s="18" customFormat="1">
      <c r="A18" s="171">
        <v>4.2</v>
      </c>
      <c r="B18" s="528" t="s">
        <v>304</v>
      </c>
      <c r="C18" s="526">
        <v>23323162</v>
      </c>
      <c r="D18" s="526">
        <v>53656362.830944002</v>
      </c>
      <c r="E18" s="510">
        <f t="shared" si="1"/>
        <v>76979524.830944002</v>
      </c>
      <c r="F18" s="526">
        <v>23235854.369999997</v>
      </c>
      <c r="G18" s="526">
        <v>23264653.674440999</v>
      </c>
      <c r="H18" s="482">
        <f t="shared" si="0"/>
        <v>46500508.044441</v>
      </c>
    </row>
    <row r="19" spans="1:8" s="18" customFormat="1">
      <c r="A19" s="171">
        <v>5</v>
      </c>
      <c r="B19" s="527" t="s">
        <v>318</v>
      </c>
      <c r="C19" s="510">
        <f>C20+C21+C22+SUM(C28:C31)</f>
        <v>327893</v>
      </c>
      <c r="D19" s="510">
        <f>D20+D21+D22+SUM(D28:D31)</f>
        <v>349538651.52911502</v>
      </c>
      <c r="E19" s="510">
        <f t="shared" si="1"/>
        <v>349866544.52911502</v>
      </c>
      <c r="F19" s="510">
        <f>F20+F21+F22+SUM(F28:F31)</f>
        <v>118216.9</v>
      </c>
      <c r="G19" s="510">
        <f>G20+G21+G22+SUM(G28:G31)</f>
        <v>297199846.21193212</v>
      </c>
      <c r="H19" s="482">
        <f t="shared" si="0"/>
        <v>297318063.1119321</v>
      </c>
    </row>
    <row r="20" spans="1:8" s="18" customFormat="1">
      <c r="A20" s="171">
        <v>5.0999999999999996</v>
      </c>
      <c r="B20" s="530" t="s">
        <v>293</v>
      </c>
      <c r="C20" s="526">
        <v>327893</v>
      </c>
      <c r="D20" s="526">
        <v>6113835.2537599998</v>
      </c>
      <c r="E20" s="510">
        <f t="shared" si="1"/>
        <v>6441728.2537599998</v>
      </c>
      <c r="F20" s="526">
        <v>118216.9</v>
      </c>
      <c r="G20" s="526">
        <v>1984458.7736460001</v>
      </c>
      <c r="H20" s="482">
        <f t="shared" si="0"/>
        <v>2102675.6736460002</v>
      </c>
    </row>
    <row r="21" spans="1:8" s="18" customFormat="1">
      <c r="A21" s="171">
        <v>5.2</v>
      </c>
      <c r="B21" s="530" t="s">
        <v>292</v>
      </c>
      <c r="C21" s="526"/>
      <c r="D21" s="526"/>
      <c r="E21" s="510">
        <f t="shared" si="1"/>
        <v>0</v>
      </c>
      <c r="F21" s="526"/>
      <c r="G21" s="526"/>
      <c r="H21" s="482">
        <f t="shared" si="0"/>
        <v>0</v>
      </c>
    </row>
    <row r="22" spans="1:8" s="18" customFormat="1">
      <c r="A22" s="171">
        <v>5.3</v>
      </c>
      <c r="B22" s="530" t="s">
        <v>291</v>
      </c>
      <c r="C22" s="531">
        <f>SUM(C23:C27)</f>
        <v>0</v>
      </c>
      <c r="D22" s="531">
        <f>SUM(D23:D27)</f>
        <v>290340572.13146049</v>
      </c>
      <c r="E22" s="510">
        <f t="shared" si="1"/>
        <v>290340572.13146049</v>
      </c>
      <c r="F22" s="531">
        <f>SUM(F23:F27)</f>
        <v>0</v>
      </c>
      <c r="G22" s="531">
        <f>SUM(G23:G27)</f>
        <v>227082913.9648442</v>
      </c>
      <c r="H22" s="482">
        <f t="shared" si="0"/>
        <v>227082913.9648442</v>
      </c>
    </row>
    <row r="23" spans="1:8" s="18" customFormat="1">
      <c r="A23" s="171" t="s">
        <v>15</v>
      </c>
      <c r="B23" s="532" t="s">
        <v>75</v>
      </c>
      <c r="C23" s="526"/>
      <c r="D23" s="526">
        <v>42377973.418694437</v>
      </c>
      <c r="E23" s="510">
        <f t="shared" si="1"/>
        <v>42377973.418694437</v>
      </c>
      <c r="F23" s="526"/>
      <c r="G23" s="526">
        <v>33144915.370231472</v>
      </c>
      <c r="H23" s="482">
        <f t="shared" si="0"/>
        <v>33144915.370231472</v>
      </c>
    </row>
    <row r="24" spans="1:8" s="18" customFormat="1">
      <c r="A24" s="171" t="s">
        <v>16</v>
      </c>
      <c r="B24" s="532" t="s">
        <v>76</v>
      </c>
      <c r="C24" s="526"/>
      <c r="D24" s="526">
        <v>209534020.74713045</v>
      </c>
      <c r="E24" s="510">
        <f t="shared" si="1"/>
        <v>209534020.74713045</v>
      </c>
      <c r="F24" s="526"/>
      <c r="G24" s="526">
        <v>163882008.14209491</v>
      </c>
      <c r="H24" s="482">
        <f t="shared" si="0"/>
        <v>163882008.14209491</v>
      </c>
    </row>
    <row r="25" spans="1:8" s="18" customFormat="1">
      <c r="A25" s="171" t="s">
        <v>17</v>
      </c>
      <c r="B25" s="532" t="s">
        <v>77</v>
      </c>
      <c r="C25" s="526"/>
      <c r="D25" s="526">
        <v>209121.94851991421</v>
      </c>
      <c r="E25" s="510">
        <f t="shared" si="1"/>
        <v>209121.94851991421</v>
      </c>
      <c r="F25" s="526"/>
      <c r="G25" s="526">
        <v>163559.71573413658</v>
      </c>
      <c r="H25" s="482">
        <f t="shared" si="0"/>
        <v>163559.71573413658</v>
      </c>
    </row>
    <row r="26" spans="1:8" s="18" customFormat="1">
      <c r="A26" s="171" t="s">
        <v>18</v>
      </c>
      <c r="B26" s="532" t="s">
        <v>78</v>
      </c>
      <c r="C26" s="526"/>
      <c r="D26" s="526">
        <v>38219456.017115667</v>
      </c>
      <c r="E26" s="510">
        <f t="shared" si="1"/>
        <v>38219456.017115667</v>
      </c>
      <c r="F26" s="526"/>
      <c r="G26" s="526">
        <v>29892430.736783672</v>
      </c>
      <c r="H26" s="482">
        <f t="shared" si="0"/>
        <v>29892430.736783672</v>
      </c>
    </row>
    <row r="27" spans="1:8" s="18" customFormat="1">
      <c r="A27" s="171" t="s">
        <v>19</v>
      </c>
      <c r="B27" s="532" t="s">
        <v>79</v>
      </c>
      <c r="C27" s="526"/>
      <c r="D27" s="526">
        <v>0</v>
      </c>
      <c r="E27" s="510">
        <f t="shared" si="1"/>
        <v>0</v>
      </c>
      <c r="F27" s="526"/>
      <c r="G27" s="526">
        <v>0</v>
      </c>
      <c r="H27" s="482">
        <f t="shared" si="0"/>
        <v>0</v>
      </c>
    </row>
    <row r="28" spans="1:8" s="18" customFormat="1">
      <c r="A28" s="171">
        <v>5.4</v>
      </c>
      <c r="B28" s="530" t="s">
        <v>294</v>
      </c>
      <c r="C28" s="526"/>
      <c r="D28" s="526">
        <v>39281443.499894537</v>
      </c>
      <c r="E28" s="510">
        <f t="shared" si="1"/>
        <v>39281443.499894537</v>
      </c>
      <c r="F28" s="526"/>
      <c r="G28" s="526">
        <v>13529169.045442598</v>
      </c>
      <c r="H28" s="482">
        <f t="shared" si="0"/>
        <v>13529169.045442598</v>
      </c>
    </row>
    <row r="29" spans="1:8" s="18" customFormat="1">
      <c r="A29" s="171">
        <v>5.5</v>
      </c>
      <c r="B29" s="530" t="s">
        <v>295</v>
      </c>
      <c r="C29" s="526"/>
      <c r="D29" s="526">
        <v>0</v>
      </c>
      <c r="E29" s="510">
        <f t="shared" si="1"/>
        <v>0</v>
      </c>
      <c r="F29" s="526"/>
      <c r="G29" s="526">
        <v>0</v>
      </c>
      <c r="H29" s="482">
        <f t="shared" si="0"/>
        <v>0</v>
      </c>
    </row>
    <row r="30" spans="1:8" s="18" customFormat="1">
      <c r="A30" s="171">
        <v>5.6</v>
      </c>
      <c r="B30" s="530" t="s">
        <v>296</v>
      </c>
      <c r="C30" s="526"/>
      <c r="D30" s="526">
        <v>0</v>
      </c>
      <c r="E30" s="510">
        <f t="shared" si="1"/>
        <v>0</v>
      </c>
      <c r="F30" s="526"/>
      <c r="G30" s="526">
        <v>0</v>
      </c>
      <c r="H30" s="482">
        <f t="shared" si="0"/>
        <v>0</v>
      </c>
    </row>
    <row r="31" spans="1:8" s="18" customFormat="1">
      <c r="A31" s="171">
        <v>5.7</v>
      </c>
      <c r="B31" s="530" t="s">
        <v>79</v>
      </c>
      <c r="C31" s="526"/>
      <c r="D31" s="526">
        <v>13802800.643999999</v>
      </c>
      <c r="E31" s="510">
        <f t="shared" si="1"/>
        <v>13802800.643999999</v>
      </c>
      <c r="F31" s="526"/>
      <c r="G31" s="526">
        <v>54603304.42799931</v>
      </c>
      <c r="H31" s="482">
        <f t="shared" si="0"/>
        <v>54603304.42799931</v>
      </c>
    </row>
    <row r="32" spans="1:8" s="18" customFormat="1">
      <c r="A32" s="171">
        <v>6</v>
      </c>
      <c r="B32" s="527" t="s">
        <v>324</v>
      </c>
      <c r="C32" s="510">
        <f>SUM(C33:C39)</f>
        <v>0</v>
      </c>
      <c r="D32" s="510">
        <f>SUM(D33:D39)</f>
        <v>0</v>
      </c>
      <c r="E32" s="510">
        <f t="shared" si="1"/>
        <v>0</v>
      </c>
      <c r="F32" s="510">
        <f>SUM(F33:F39)</f>
        <v>0</v>
      </c>
      <c r="G32" s="510">
        <f>SUM(G33:G39)</f>
        <v>0</v>
      </c>
      <c r="H32" s="482">
        <f t="shared" si="0"/>
        <v>0</v>
      </c>
    </row>
    <row r="33" spans="1:8" s="18" customFormat="1">
      <c r="A33" s="171">
        <v>6.1</v>
      </c>
      <c r="B33" s="533" t="s">
        <v>314</v>
      </c>
      <c r="C33" s="526"/>
      <c r="D33" s="526"/>
      <c r="E33" s="510">
        <f t="shared" si="1"/>
        <v>0</v>
      </c>
      <c r="F33" s="526"/>
      <c r="G33" s="526"/>
      <c r="H33" s="482">
        <f t="shared" si="0"/>
        <v>0</v>
      </c>
    </row>
    <row r="34" spans="1:8" s="18" customFormat="1">
      <c r="A34" s="171">
        <v>6.2</v>
      </c>
      <c r="B34" s="533" t="s">
        <v>315</v>
      </c>
      <c r="C34" s="526"/>
      <c r="D34" s="526"/>
      <c r="E34" s="510">
        <f t="shared" si="1"/>
        <v>0</v>
      </c>
      <c r="F34" s="526"/>
      <c r="G34" s="526">
        <v>0</v>
      </c>
      <c r="H34" s="482">
        <f t="shared" si="0"/>
        <v>0</v>
      </c>
    </row>
    <row r="35" spans="1:8" s="18" customFormat="1">
      <c r="A35" s="171">
        <v>6.3</v>
      </c>
      <c r="B35" s="533" t="s">
        <v>311</v>
      </c>
      <c r="C35" s="526"/>
      <c r="D35" s="526"/>
      <c r="E35" s="510">
        <f t="shared" si="1"/>
        <v>0</v>
      </c>
      <c r="F35" s="526"/>
      <c r="G35" s="526"/>
      <c r="H35" s="482">
        <f t="shared" si="0"/>
        <v>0</v>
      </c>
    </row>
    <row r="36" spans="1:8" s="18" customFormat="1">
      <c r="A36" s="171">
        <v>6.4</v>
      </c>
      <c r="B36" s="533" t="s">
        <v>312</v>
      </c>
      <c r="C36" s="526"/>
      <c r="D36" s="526"/>
      <c r="E36" s="510">
        <f t="shared" si="1"/>
        <v>0</v>
      </c>
      <c r="F36" s="526"/>
      <c r="G36" s="526"/>
      <c r="H36" s="482">
        <f t="shared" si="0"/>
        <v>0</v>
      </c>
    </row>
    <row r="37" spans="1:8" s="18" customFormat="1">
      <c r="A37" s="171">
        <v>6.5</v>
      </c>
      <c r="B37" s="533" t="s">
        <v>313</v>
      </c>
      <c r="C37" s="526"/>
      <c r="D37" s="526"/>
      <c r="E37" s="510">
        <f t="shared" si="1"/>
        <v>0</v>
      </c>
      <c r="F37" s="526"/>
      <c r="G37" s="526"/>
      <c r="H37" s="482">
        <f t="shared" si="0"/>
        <v>0</v>
      </c>
    </row>
    <row r="38" spans="1:8" s="18" customFormat="1">
      <c r="A38" s="171">
        <v>6.6</v>
      </c>
      <c r="B38" s="533" t="s">
        <v>316</v>
      </c>
      <c r="C38" s="526"/>
      <c r="D38" s="526"/>
      <c r="E38" s="510">
        <f t="shared" si="1"/>
        <v>0</v>
      </c>
      <c r="F38" s="526"/>
      <c r="G38" s="526"/>
      <c r="H38" s="482">
        <f t="shared" si="0"/>
        <v>0</v>
      </c>
    </row>
    <row r="39" spans="1:8" s="18" customFormat="1">
      <c r="A39" s="171">
        <v>6.7</v>
      </c>
      <c r="B39" s="533" t="s">
        <v>317</v>
      </c>
      <c r="C39" s="526"/>
      <c r="D39" s="526"/>
      <c r="E39" s="510">
        <f t="shared" si="1"/>
        <v>0</v>
      </c>
      <c r="F39" s="526"/>
      <c r="G39" s="526"/>
      <c r="H39" s="482">
        <f t="shared" si="0"/>
        <v>0</v>
      </c>
    </row>
    <row r="40" spans="1:8" s="18" customFormat="1">
      <c r="A40" s="171">
        <v>7</v>
      </c>
      <c r="B40" s="527" t="s">
        <v>320</v>
      </c>
      <c r="C40" s="510">
        <f>SUM(C41:C44)</f>
        <v>102609.49000000002</v>
      </c>
      <c r="D40" s="510">
        <f>SUM(D41:D44)</f>
        <v>5928.8000000000011</v>
      </c>
      <c r="E40" s="510">
        <f t="shared" si="1"/>
        <v>108538.29000000002</v>
      </c>
      <c r="F40" s="510">
        <f>SUM(F41:F44)</f>
        <v>142049.28999999992</v>
      </c>
      <c r="G40" s="510">
        <f>SUM(G41:G44)</f>
        <v>4336.0100000000011</v>
      </c>
      <c r="H40" s="482">
        <f t="shared" si="0"/>
        <v>146385.29999999993</v>
      </c>
    </row>
    <row r="41" spans="1:8" s="18" customFormat="1">
      <c r="A41" s="171">
        <v>7.1</v>
      </c>
      <c r="B41" s="534" t="s">
        <v>321</v>
      </c>
      <c r="C41" s="526"/>
      <c r="D41" s="526"/>
      <c r="E41" s="510">
        <f t="shared" si="1"/>
        <v>0</v>
      </c>
      <c r="F41" s="526"/>
      <c r="G41" s="526"/>
      <c r="H41" s="482">
        <f t="shared" si="0"/>
        <v>0</v>
      </c>
    </row>
    <row r="42" spans="1:8" s="18" customFormat="1" ht="25.5">
      <c r="A42" s="171">
        <v>7.2</v>
      </c>
      <c r="B42" s="534" t="s">
        <v>322</v>
      </c>
      <c r="C42" s="526"/>
      <c r="D42" s="526"/>
      <c r="E42" s="510">
        <f t="shared" si="1"/>
        <v>0</v>
      </c>
      <c r="F42" s="526"/>
      <c r="G42" s="526"/>
      <c r="H42" s="482">
        <f t="shared" si="0"/>
        <v>0</v>
      </c>
    </row>
    <row r="43" spans="1:8" s="18" customFormat="1" ht="25.5">
      <c r="A43" s="171">
        <v>7.3</v>
      </c>
      <c r="B43" s="534" t="s">
        <v>325</v>
      </c>
      <c r="C43" s="526"/>
      <c r="D43" s="526"/>
      <c r="E43" s="510">
        <f t="shared" si="1"/>
        <v>0</v>
      </c>
      <c r="F43" s="526"/>
      <c r="G43" s="526"/>
      <c r="H43" s="482">
        <f t="shared" si="0"/>
        <v>0</v>
      </c>
    </row>
    <row r="44" spans="1:8" s="18" customFormat="1" ht="25.5">
      <c r="A44" s="171">
        <v>7.4</v>
      </c>
      <c r="B44" s="534" t="s">
        <v>326</v>
      </c>
      <c r="C44" s="526">
        <v>102609.49000000002</v>
      </c>
      <c r="D44" s="526">
        <v>5928.8000000000011</v>
      </c>
      <c r="E44" s="510">
        <f t="shared" si="1"/>
        <v>108538.29000000002</v>
      </c>
      <c r="F44" s="526">
        <v>142049.28999999992</v>
      </c>
      <c r="G44" s="526">
        <v>4336.0100000000011</v>
      </c>
      <c r="H44" s="482">
        <f t="shared" si="0"/>
        <v>146385.29999999993</v>
      </c>
    </row>
    <row r="45" spans="1:8" s="18" customFormat="1">
      <c r="A45" s="171">
        <v>8</v>
      </c>
      <c r="B45" s="527" t="s">
        <v>303</v>
      </c>
      <c r="C45" s="510">
        <f>SUM(C46:C52)</f>
        <v>4050</v>
      </c>
      <c r="D45" s="510">
        <f>SUM(D46:D52)</f>
        <v>114019.86</v>
      </c>
      <c r="E45" s="510">
        <f t="shared" si="1"/>
        <v>118069.86</v>
      </c>
      <c r="F45" s="510">
        <f>SUM(F46:F52)</f>
        <v>784549.20000000007</v>
      </c>
      <c r="G45" s="510">
        <f>SUM(G46:G52)</f>
        <v>330249.8498360659</v>
      </c>
      <c r="H45" s="482">
        <f t="shared" si="0"/>
        <v>1114799.0498360661</v>
      </c>
    </row>
    <row r="46" spans="1:8" s="18" customFormat="1">
      <c r="A46" s="171">
        <v>8.1</v>
      </c>
      <c r="B46" s="528" t="s">
        <v>327</v>
      </c>
      <c r="C46" s="526"/>
      <c r="D46" s="526"/>
      <c r="E46" s="510">
        <f t="shared" si="1"/>
        <v>0</v>
      </c>
      <c r="F46" s="526"/>
      <c r="G46" s="526"/>
      <c r="H46" s="482">
        <f t="shared" si="0"/>
        <v>0</v>
      </c>
    </row>
    <row r="47" spans="1:8" s="18" customFormat="1">
      <c r="A47" s="171">
        <v>8.1999999999999993</v>
      </c>
      <c r="B47" s="528" t="s">
        <v>328</v>
      </c>
      <c r="C47" s="526">
        <v>4050</v>
      </c>
      <c r="D47" s="526">
        <v>114019.86</v>
      </c>
      <c r="E47" s="510">
        <f t="shared" si="1"/>
        <v>118069.86</v>
      </c>
      <c r="F47" s="526">
        <v>784549.20000000007</v>
      </c>
      <c r="G47" s="526">
        <v>220166.56655737729</v>
      </c>
      <c r="H47" s="482">
        <f t="shared" si="0"/>
        <v>1004715.7665573773</v>
      </c>
    </row>
    <row r="48" spans="1:8" s="18" customFormat="1">
      <c r="A48" s="171">
        <v>8.3000000000000007</v>
      </c>
      <c r="B48" s="528" t="s">
        <v>329</v>
      </c>
      <c r="C48" s="526"/>
      <c r="D48" s="526"/>
      <c r="E48" s="510">
        <f t="shared" si="1"/>
        <v>0</v>
      </c>
      <c r="F48" s="526"/>
      <c r="G48" s="526">
        <v>110083.28327868864</v>
      </c>
      <c r="H48" s="482">
        <f t="shared" si="0"/>
        <v>110083.28327868864</v>
      </c>
    </row>
    <row r="49" spans="1:8" s="18" customFormat="1">
      <c r="A49" s="171">
        <v>8.4</v>
      </c>
      <c r="B49" s="528" t="s">
        <v>330</v>
      </c>
      <c r="C49" s="526"/>
      <c r="D49" s="526"/>
      <c r="E49" s="510">
        <f t="shared" si="1"/>
        <v>0</v>
      </c>
      <c r="F49" s="526"/>
      <c r="G49" s="526"/>
      <c r="H49" s="482">
        <f t="shared" si="0"/>
        <v>0</v>
      </c>
    </row>
    <row r="50" spans="1:8" s="18" customFormat="1">
      <c r="A50" s="171">
        <v>8.5</v>
      </c>
      <c r="B50" s="528" t="s">
        <v>331</v>
      </c>
      <c r="C50" s="526"/>
      <c r="D50" s="526"/>
      <c r="E50" s="510">
        <f t="shared" si="1"/>
        <v>0</v>
      </c>
      <c r="F50" s="526"/>
      <c r="G50" s="526"/>
      <c r="H50" s="482">
        <f t="shared" si="0"/>
        <v>0</v>
      </c>
    </row>
    <row r="51" spans="1:8" s="18" customFormat="1">
      <c r="A51" s="171">
        <v>8.6</v>
      </c>
      <c r="B51" s="528" t="s">
        <v>332</v>
      </c>
      <c r="C51" s="526"/>
      <c r="D51" s="526"/>
      <c r="E51" s="510">
        <f t="shared" si="1"/>
        <v>0</v>
      </c>
      <c r="F51" s="526"/>
      <c r="G51" s="526"/>
      <c r="H51" s="482">
        <f t="shared" si="0"/>
        <v>0</v>
      </c>
    </row>
    <row r="52" spans="1:8" s="18" customFormat="1">
      <c r="A52" s="171">
        <v>8.6999999999999993</v>
      </c>
      <c r="B52" s="528" t="s">
        <v>333</v>
      </c>
      <c r="C52" s="526"/>
      <c r="D52" s="526"/>
      <c r="E52" s="510">
        <f t="shared" si="1"/>
        <v>0</v>
      </c>
      <c r="F52" s="526"/>
      <c r="G52" s="526"/>
      <c r="H52" s="482">
        <f t="shared" si="0"/>
        <v>0</v>
      </c>
    </row>
    <row r="53" spans="1:8" s="18" customFormat="1" ht="15" thickBot="1">
      <c r="A53" s="172">
        <v>9</v>
      </c>
      <c r="B53" s="173" t="s">
        <v>323</v>
      </c>
      <c r="C53" s="535"/>
      <c r="D53" s="535"/>
      <c r="E53" s="535">
        <f t="shared" si="1"/>
        <v>0</v>
      </c>
      <c r="F53" s="535"/>
      <c r="G53" s="535"/>
      <c r="H53" s="520">
        <f t="shared" si="0"/>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9.5703125" style="4" bestFit="1" customWidth="1"/>
    <col min="2" max="2" width="92.28515625" style="4" bestFit="1" customWidth="1"/>
    <col min="3" max="4" width="11.28515625" style="4" bestFit="1" customWidth="1"/>
    <col min="5" max="7" width="11.28515625" style="33" bestFit="1" customWidth="1"/>
    <col min="8" max="11" width="9.7109375" style="33" customWidth="1"/>
    <col min="12" max="16384" width="9.28515625" style="33"/>
  </cols>
  <sheetData>
    <row r="1" spans="1:8">
      <c r="A1" s="449" t="s">
        <v>30</v>
      </c>
      <c r="B1" s="450" t="str">
        <f>'Info '!C2</f>
        <v>JSC Isbank Georgia</v>
      </c>
      <c r="C1" s="3"/>
    </row>
    <row r="2" spans="1:8">
      <c r="A2" s="449" t="s">
        <v>31</v>
      </c>
      <c r="B2" s="451">
        <f>'1. key ratios '!B2</f>
        <v>44561</v>
      </c>
      <c r="C2" s="6"/>
      <c r="D2" s="7"/>
      <c r="E2" s="42"/>
      <c r="F2" s="42"/>
      <c r="G2" s="42"/>
      <c r="H2" s="42"/>
    </row>
    <row r="3" spans="1:8">
      <c r="A3" s="2"/>
      <c r="B3" s="3"/>
      <c r="C3" s="6"/>
      <c r="D3" s="7"/>
      <c r="E3" s="42"/>
      <c r="F3" s="42"/>
      <c r="G3" s="42"/>
      <c r="H3" s="42"/>
    </row>
    <row r="4" spans="1:8" ht="15" customHeight="1" thickBot="1">
      <c r="A4" s="7" t="s">
        <v>198</v>
      </c>
      <c r="B4" s="122" t="s">
        <v>297</v>
      </c>
      <c r="C4" s="548" t="s">
        <v>73</v>
      </c>
    </row>
    <row r="5" spans="1:8" ht="15" customHeight="1">
      <c r="A5" s="197" t="s">
        <v>6</v>
      </c>
      <c r="B5" s="198"/>
      <c r="C5" s="540" t="str">
        <f>INT((MONTH($B$2))/3)&amp;"Q"&amp;"-"&amp;YEAR($B$2)</f>
        <v>4Q-2021</v>
      </c>
      <c r="D5" s="540" t="str">
        <f>IF(INT(MONTH($B$2))=3, "4"&amp;"Q"&amp;"-"&amp;YEAR($B$2)-1, IF(INT(MONTH($B$2))=6, "1"&amp;"Q"&amp;"-"&amp;YEAR($B$2), IF(INT(MONTH($B$2))=9, "2"&amp;"Q"&amp;"-"&amp;YEAR($B$2),IF(INT(MONTH($B$2))=12, "3"&amp;"Q"&amp;"-"&amp;YEAR($B$2), 0))))</f>
        <v>3Q-2021</v>
      </c>
      <c r="E5" s="540" t="str">
        <f>IF(INT(MONTH($B$2))=3, "3"&amp;"Q"&amp;"-"&amp;YEAR($B$2)-1, IF(INT(MONTH($B$2))=6, "4"&amp;"Q"&amp;"-"&amp;YEAR($B$2)-1, IF(INT(MONTH($B$2))=9, "1"&amp;"Q"&amp;"-"&amp;YEAR($B$2),IF(INT(MONTH($B$2))=12, "2"&amp;"Q"&amp;"-"&amp;YEAR($B$2), 0))))</f>
        <v>2Q-2021</v>
      </c>
      <c r="F5" s="540" t="str">
        <f>IF(INT(MONTH($B$2))=3, "2"&amp;"Q"&amp;"-"&amp;YEAR($B$2)-1, IF(INT(MONTH($B$2))=6, "3"&amp;"Q"&amp;"-"&amp;YEAR($B$2)-1, IF(INT(MONTH($B$2))=9, "4"&amp;"Q"&amp;"-"&amp;YEAR($B$2)-1,IF(INT(MONTH($B$2))=12, "1"&amp;"Q"&amp;"-"&amp;YEAR($B$2), 0))))</f>
        <v>1Q-2021</v>
      </c>
      <c r="G5" s="541" t="str">
        <f>IF(INT(MONTH($B$2))=3, "1"&amp;"Q"&amp;"-"&amp;YEAR($B$2)-1, IF(INT(MONTH($B$2))=6, "2"&amp;"Q"&amp;"-"&amp;YEAR($B$2)-1, IF(INT(MONTH($B$2))=9, "3"&amp;"Q"&amp;"-"&amp;YEAR($B$2)-1,IF(INT(MONTH($B$2))=12, "4"&amp;"Q"&amp;"-"&amp;YEAR($B$2)-1, 0))))</f>
        <v>4Q-2020</v>
      </c>
    </row>
    <row r="6" spans="1:8" ht="15" customHeight="1">
      <c r="A6" s="43">
        <v>1</v>
      </c>
      <c r="B6" s="542" t="s">
        <v>301</v>
      </c>
      <c r="C6" s="536">
        <f>C7+C9+C10</f>
        <v>394562713.2258141</v>
      </c>
      <c r="D6" s="536">
        <f>D7+D9+D10</f>
        <v>397919983.40389544</v>
      </c>
      <c r="E6" s="536">
        <f t="shared" ref="E6:G6" si="0">E7+E9+E10</f>
        <v>367280315.32480073</v>
      </c>
      <c r="F6" s="536">
        <f t="shared" si="0"/>
        <v>356753760.03299773</v>
      </c>
      <c r="G6" s="543">
        <f t="shared" si="0"/>
        <v>353849825.01550949</v>
      </c>
    </row>
    <row r="7" spans="1:8" ht="15" customHeight="1">
      <c r="A7" s="43">
        <v>1.1000000000000001</v>
      </c>
      <c r="B7" s="542" t="s">
        <v>481</v>
      </c>
      <c r="C7" s="537">
        <v>338861305.43431413</v>
      </c>
      <c r="D7" s="537">
        <v>340438684.19689542</v>
      </c>
      <c r="E7" s="537">
        <v>308857744.80980074</v>
      </c>
      <c r="F7" s="537">
        <v>312081819.75799775</v>
      </c>
      <c r="G7" s="544">
        <v>309116063.40300947</v>
      </c>
    </row>
    <row r="8" spans="1:8">
      <c r="A8" s="43" t="s">
        <v>14</v>
      </c>
      <c r="B8" s="542" t="s">
        <v>197</v>
      </c>
      <c r="C8" s="537"/>
      <c r="D8" s="537"/>
      <c r="E8" s="537"/>
      <c r="F8" s="537"/>
      <c r="G8" s="544"/>
    </row>
    <row r="9" spans="1:8" ht="15" customHeight="1">
      <c r="A9" s="43">
        <v>1.2</v>
      </c>
      <c r="B9" s="545" t="s">
        <v>196</v>
      </c>
      <c r="C9" s="537">
        <v>55701407.791499987</v>
      </c>
      <c r="D9" s="537">
        <v>57481299.20700001</v>
      </c>
      <c r="E9" s="537">
        <v>58422570.515000001</v>
      </c>
      <c r="F9" s="537">
        <v>44671940.274999999</v>
      </c>
      <c r="G9" s="544">
        <v>44733761.612499997</v>
      </c>
    </row>
    <row r="10" spans="1:8" ht="15" customHeight="1">
      <c r="A10" s="43">
        <v>1.3</v>
      </c>
      <c r="B10" s="542" t="s">
        <v>28</v>
      </c>
      <c r="C10" s="537">
        <v>0</v>
      </c>
      <c r="D10" s="537">
        <v>0</v>
      </c>
      <c r="E10" s="537">
        <v>0</v>
      </c>
      <c r="F10" s="537">
        <v>0</v>
      </c>
      <c r="G10" s="544">
        <v>0</v>
      </c>
    </row>
    <row r="11" spans="1:8" ht="15" customHeight="1">
      <c r="A11" s="43">
        <v>2</v>
      </c>
      <c r="B11" s="542" t="s">
        <v>298</v>
      </c>
      <c r="C11" s="538">
        <v>1579818.9339074499</v>
      </c>
      <c r="D11" s="538">
        <v>3375041.0049316972</v>
      </c>
      <c r="E11" s="538">
        <v>784603.3461370474</v>
      </c>
      <c r="F11" s="538">
        <v>3836489.7190561523</v>
      </c>
      <c r="G11" s="546">
        <v>1464177.9683145941</v>
      </c>
    </row>
    <row r="12" spans="1:8" ht="15" customHeight="1">
      <c r="A12" s="43">
        <v>3</v>
      </c>
      <c r="B12" s="542" t="s">
        <v>299</v>
      </c>
      <c r="C12" s="537">
        <v>33654529.196040712</v>
      </c>
      <c r="D12" s="537">
        <v>26883909.351648834</v>
      </c>
      <c r="E12" s="537">
        <v>26883909.351648834</v>
      </c>
      <c r="F12" s="537">
        <v>26883909.351648834</v>
      </c>
      <c r="G12" s="544">
        <v>26883909.351648834</v>
      </c>
    </row>
    <row r="13" spans="1:8" ht="15" customHeight="1" thickBot="1">
      <c r="A13" s="44">
        <v>4</v>
      </c>
      <c r="B13" s="45" t="s">
        <v>300</v>
      </c>
      <c r="C13" s="539">
        <f>C6+C11+C12</f>
        <v>429797061.35576224</v>
      </c>
      <c r="D13" s="539">
        <f>D6+D11+D12</f>
        <v>428178933.76047593</v>
      </c>
      <c r="E13" s="539">
        <f t="shared" ref="E13:G13" si="1">E6+E11+E12</f>
        <v>394948828.02258658</v>
      </c>
      <c r="F13" s="539">
        <f t="shared" si="1"/>
        <v>387474159.10370266</v>
      </c>
      <c r="G13" s="547">
        <f t="shared" si="1"/>
        <v>382197912.33547288</v>
      </c>
    </row>
    <row r="14" spans="1:8">
      <c r="B14" s="48"/>
    </row>
    <row r="15" spans="1:8" ht="25.5">
      <c r="B15" s="49" t="s">
        <v>482</v>
      </c>
    </row>
    <row r="16" spans="1:8">
      <c r="B16" s="49"/>
    </row>
    <row r="17" spans="1:4" ht="11.25">
      <c r="A17" s="33"/>
      <c r="B17" s="33"/>
      <c r="C17" s="33"/>
      <c r="D17" s="33"/>
    </row>
    <row r="18" spans="1:4" ht="11.25">
      <c r="A18" s="33"/>
      <c r="B18" s="33"/>
      <c r="C18" s="33"/>
      <c r="D18" s="33"/>
    </row>
    <row r="19" spans="1:4" ht="11.25">
      <c r="A19" s="33"/>
      <c r="B19" s="33"/>
      <c r="C19" s="33"/>
      <c r="D19" s="33"/>
    </row>
    <row r="20" spans="1:4" ht="11.25">
      <c r="A20" s="33"/>
      <c r="B20" s="33"/>
      <c r="C20" s="33"/>
      <c r="D20" s="33"/>
    </row>
    <row r="21" spans="1:4" ht="11.25">
      <c r="A21" s="33"/>
      <c r="B21" s="33"/>
      <c r="C21" s="33"/>
      <c r="D21" s="33"/>
    </row>
    <row r="22" spans="1:4" ht="11.25">
      <c r="A22" s="33"/>
      <c r="B22" s="33"/>
      <c r="C22" s="33"/>
      <c r="D22" s="33"/>
    </row>
    <row r="23" spans="1:4" ht="11.25">
      <c r="A23" s="33"/>
      <c r="B23" s="33"/>
      <c r="C23" s="33"/>
      <c r="D23" s="33"/>
    </row>
    <row r="24" spans="1:4" ht="11.25">
      <c r="A24" s="33"/>
      <c r="B24" s="33"/>
      <c r="C24" s="33"/>
      <c r="D24" s="33"/>
    </row>
    <row r="25" spans="1:4" ht="11.25">
      <c r="A25" s="33"/>
      <c r="B25" s="33"/>
      <c r="C25" s="33"/>
      <c r="D25" s="33"/>
    </row>
    <row r="26" spans="1:4" ht="11.25">
      <c r="A26" s="33"/>
      <c r="B26" s="33"/>
      <c r="C26" s="33"/>
      <c r="D26" s="33"/>
    </row>
    <row r="27" spans="1:4" ht="11.25">
      <c r="A27" s="33"/>
      <c r="B27" s="33"/>
      <c r="C27" s="33"/>
      <c r="D27" s="33"/>
    </row>
    <row r="28" spans="1:4" ht="11.25">
      <c r="A28" s="33"/>
      <c r="B28" s="33"/>
      <c r="C28" s="33"/>
      <c r="D28" s="33"/>
    </row>
    <row r="29" spans="1:4" ht="11.25">
      <c r="A29" s="33"/>
      <c r="B29" s="33"/>
      <c r="C29" s="33"/>
      <c r="D29" s="3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4.25"/>
  <cols>
    <col min="1" max="1" width="9.5703125" style="4" bestFit="1" customWidth="1"/>
    <col min="2" max="2" width="65.5703125" style="4" customWidth="1"/>
    <col min="3" max="3" width="26.42578125" style="4" bestFit="1" customWidth="1"/>
    <col min="4" max="16384" width="9.28515625" style="5"/>
  </cols>
  <sheetData>
    <row r="1" spans="1:8">
      <c r="A1" s="449" t="s">
        <v>30</v>
      </c>
      <c r="B1" s="450" t="str">
        <f>'Info '!C2</f>
        <v>JSC Isbank Georgia</v>
      </c>
    </row>
    <row r="2" spans="1:8">
      <c r="A2" s="449" t="s">
        <v>31</v>
      </c>
      <c r="B2" s="451">
        <f>'1. key ratios '!B2</f>
        <v>44561</v>
      </c>
    </row>
    <row r="4" spans="1:8" ht="28.15" customHeight="1" thickBot="1">
      <c r="A4" s="50" t="s">
        <v>80</v>
      </c>
      <c r="B4" s="51" t="s">
        <v>267</v>
      </c>
      <c r="C4" s="52"/>
    </row>
    <row r="5" spans="1:8">
      <c r="A5" s="53"/>
      <c r="B5" s="333" t="s">
        <v>81</v>
      </c>
      <c r="C5" s="334" t="s">
        <v>495</v>
      </c>
    </row>
    <row r="6" spans="1:8">
      <c r="A6" s="54">
        <v>1</v>
      </c>
      <c r="B6" s="55" t="s">
        <v>710</v>
      </c>
      <c r="C6" s="56" t="s">
        <v>717</v>
      </c>
    </row>
    <row r="7" spans="1:8">
      <c r="A7" s="54">
        <v>2</v>
      </c>
      <c r="B7" s="55" t="s">
        <v>756</v>
      </c>
      <c r="C7" s="56" t="s">
        <v>718</v>
      </c>
    </row>
    <row r="8" spans="1:8">
      <c r="A8" s="54">
        <v>3</v>
      </c>
      <c r="B8" s="55" t="s">
        <v>713</v>
      </c>
      <c r="C8" s="56" t="s">
        <v>719</v>
      </c>
    </row>
    <row r="9" spans="1:8">
      <c r="A9" s="54">
        <v>4</v>
      </c>
      <c r="B9" s="55" t="s">
        <v>714</v>
      </c>
      <c r="C9" s="56" t="s">
        <v>719</v>
      </c>
    </row>
    <row r="10" spans="1:8">
      <c r="A10" s="54">
        <v>5</v>
      </c>
      <c r="B10" s="55" t="s">
        <v>715</v>
      </c>
      <c r="C10" s="56" t="s">
        <v>718</v>
      </c>
    </row>
    <row r="11" spans="1:8">
      <c r="A11" s="54">
        <v>6</v>
      </c>
      <c r="B11" s="55" t="s">
        <v>716</v>
      </c>
      <c r="C11" s="56" t="s">
        <v>718</v>
      </c>
    </row>
    <row r="12" spans="1:8">
      <c r="A12" s="54">
        <v>7</v>
      </c>
      <c r="B12" s="55"/>
      <c r="C12" s="56"/>
      <c r="H12" s="57"/>
    </row>
    <row r="13" spans="1:8">
      <c r="A13" s="54">
        <v>8</v>
      </c>
      <c r="B13" s="55"/>
      <c r="C13" s="56"/>
    </row>
    <row r="14" spans="1:8">
      <c r="A14" s="54">
        <v>9</v>
      </c>
      <c r="B14" s="55"/>
      <c r="C14" s="56"/>
    </row>
    <row r="15" spans="1:8">
      <c r="A15" s="54">
        <v>10</v>
      </c>
      <c r="B15" s="55"/>
      <c r="C15" s="56"/>
    </row>
    <row r="16" spans="1:8">
      <c r="A16" s="54"/>
      <c r="B16" s="335"/>
      <c r="C16" s="336"/>
    </row>
    <row r="17" spans="1:3" ht="25.5">
      <c r="A17" s="54"/>
      <c r="B17" s="337" t="s">
        <v>82</v>
      </c>
      <c r="C17" s="338" t="s">
        <v>496</v>
      </c>
    </row>
    <row r="18" spans="1:3">
      <c r="A18" s="54">
        <v>1</v>
      </c>
      <c r="B18" s="55" t="s">
        <v>711</v>
      </c>
      <c r="C18" s="58" t="s">
        <v>722</v>
      </c>
    </row>
    <row r="19" spans="1:3">
      <c r="A19" s="54">
        <v>2</v>
      </c>
      <c r="B19" s="55" t="s">
        <v>720</v>
      </c>
      <c r="C19" s="58" t="s">
        <v>723</v>
      </c>
    </row>
    <row r="20" spans="1:3">
      <c r="A20" s="54">
        <v>3</v>
      </c>
      <c r="B20" s="55" t="s">
        <v>721</v>
      </c>
      <c r="C20" s="58" t="s">
        <v>724</v>
      </c>
    </row>
    <row r="21" spans="1:3">
      <c r="A21" s="54">
        <v>4</v>
      </c>
      <c r="B21" s="55"/>
      <c r="C21" s="58"/>
    </row>
    <row r="22" spans="1:3">
      <c r="A22" s="54">
        <v>5</v>
      </c>
      <c r="B22" s="55"/>
      <c r="C22" s="58"/>
    </row>
    <row r="23" spans="1:3">
      <c r="A23" s="54">
        <v>6</v>
      </c>
      <c r="B23" s="55"/>
      <c r="C23" s="58"/>
    </row>
    <row r="24" spans="1:3">
      <c r="A24" s="54">
        <v>7</v>
      </c>
      <c r="B24" s="55"/>
      <c r="C24" s="58"/>
    </row>
    <row r="25" spans="1:3">
      <c r="A25" s="54">
        <v>8</v>
      </c>
      <c r="B25" s="55"/>
      <c r="C25" s="58"/>
    </row>
    <row r="26" spans="1:3">
      <c r="A26" s="54">
        <v>9</v>
      </c>
      <c r="B26" s="55"/>
      <c r="C26" s="58"/>
    </row>
    <row r="27" spans="1:3" ht="15.75" customHeight="1">
      <c r="A27" s="54">
        <v>10</v>
      </c>
      <c r="B27" s="55"/>
      <c r="C27" s="59"/>
    </row>
    <row r="28" spans="1:3" ht="15.75" customHeight="1">
      <c r="A28" s="54"/>
      <c r="B28" s="55"/>
      <c r="C28" s="59"/>
    </row>
    <row r="29" spans="1:3" ht="30" customHeight="1">
      <c r="A29" s="54"/>
      <c r="B29" s="712" t="s">
        <v>83</v>
      </c>
      <c r="C29" s="713"/>
    </row>
    <row r="30" spans="1:3">
      <c r="A30" s="54">
        <v>1</v>
      </c>
      <c r="B30" s="55" t="s">
        <v>725</v>
      </c>
      <c r="C30" s="549">
        <v>1</v>
      </c>
    </row>
    <row r="31" spans="1:3" ht="15.75" customHeight="1">
      <c r="A31" s="54"/>
      <c r="B31" s="55"/>
      <c r="C31" s="56"/>
    </row>
    <row r="32" spans="1:3" ht="29.25" customHeight="1">
      <c r="A32" s="54"/>
      <c r="B32" s="712" t="s">
        <v>84</v>
      </c>
      <c r="C32" s="713"/>
    </row>
    <row r="33" spans="1:3">
      <c r="A33" s="54">
        <v>1</v>
      </c>
      <c r="B33" s="55" t="s">
        <v>726</v>
      </c>
      <c r="C33" s="550">
        <v>0.37259999999999999</v>
      </c>
    </row>
    <row r="34" spans="1:3" ht="15" thickBot="1">
      <c r="A34" s="60">
        <v>2</v>
      </c>
      <c r="B34" s="61" t="s">
        <v>727</v>
      </c>
      <c r="C34" s="551">
        <v>0.28089999999999998</v>
      </c>
    </row>
  </sheetData>
  <mergeCells count="2">
    <mergeCell ref="B32:C32"/>
    <mergeCell ref="B29:C29"/>
  </mergeCells>
  <dataValidations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B4" sqref="B4:E4"/>
    </sheetView>
  </sheetViews>
  <sheetFormatPr defaultColWidth="9.28515625" defaultRowHeight="14.25"/>
  <cols>
    <col min="1" max="1" width="9.5703125" style="4" bestFit="1" customWidth="1"/>
    <col min="2" max="2" width="47.57031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28515625" style="5"/>
  </cols>
  <sheetData>
    <row r="1" spans="1:7">
      <c r="A1" s="449" t="s">
        <v>30</v>
      </c>
      <c r="B1" s="450" t="str">
        <f>'Info '!C2</f>
        <v>JSC Isbank Georgia</v>
      </c>
      <c r="C1" s="74"/>
      <c r="D1" s="74"/>
      <c r="E1" s="74"/>
      <c r="F1" s="18"/>
    </row>
    <row r="2" spans="1:7" s="62" customFormat="1" ht="15.75" customHeight="1">
      <c r="A2" s="449" t="s">
        <v>31</v>
      </c>
      <c r="B2" s="451">
        <f>'1. key ratios '!B2</f>
        <v>44561</v>
      </c>
    </row>
    <row r="3" spans="1:7" s="62" customFormat="1" ht="15.75" customHeight="1">
      <c r="A3" s="234"/>
    </row>
    <row r="4" spans="1:7" s="62" customFormat="1" ht="15.75" customHeight="1" thickBot="1">
      <c r="A4" s="235" t="s">
        <v>202</v>
      </c>
      <c r="B4" s="718" t="s">
        <v>347</v>
      </c>
      <c r="C4" s="719"/>
      <c r="D4" s="719"/>
      <c r="E4" s="719"/>
    </row>
    <row r="5" spans="1:7" s="66" customFormat="1" ht="17.649999999999999" customHeight="1">
      <c r="A5" s="184"/>
      <c r="B5" s="185"/>
      <c r="C5" s="64" t="s">
        <v>0</v>
      </c>
      <c r="D5" s="64" t="s">
        <v>1</v>
      </c>
      <c r="E5" s="65" t="s">
        <v>2</v>
      </c>
    </row>
    <row r="6" spans="1:7" s="18" customFormat="1" ht="14.65" customHeight="1">
      <c r="A6" s="236"/>
      <c r="B6" s="714" t="s">
        <v>354</v>
      </c>
      <c r="C6" s="714" t="s">
        <v>93</v>
      </c>
      <c r="D6" s="716" t="s">
        <v>201</v>
      </c>
      <c r="E6" s="717"/>
      <c r="G6" s="5"/>
    </row>
    <row r="7" spans="1:7" s="18" customFormat="1" ht="99.6" customHeight="1">
      <c r="A7" s="236"/>
      <c r="B7" s="715"/>
      <c r="C7" s="714"/>
      <c r="D7" s="265" t="s">
        <v>200</v>
      </c>
      <c r="E7" s="266" t="s">
        <v>355</v>
      </c>
      <c r="G7" s="5"/>
    </row>
    <row r="8" spans="1:7">
      <c r="A8" s="237">
        <v>1</v>
      </c>
      <c r="B8" s="267" t="s">
        <v>35</v>
      </c>
      <c r="C8" s="268">
        <f>'2.RC'!E7</f>
        <v>2973609.72</v>
      </c>
      <c r="D8" s="268"/>
      <c r="E8" s="269">
        <f>C8-D8</f>
        <v>2973609.72</v>
      </c>
      <c r="F8" s="18"/>
    </row>
    <row r="9" spans="1:7">
      <c r="A9" s="237">
        <v>2</v>
      </c>
      <c r="B9" s="267" t="s">
        <v>36</v>
      </c>
      <c r="C9" s="268">
        <f>'2.RC'!E8</f>
        <v>76104397.340000004</v>
      </c>
      <c r="D9" s="268"/>
      <c r="E9" s="269">
        <f t="shared" ref="E9:E20" si="0">C9-D9</f>
        <v>76104397.340000004</v>
      </c>
      <c r="F9" s="18"/>
    </row>
    <row r="10" spans="1:7">
      <c r="A10" s="237">
        <v>3</v>
      </c>
      <c r="B10" s="267" t="s">
        <v>37</v>
      </c>
      <c r="C10" s="268">
        <f>'2.RC'!E9</f>
        <v>11384405.330332998</v>
      </c>
      <c r="D10" s="268"/>
      <c r="E10" s="269">
        <f t="shared" si="0"/>
        <v>11384405.330332998</v>
      </c>
      <c r="F10" s="18"/>
    </row>
    <row r="11" spans="1:7">
      <c r="A11" s="237">
        <v>4</v>
      </c>
      <c r="B11" s="267" t="s">
        <v>38</v>
      </c>
      <c r="C11" s="268">
        <f>'2.RC'!E10</f>
        <v>0</v>
      </c>
      <c r="D11" s="268"/>
      <c r="E11" s="269">
        <f t="shared" si="0"/>
        <v>0</v>
      </c>
      <c r="F11" s="18"/>
    </row>
    <row r="12" spans="1:7">
      <c r="A12" s="237">
        <v>5</v>
      </c>
      <c r="B12" s="267" t="s">
        <v>39</v>
      </c>
      <c r="C12" s="268">
        <f>'2.RC'!E11</f>
        <v>34489096.700040996</v>
      </c>
      <c r="D12" s="268"/>
      <c r="E12" s="269">
        <f t="shared" si="0"/>
        <v>34489096.700040996</v>
      </c>
      <c r="F12" s="18"/>
    </row>
    <row r="13" spans="1:7">
      <c r="A13" s="237">
        <v>6.1</v>
      </c>
      <c r="B13" s="270" t="s">
        <v>40</v>
      </c>
      <c r="C13" s="271">
        <f>'2.RC'!E12</f>
        <v>247836863.618128</v>
      </c>
      <c r="D13" s="268"/>
      <c r="E13" s="269">
        <f t="shared" si="0"/>
        <v>247836863.618128</v>
      </c>
      <c r="F13" s="18"/>
    </row>
    <row r="14" spans="1:7">
      <c r="A14" s="237">
        <v>6.2</v>
      </c>
      <c r="B14" s="272" t="s">
        <v>41</v>
      </c>
      <c r="C14" s="271">
        <f>'2.RC'!E13</f>
        <v>-10979625.361928001</v>
      </c>
      <c r="D14" s="268"/>
      <c r="E14" s="269">
        <f t="shared" si="0"/>
        <v>-10979625.361928001</v>
      </c>
      <c r="F14" s="18"/>
    </row>
    <row r="15" spans="1:7">
      <c r="A15" s="237">
        <v>6</v>
      </c>
      <c r="B15" s="267" t="s">
        <v>42</v>
      </c>
      <c r="C15" s="268">
        <f>'2.RC'!E14</f>
        <v>236857238.25620002</v>
      </c>
      <c r="D15" s="268"/>
      <c r="E15" s="269">
        <f t="shared" si="0"/>
        <v>236857238.25620002</v>
      </c>
      <c r="F15" s="18"/>
    </row>
    <row r="16" spans="1:7">
      <c r="A16" s="237">
        <v>7</v>
      </c>
      <c r="B16" s="267" t="s">
        <v>43</v>
      </c>
      <c r="C16" s="268">
        <f>'2.RC'!E15</f>
        <v>2153869.3257760005</v>
      </c>
      <c r="D16" s="268"/>
      <c r="E16" s="269">
        <f t="shared" si="0"/>
        <v>2153869.3257760005</v>
      </c>
      <c r="F16" s="18"/>
    </row>
    <row r="17" spans="1:7">
      <c r="A17" s="237">
        <v>8</v>
      </c>
      <c r="B17" s="267" t="s">
        <v>199</v>
      </c>
      <c r="C17" s="268">
        <f>'2.RC'!E16</f>
        <v>735525.39</v>
      </c>
      <c r="D17" s="268"/>
      <c r="E17" s="269">
        <f t="shared" si="0"/>
        <v>735525.39</v>
      </c>
      <c r="F17" s="238"/>
      <c r="G17" s="68"/>
    </row>
    <row r="18" spans="1:7">
      <c r="A18" s="237">
        <v>9</v>
      </c>
      <c r="B18" s="267" t="s">
        <v>44</v>
      </c>
      <c r="C18" s="268">
        <f>'2.RC'!E17</f>
        <v>0</v>
      </c>
      <c r="D18" s="268"/>
      <c r="E18" s="269">
        <f t="shared" si="0"/>
        <v>0</v>
      </c>
      <c r="F18" s="18"/>
      <c r="G18" s="68"/>
    </row>
    <row r="19" spans="1:7">
      <c r="A19" s="237">
        <v>10</v>
      </c>
      <c r="B19" s="267" t="s">
        <v>45</v>
      </c>
      <c r="C19" s="268">
        <f>'2.RC'!E18</f>
        <v>7914683.459999999</v>
      </c>
      <c r="D19" s="268">
        <v>211491.8899999999</v>
      </c>
      <c r="E19" s="269">
        <f t="shared" si="0"/>
        <v>7703191.5699999994</v>
      </c>
      <c r="F19" s="18"/>
      <c r="G19" s="68"/>
    </row>
    <row r="20" spans="1:7">
      <c r="A20" s="237">
        <v>11</v>
      </c>
      <c r="B20" s="267" t="s">
        <v>46</v>
      </c>
      <c r="C20" s="268">
        <f>'2.RC'!E19</f>
        <v>4110914.0179234701</v>
      </c>
      <c r="D20" s="268"/>
      <c r="E20" s="269">
        <f t="shared" si="0"/>
        <v>4110914.0179234701</v>
      </c>
      <c r="F20" s="18"/>
    </row>
    <row r="21" spans="1:7" ht="26.25" thickBot="1">
      <c r="A21" s="138"/>
      <c r="B21" s="239" t="s">
        <v>357</v>
      </c>
      <c r="C21" s="186">
        <f>SUM(C8:C12, C15:C20)</f>
        <v>376723739.54027343</v>
      </c>
      <c r="D21" s="186">
        <f>SUM(D8:D12, D15:D20)</f>
        <v>211491.8899999999</v>
      </c>
      <c r="E21" s="273">
        <f>SUM(E8:E12, E15:E20)</f>
        <v>376512247.65027344</v>
      </c>
    </row>
    <row r="22" spans="1:7">
      <c r="A22" s="5"/>
      <c r="B22" s="5"/>
      <c r="C22" s="5"/>
      <c r="D22" s="5"/>
      <c r="E22" s="5"/>
    </row>
    <row r="23" spans="1:7">
      <c r="A23" s="5"/>
      <c r="B23" s="5"/>
      <c r="C23" s="5"/>
      <c r="D23" s="5"/>
      <c r="E23" s="5"/>
    </row>
    <row r="25" spans="1:7" s="4" customFormat="1">
      <c r="B25" s="69"/>
      <c r="F25" s="5"/>
      <c r="G25" s="5"/>
    </row>
    <row r="26" spans="1:7" s="4" customFormat="1">
      <c r="B26" s="69"/>
      <c r="F26" s="5"/>
      <c r="G26" s="5"/>
    </row>
    <row r="27" spans="1:7" s="4" customFormat="1">
      <c r="B27" s="69"/>
      <c r="F27" s="5"/>
      <c r="G27" s="5"/>
    </row>
    <row r="28" spans="1:7" s="4" customFormat="1">
      <c r="B28" s="69"/>
      <c r="F28" s="5"/>
      <c r="G28" s="5"/>
    </row>
    <row r="29" spans="1:7" s="4" customFormat="1">
      <c r="B29" s="69"/>
      <c r="F29" s="5"/>
      <c r="G29" s="5"/>
    </row>
    <row r="30" spans="1:7" s="4" customFormat="1">
      <c r="B30" s="69"/>
      <c r="F30" s="5"/>
      <c r="G30" s="5"/>
    </row>
    <row r="31" spans="1:7" s="4" customFormat="1">
      <c r="B31" s="69"/>
      <c r="F31" s="5"/>
      <c r="G31" s="5"/>
    </row>
    <row r="32" spans="1:7" s="4" customFormat="1">
      <c r="B32" s="69"/>
      <c r="F32" s="5"/>
      <c r="G32" s="5"/>
    </row>
    <row r="33" spans="2:7" s="4" customFormat="1">
      <c r="B33" s="69"/>
      <c r="F33" s="5"/>
      <c r="G33" s="5"/>
    </row>
    <row r="34" spans="2:7" s="4" customFormat="1">
      <c r="B34" s="69"/>
      <c r="F34" s="5"/>
      <c r="G34" s="5"/>
    </row>
    <row r="35" spans="2:7" s="4" customFormat="1">
      <c r="B35" s="69"/>
      <c r="F35" s="5"/>
      <c r="G35" s="5"/>
    </row>
    <row r="36" spans="2:7" s="4" customFormat="1">
      <c r="B36" s="69"/>
      <c r="F36" s="5"/>
      <c r="G36" s="5"/>
    </row>
    <row r="37" spans="2:7" s="4" customFormat="1">
      <c r="B37" s="69"/>
      <c r="F37" s="5"/>
      <c r="G37"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zoomScaleNormal="100" workbookViewId="0">
      <pane xSplit="1" ySplit="4" topLeftCell="B5" activePane="bottomRight" state="frozen"/>
      <selection activeCell="B15" sqref="B15"/>
      <selection pane="topRight" activeCell="B15" sqref="B15"/>
      <selection pane="bottomLeft" activeCell="B15" sqref="B15"/>
      <selection pane="bottomRight" activeCell="B4" sqref="B4"/>
    </sheetView>
  </sheetViews>
  <sheetFormatPr defaultColWidth="9.28515625" defaultRowHeight="12.75" outlineLevelRow="1"/>
  <cols>
    <col min="1" max="1" width="9.5703125" style="4" bestFit="1" customWidth="1"/>
    <col min="2" max="2" width="114.28515625" style="4" customWidth="1"/>
    <col min="3" max="3" width="18.71093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28515625" style="4"/>
  </cols>
  <sheetData>
    <row r="1" spans="1:6">
      <c r="A1" s="449" t="s">
        <v>30</v>
      </c>
      <c r="B1" s="450" t="str">
        <f>'Info '!C2</f>
        <v>JSC Isbank Georgia</v>
      </c>
    </row>
    <row r="2" spans="1:6" s="62" customFormat="1" ht="15.75" customHeight="1">
      <c r="A2" s="449" t="s">
        <v>31</v>
      </c>
      <c r="B2" s="451">
        <f>'1. key ratios '!B2</f>
        <v>44561</v>
      </c>
      <c r="C2" s="4"/>
      <c r="D2" s="4"/>
      <c r="E2" s="4"/>
      <c r="F2" s="4"/>
    </row>
    <row r="3" spans="1:6" s="62" customFormat="1" ht="15.75" customHeight="1">
      <c r="C3" s="4"/>
      <c r="D3" s="4"/>
      <c r="E3" s="4"/>
      <c r="F3" s="4"/>
    </row>
    <row r="4" spans="1:6" s="62" customFormat="1" ht="13.5" thickBot="1">
      <c r="A4" s="62" t="s">
        <v>85</v>
      </c>
      <c r="B4" s="240" t="s">
        <v>334</v>
      </c>
      <c r="C4" s="63" t="s">
        <v>73</v>
      </c>
      <c r="D4" s="4"/>
      <c r="E4" s="4"/>
      <c r="F4" s="4"/>
    </row>
    <row r="5" spans="1:6">
      <c r="A5" s="188">
        <v>1</v>
      </c>
      <c r="B5" s="241" t="s">
        <v>356</v>
      </c>
      <c r="C5" s="552">
        <f>'7. LI1 '!E21</f>
        <v>376512247.65027344</v>
      </c>
    </row>
    <row r="6" spans="1:6" s="189" customFormat="1">
      <c r="A6" s="70">
        <v>2.1</v>
      </c>
      <c r="B6" s="553" t="s">
        <v>335</v>
      </c>
      <c r="C6" s="554">
        <f>'4. Off-Balance'!E8+'4. Off-Balance'!E10</f>
        <v>110543478.04999998</v>
      </c>
    </row>
    <row r="7" spans="1:6" s="48" customFormat="1" outlineLevel="1">
      <c r="A7" s="43">
        <v>2.2000000000000002</v>
      </c>
      <c r="B7" s="555" t="s">
        <v>336</v>
      </c>
      <c r="C7" s="556"/>
    </row>
    <row r="8" spans="1:6" s="48" customFormat="1" ht="25.5">
      <c r="A8" s="43">
        <v>3</v>
      </c>
      <c r="B8" s="557" t="s">
        <v>337</v>
      </c>
      <c r="C8" s="558">
        <f>SUM(C5:C7)</f>
        <v>487055725.70027339</v>
      </c>
    </row>
    <row r="9" spans="1:6" s="189" customFormat="1">
      <c r="A9" s="70">
        <v>4</v>
      </c>
      <c r="B9" s="72" t="s">
        <v>87</v>
      </c>
      <c r="C9" s="554">
        <v>4932033.9153226763</v>
      </c>
    </row>
    <row r="10" spans="1:6" s="48" customFormat="1" outlineLevel="1">
      <c r="A10" s="43">
        <v>5.0999999999999996</v>
      </c>
      <c r="B10" s="555" t="s">
        <v>338</v>
      </c>
      <c r="C10" s="559">
        <v>-43051574.555000007</v>
      </c>
    </row>
    <row r="11" spans="1:6" s="48" customFormat="1" outlineLevel="1">
      <c r="A11" s="43">
        <v>5.2</v>
      </c>
      <c r="B11" s="555" t="s">
        <v>339</v>
      </c>
      <c r="C11" s="556"/>
    </row>
    <row r="12" spans="1:6" s="48" customFormat="1">
      <c r="A12" s="43">
        <v>6</v>
      </c>
      <c r="B12" s="560" t="s">
        <v>483</v>
      </c>
      <c r="C12" s="556">
        <v>1423935</v>
      </c>
    </row>
    <row r="13" spans="1:6" s="48" customFormat="1" ht="13.5" thickBot="1">
      <c r="A13" s="44">
        <v>7</v>
      </c>
      <c r="B13" s="187" t="s">
        <v>285</v>
      </c>
      <c r="C13" s="561">
        <f>SUM(C8:C12)</f>
        <v>450360120.06059605</v>
      </c>
    </row>
    <row r="15" spans="1:6" ht="25.5">
      <c r="A15" s="204"/>
      <c r="B15" s="49" t="s">
        <v>484</v>
      </c>
    </row>
    <row r="16" spans="1:6">
      <c r="A16" s="204"/>
      <c r="B16" s="204"/>
    </row>
    <row r="17" spans="1:5" ht="15">
      <c r="A17" s="199"/>
      <c r="B17" s="200"/>
      <c r="C17" s="204"/>
      <c r="D17" s="204"/>
      <c r="E17" s="204"/>
    </row>
    <row r="18" spans="1:5" ht="15">
      <c r="A18" s="205"/>
      <c r="B18" s="206"/>
      <c r="C18" s="204"/>
      <c r="D18" s="204"/>
      <c r="E18" s="204"/>
    </row>
    <row r="19" spans="1:5">
      <c r="A19" s="207"/>
      <c r="B19" s="201"/>
      <c r="C19" s="204"/>
      <c r="D19" s="204"/>
      <c r="E19" s="204"/>
    </row>
    <row r="20" spans="1:5">
      <c r="A20" s="208"/>
      <c r="B20" s="202"/>
      <c r="C20" s="204"/>
      <c r="D20" s="204"/>
      <c r="E20" s="204"/>
    </row>
    <row r="21" spans="1:5">
      <c r="A21" s="208"/>
      <c r="B21" s="206"/>
      <c r="C21" s="204"/>
      <c r="D21" s="204"/>
      <c r="E21" s="204"/>
    </row>
    <row r="22" spans="1:5">
      <c r="A22" s="207"/>
      <c r="B22" s="203"/>
      <c r="C22" s="204"/>
      <c r="D22" s="204"/>
      <c r="E22" s="204"/>
    </row>
    <row r="23" spans="1:5">
      <c r="A23" s="208"/>
      <c r="B23" s="202"/>
      <c r="C23" s="204"/>
      <c r="D23" s="204"/>
      <c r="E23" s="204"/>
    </row>
    <row r="24" spans="1:5">
      <c r="A24" s="208"/>
      <c r="B24" s="202"/>
      <c r="C24" s="204"/>
      <c r="D24" s="204"/>
      <c r="E24" s="204"/>
    </row>
    <row r="25" spans="1:5">
      <c r="A25" s="208"/>
      <c r="B25" s="209"/>
      <c r="C25" s="204"/>
      <c r="D25" s="204"/>
      <c r="E25" s="204"/>
    </row>
    <row r="26" spans="1:5">
      <c r="A26" s="208"/>
      <c r="B26" s="206"/>
      <c r="C26" s="204"/>
      <c r="D26" s="204"/>
      <c r="E26" s="204"/>
    </row>
    <row r="27" spans="1:5">
      <c r="A27" s="204"/>
      <c r="B27" s="210"/>
      <c r="C27" s="204"/>
      <c r="D27" s="204"/>
      <c r="E27" s="204"/>
    </row>
    <row r="28" spans="1:5">
      <c r="A28" s="204"/>
      <c r="B28" s="210"/>
      <c r="C28" s="204"/>
      <c r="D28" s="204"/>
      <c r="E28" s="204"/>
    </row>
    <row r="29" spans="1:5">
      <c r="A29" s="204"/>
      <c r="B29" s="210"/>
      <c r="C29" s="204"/>
      <c r="D29" s="204"/>
      <c r="E29" s="204"/>
    </row>
    <row r="30" spans="1:5">
      <c r="A30" s="204"/>
      <c r="B30" s="210"/>
      <c r="C30" s="204"/>
      <c r="D30" s="204"/>
      <c r="E30" s="204"/>
    </row>
    <row r="31" spans="1:5">
      <c r="A31" s="204"/>
      <c r="B31" s="210"/>
      <c r="C31" s="204"/>
      <c r="D31" s="204"/>
      <c r="E31" s="204"/>
    </row>
    <row r="32" spans="1:5">
      <c r="A32" s="204"/>
      <c r="B32" s="210"/>
      <c r="C32" s="204"/>
      <c r="D32" s="204"/>
      <c r="E32" s="204"/>
    </row>
    <row r="33" spans="1:5">
      <c r="A33" s="204"/>
      <c r="B33" s="210"/>
      <c r="C33" s="204"/>
      <c r="D33" s="204"/>
      <c r="E33" s="204"/>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6dvlYxAQYtReMpA8hfmnJzkYVWW04Z1mvFbhsir2ItU=</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26UiLiDn+ypmhSW9aoEhzwGgsCSyaer0U8zgJhVPClU=</DigestValue>
    </Reference>
  </SignedInfo>
  <SignatureValue>E5pUGPp870Tdd6q359JvzbRzqkYSuosKGWlnoBIJGWaYzaPrd120v6eTTtrfneYcusJLTBniZo+/
XO+AgkvtkBFR0m59c87TH6AOBE+3l0xZQdkyA7Fxzq4SihgUb1wDhzAcdJmiiO4hUbVdHfa0Cdlp
URshmjecbgyrSQl9JeYf3JiI49Ws5fvwdjkjexnXV7SxntosnbkKhmD167mp6F60XalBGyT5qQlE
IdqZWbp8eW7sb3j7JRC1AtxT5MoGzZEZPuOG3x1pjbLxHzHlvru2rHFY1EQdYOX+lbJcgGFlEcXC
Cz0+ToZ3OAVOHj3g9FhfeYGGFWP9dUhCE5JeOA==</SignatureValue>
  <KeyInfo>
    <X509Data>
      <X509Certificate>MIIGODCCBSCgAwIBAgIKQ8bYGgADAAH7lDANBgkqhkiG9w0BAQsFADBKMRIwEAYKCZImiZPyLGQBGRYCZ2UxEzARBgoJkiaJk/IsZAEZFgNuYmcxHzAdBgNVBAMTFk5CRyBDbGFzcyAyIElOVCBTdWIgQ0EwHhcNMjExMTI5MDk1ODE3WhcNMjMxMTI5MDk1ODE3WjA2MRswGQYDVQQKExJKU0MgSXNiYW5rIEdlb3JnaWExFzAVBgNVBAMTDkJJUyAtIE96YW4gR3VyMIIBIjANBgkqhkiG9w0BAQEFAAOCAQ8AMIIBCgKCAQEAz3L1/QfEdjDlVPA+yGKuxV0a8492Web+iVUz4wtqJPOHxTSp0qsHzQ7XRFndUDAvLN/k7NidlKaGa/5YJ6RUNbd/yBRJGsELb9KArlXr6Shafz9YcLuQRlieHdCNGwCPeOVIpLhF4JhePcThGuEoUm0vtfizu0+ph1SZtVO1XqU9gHwSNsRwKOxxSWK28os5jqQiEBdG9zfdJ84FiKoFeir9nB/1rQ3O8lVTkUAmMaH6pRRCFF6uMiIBlwFm9VIvZWCpP0+gq4SnASWqjp+invjeoEM28AcupeZWbhdRLvxgwp1qEy4r7hBqBJbXzYD7OZKwOKHX3PF5uZa3qEPFPQIDAQABo4IDMjCCAy4wPAYJKwYBBAGCNxUHBC8wLQYlKwYBBAGCNxUI5rJgg431RIaBmQmDuKFKg76EcQSDxJEzhIOIXQIBZAIBIzAdBgNVHSUEFjAUBggrBgEFBQcDAgYIKwYBBQUHAwQwCwYDVR0PBAQDAgeAMCcGCSsGAQQBgjcVCgQaMBgwCgYIKwYBBQUHAwIwCgYIKwYBBQUHAwQwHQYDVR0OBBYEFOe3VOVav+QRn4abb2pcYlGFMZNY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FC5P4soZLMqOE+GOgQ1OJiMa4DkUeb5eRNwVcV5p8AaegI2n2pL+jt/loLB9EYcI99DOd3Yiykd9a3jbAPYvg1rQr5pmYnhYlmCWGZXCC41+oB+W1eP2NSUt1Gv8jpzZLMbWqDA8Mgy9MVcECi26yiYlhot05p/8c6zJiiCKT9tqbIhkuZtVM/WyMrybOPx9DoMlGKPOH+rEYyyh1Pt5sPym5coAzya3F3SNzkKQk8IR80GKglG1wqubNJKI3NcHJjQfKxWT4lQ44fhWo1Gq+/y5xT879SbnmMJxvdGkTthA0m5ECzBuSL4EF79icsHQKRzW+Y/p3SA2XEEujMitd</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i2CwQR8Iq5OD4mR+adgWlPBivzWO5+lGUieQGySGTQM=</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UV41FFKbUJYvvnIUAyLpZkjRdVA99bxLucqGnzS5/rc=</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qqKz7UtelGHdfiWdqNc1EvL8LqlQ7O4MTpeoyQcgyv0=</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SWiohiWSuPjjcblZxueyphOzVidWJvXmdfCiNQW6SiY=</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UZc+Eb2U6CoUW3VzqKXofHC/4ECHjz4BBxFJtHQHWcM=</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eT/GpwkZDqL7KS7bCEUj3ekw9xCL3QisbFfAz1fi6Cc=</DigestValue>
      </Reference>
      <Reference URI="/xl/styles.xml?ContentType=application/vnd.openxmlformats-officedocument.spreadsheetml.styles+xml">
        <DigestMethod Algorithm="http://www.w3.org/2001/04/xmlenc#sha256"/>
        <DigestValue>SMF5h1svtqy70rrDEE3IlrKUhvHLLfb1cCCqJqlrSqQ=</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IkhLe8CCqt0nKGg5BNlchGOkU3zwygVtRnIKgTfeblQ=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4Uo5rTKAiXLns6kC4Pvpr6QmwLtZuzASINCsxZUHJx4=</DigestValue>
      </Reference>
      <Reference URI="/xl/worksheets/sheet10.xml?ContentType=application/vnd.openxmlformats-officedocument.spreadsheetml.worksheet+xml">
        <DigestMethod Algorithm="http://www.w3.org/2001/04/xmlenc#sha256"/>
        <DigestValue>WwZQOL48NLHkuiyJWp3SkJtCxwfs48tZFczKB9OCBsc=</DigestValue>
      </Reference>
      <Reference URI="/xl/worksheets/sheet11.xml?ContentType=application/vnd.openxmlformats-officedocument.spreadsheetml.worksheet+xml">
        <DigestMethod Algorithm="http://www.w3.org/2001/04/xmlenc#sha256"/>
        <DigestValue>bRZnt9KbkubNM/z9jFil6bNELQl5XnqZqCJhghmIuVU=</DigestValue>
      </Reference>
      <Reference URI="/xl/worksheets/sheet12.xml?ContentType=application/vnd.openxmlformats-officedocument.spreadsheetml.worksheet+xml">
        <DigestMethod Algorithm="http://www.w3.org/2001/04/xmlenc#sha256"/>
        <DigestValue>0QLFG7P4UBaTFaCkpbudQedpJr3wft5Uh/tlaHiQeGM=</DigestValue>
      </Reference>
      <Reference URI="/xl/worksheets/sheet13.xml?ContentType=application/vnd.openxmlformats-officedocument.spreadsheetml.worksheet+xml">
        <DigestMethod Algorithm="http://www.w3.org/2001/04/xmlenc#sha256"/>
        <DigestValue>uB9XJuT7qUo0uq6J5e4fWg3F6J96bMhkIzJCM6EFJZk=</DigestValue>
      </Reference>
      <Reference URI="/xl/worksheets/sheet14.xml?ContentType=application/vnd.openxmlformats-officedocument.spreadsheetml.worksheet+xml">
        <DigestMethod Algorithm="http://www.w3.org/2001/04/xmlenc#sha256"/>
        <DigestValue>HcOg+NDYd+EFs5XLatTWfGVzdFi4q7EDHJeXejj6PXE=</DigestValue>
      </Reference>
      <Reference URI="/xl/worksheets/sheet15.xml?ContentType=application/vnd.openxmlformats-officedocument.spreadsheetml.worksheet+xml">
        <DigestMethod Algorithm="http://www.w3.org/2001/04/xmlenc#sha256"/>
        <DigestValue>kipcvpl5dD6WT2rwZWs7KAdgD0C3+rRiD8w83ZEkAhA=</DigestValue>
      </Reference>
      <Reference URI="/xl/worksheets/sheet16.xml?ContentType=application/vnd.openxmlformats-officedocument.spreadsheetml.worksheet+xml">
        <DigestMethod Algorithm="http://www.w3.org/2001/04/xmlenc#sha256"/>
        <DigestValue>Nk82B4E/FZz7URuPlpIHdTZQIExIrNG529rq/wwdiAc=</DigestValue>
      </Reference>
      <Reference URI="/xl/worksheets/sheet17.xml?ContentType=application/vnd.openxmlformats-officedocument.spreadsheetml.worksheet+xml">
        <DigestMethod Algorithm="http://www.w3.org/2001/04/xmlenc#sha256"/>
        <DigestValue>BuhfUyHPo6IqGrKayjMabneVt6mKj2ej5mG4Mb5Y78Q=</DigestValue>
      </Reference>
      <Reference URI="/xl/worksheets/sheet18.xml?ContentType=application/vnd.openxmlformats-officedocument.spreadsheetml.worksheet+xml">
        <DigestMethod Algorithm="http://www.w3.org/2001/04/xmlenc#sha256"/>
        <DigestValue>KNEjZNM/8s6m5sw3cBF+EPYhKcqGmyl6hqJLeqWevuc=</DigestValue>
      </Reference>
      <Reference URI="/xl/worksheets/sheet19.xml?ContentType=application/vnd.openxmlformats-officedocument.spreadsheetml.worksheet+xml">
        <DigestMethod Algorithm="http://www.w3.org/2001/04/xmlenc#sha256"/>
        <DigestValue>CnKaUhKV5F75snBfqLWZK2JDsBs9KLNiW+2x4UZK6aA=</DigestValue>
      </Reference>
      <Reference URI="/xl/worksheets/sheet2.xml?ContentType=application/vnd.openxmlformats-officedocument.spreadsheetml.worksheet+xml">
        <DigestMethod Algorithm="http://www.w3.org/2001/04/xmlenc#sha256"/>
        <DigestValue>+prN9pOfVi751oLM1sRKE3zu4lmZ96TO0lQKZJvLOCs=</DigestValue>
      </Reference>
      <Reference URI="/xl/worksheets/sheet20.xml?ContentType=application/vnd.openxmlformats-officedocument.spreadsheetml.worksheet+xml">
        <DigestMethod Algorithm="http://www.w3.org/2001/04/xmlenc#sha256"/>
        <DigestValue>cwPB6GWEEDPVdAS5YZl3Au2uTtvISPl+0JD8i4fE43A=</DigestValue>
      </Reference>
      <Reference URI="/xl/worksheets/sheet21.xml?ContentType=application/vnd.openxmlformats-officedocument.spreadsheetml.worksheet+xml">
        <DigestMethod Algorithm="http://www.w3.org/2001/04/xmlenc#sha256"/>
        <DigestValue>MizcNKOg4tCPRFNaOhguA3hQVkRIXloKTIF3yYe+nsY=</DigestValue>
      </Reference>
      <Reference URI="/xl/worksheets/sheet22.xml?ContentType=application/vnd.openxmlformats-officedocument.spreadsheetml.worksheet+xml">
        <DigestMethod Algorithm="http://www.w3.org/2001/04/xmlenc#sha256"/>
        <DigestValue>aOJzTcNwMBmNlRljyzE11/lm7tj0z6wzDMbblPLG/jc=</DigestValue>
      </Reference>
      <Reference URI="/xl/worksheets/sheet23.xml?ContentType=application/vnd.openxmlformats-officedocument.spreadsheetml.worksheet+xml">
        <DigestMethod Algorithm="http://www.w3.org/2001/04/xmlenc#sha256"/>
        <DigestValue>p+eBctQcMWHFlVPMYaOCJ1i9SO/qW8Gztorqt3rib70=</DigestValue>
      </Reference>
      <Reference URI="/xl/worksheets/sheet24.xml?ContentType=application/vnd.openxmlformats-officedocument.spreadsheetml.worksheet+xml">
        <DigestMethod Algorithm="http://www.w3.org/2001/04/xmlenc#sha256"/>
        <DigestValue>tHU/PLkYzQR5VRWYoxvM5mb8QJ7qP4SVwqEeuYOxOxA=</DigestValue>
      </Reference>
      <Reference URI="/xl/worksheets/sheet25.xml?ContentType=application/vnd.openxmlformats-officedocument.spreadsheetml.worksheet+xml">
        <DigestMethod Algorithm="http://www.w3.org/2001/04/xmlenc#sha256"/>
        <DigestValue>wWQKoAp5ZVYy9rcijEevh8/O63La0ZaAy0QrY5nP6EQ=</DigestValue>
      </Reference>
      <Reference URI="/xl/worksheets/sheet26.xml?ContentType=application/vnd.openxmlformats-officedocument.spreadsheetml.worksheet+xml">
        <DigestMethod Algorithm="http://www.w3.org/2001/04/xmlenc#sha256"/>
        <DigestValue>en8URDaUSjpveL5/Yj5fXLjxGldKfPidMRgz8i2rwyk=</DigestValue>
      </Reference>
      <Reference URI="/xl/worksheets/sheet27.xml?ContentType=application/vnd.openxmlformats-officedocument.spreadsheetml.worksheet+xml">
        <DigestMethod Algorithm="http://www.w3.org/2001/04/xmlenc#sha256"/>
        <DigestValue>9pD/gjSQeNeWvrrsXlW7tLs343GqJ9PzWqFebxCYCSY=</DigestValue>
      </Reference>
      <Reference URI="/xl/worksheets/sheet28.xml?ContentType=application/vnd.openxmlformats-officedocument.spreadsheetml.worksheet+xml">
        <DigestMethod Algorithm="http://www.w3.org/2001/04/xmlenc#sha256"/>
        <DigestValue>VpUyCHyZWIrfNeatPC1yvr/40r+moaG8jgrIeJTl3nk=</DigestValue>
      </Reference>
      <Reference URI="/xl/worksheets/sheet29.xml?ContentType=application/vnd.openxmlformats-officedocument.spreadsheetml.worksheet+xml">
        <DigestMethod Algorithm="http://www.w3.org/2001/04/xmlenc#sha256"/>
        <DigestValue>rQh1ETZbQva9Y/T023Vz2ateN4qg9L2Mi0NBLpLwK0s=</DigestValue>
      </Reference>
      <Reference URI="/xl/worksheets/sheet3.xml?ContentType=application/vnd.openxmlformats-officedocument.spreadsheetml.worksheet+xml">
        <DigestMethod Algorithm="http://www.w3.org/2001/04/xmlenc#sha256"/>
        <DigestValue>M99+nN/sPJGWxDKKdfbSVR8Nz+OwhFBEvlweEgTsjRY=</DigestValue>
      </Reference>
      <Reference URI="/xl/worksheets/sheet4.xml?ContentType=application/vnd.openxmlformats-officedocument.spreadsheetml.worksheet+xml">
        <DigestMethod Algorithm="http://www.w3.org/2001/04/xmlenc#sha256"/>
        <DigestValue>VaDdHykyyMz56eeLauwdH46OQrNLtSPoV9x0ToTwXrU=</DigestValue>
      </Reference>
      <Reference URI="/xl/worksheets/sheet5.xml?ContentType=application/vnd.openxmlformats-officedocument.spreadsheetml.worksheet+xml">
        <DigestMethod Algorithm="http://www.w3.org/2001/04/xmlenc#sha256"/>
        <DigestValue>QukjJkhQfUeZVPD6Bx0qpoHAbD/Zi49WiE6JxS3C5qs=</DigestValue>
      </Reference>
      <Reference URI="/xl/worksheets/sheet6.xml?ContentType=application/vnd.openxmlformats-officedocument.spreadsheetml.worksheet+xml">
        <DigestMethod Algorithm="http://www.w3.org/2001/04/xmlenc#sha256"/>
        <DigestValue>VJ4YyK/W8+CSmztUQEsZFU85To6etSSosNujjDbnu98=</DigestValue>
      </Reference>
      <Reference URI="/xl/worksheets/sheet7.xml?ContentType=application/vnd.openxmlformats-officedocument.spreadsheetml.worksheet+xml">
        <DigestMethod Algorithm="http://www.w3.org/2001/04/xmlenc#sha256"/>
        <DigestValue>Hm7CDg+q2MJwUpErQVGK0EMplxc+e2eXrjM0z4bSZo8=</DigestValue>
      </Reference>
      <Reference URI="/xl/worksheets/sheet8.xml?ContentType=application/vnd.openxmlformats-officedocument.spreadsheetml.worksheet+xml">
        <DigestMethod Algorithm="http://www.w3.org/2001/04/xmlenc#sha256"/>
        <DigestValue>3NUlFRicKgkFwnsdjb0QWCBWbPcsFp/NAIQCX4Q/Umc=</DigestValue>
      </Reference>
      <Reference URI="/xl/worksheets/sheet9.xml?ContentType=application/vnd.openxmlformats-officedocument.spreadsheetml.worksheet+xml">
        <DigestMethod Algorithm="http://www.w3.org/2001/04/xmlenc#sha256"/>
        <DigestValue>2wvhWc1eRPJYsNO++7mTyxLJW6qyp7Uzk3rqixpbkrk=</DigestValue>
      </Reference>
    </Manifest>
    <SignatureProperties>
      <SignatureProperty Id="idSignatureTime" Target="#idPackageSignature">
        <mdssi:SignatureTime xmlns:mdssi="http://schemas.openxmlformats.org/package/2006/digital-signature">
          <mdssi:Format>YYYY-MM-DDThh:mm:ssTZD</mdssi:Format>
          <mdssi:Value>2022-02-01T07:47:19Z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2022-02-01T07:47:19Z</xd:SigningTime>
          <xd:SigningCertificate>
            <xd:Cert>
              <xd:CertDigest>
                <DigestMethod Algorithm="http://www.w3.org/2001/04/xmlenc#sha256"/>
                <DigestValue>jRd+VkmW9mde5MKToYGnwe/pjXQMoP7bgmQerapcBk8=</DigestValue>
              </xd:CertDigest>
              <xd:IssuerSerial>
                <X509IssuerName>CN=NBG Class 2 INT Sub CA, DC=nbg, DC=ge</X509IssuerName>
                <X509SerialNumber>320066581437535192480660</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SrTHeHPasAL+zEtbEAC3rmF5+15yWnppr/QEf/gVUfM=</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XXotvTNJ7JkYxD7mkGjoDzf3JH2BSssYOrQAAD4qQcc=</DigestValue>
    </Reference>
  </SignedInfo>
  <SignatureValue>izdyEJWU6jfzGKwuiOeBtbaqYWGFwRmy2BjDf6kceBggpSiPTJPdaquqXLJ9unovAZCu9MzE9ZY4
egZArSesLH+aVG7e+6c0VwXLUIgkgdjCITUilv5qhgsvhG/AiOXZTN7w/99NGUJBzzwKrbhkDRoY
Ivh1hGC8+yiwLExhMaHwyNkY9xPL2oKo14kVxsL4wMyzPlrfTwMBAxpOHzrxDMO06UMFKK4ntU5w
KPRDGCh0ZRSuI77is74Puq/HmSXvhz6vLAwCLgqC1wmhD5SAR9FwBeX9QU/axF8D69OhMd8ndwQA
d8EWd3sOEtaEc3dXPbtWf9tBFR17XO7ChqN7xg==</SignatureValue>
  <KeyInfo>
    <X509Data>
      <X509Certificate>MIIGPjCCBSagAwIBAgIKQ8pt4wADAAH7lTANBgkqhkiG9w0BAQsFADBKMRIwEAYKCZImiZPyLGQBGRYCZ2UxEzARBgoJkiaJk/IsZAEZFgNuYmcxHzAdBgNVBAMTFk5CRyBDbGFzcyAyIElOVCBTdWIgQ0EwHhcNMjExMTI5MTAwMjEyWhcNMjMxMTI5MTAwMjEyWjA8MRswGQYDVQQKExJKU0MgSXNiYW5rIEdlb3JnaWExHTAbBgNVBAMTFEJJUyAtIFVjaGEgU2FyYWxpZHplMIIBIjANBgkqhkiG9w0BAQEFAAOCAQ8AMIIBCgKCAQEA7ShGYNeXoAX2WytWz0beaKySOOy2jtBZ7y7YqhZQWE0IwIjtm791DvQg9Q39Dd8nEgf2H9h0EiNk2T39HTln5q42608Poyj0SrQ6mxT831oeWQasIgw5qF9g2AqU9VeACyRoqCLzdTJIglahjit219RNuv/IvaF/UCdOvWgX5LXikrtngBq811HMJSKxJOHNXyJuLjAAwMBUH8770AxfdnCNaKD4yBiFtyGfkvJgIFPiruf6O1jm/E5GoJCorTUdXAB0BBvYbuCvMHo7D9kz52NDjF4o2jaGf6gEy3scoDRFJW5Z5Psp90pzKDq7kedLYMte7+vyoLktAz9/UZc+HwIDAQABo4IDMjCCAy4wPAYJKwYBBAGCNxUHBC8wLQYlKwYBBAGCNxUI5rJgg431RIaBmQmDuKFKg76EcQSDxJEzhIOIXQIBZAIBIzAdBgNVHSUEFjAUBggrBgEFBQcDAgYIKwYBBQUHAwQwCwYDVR0PBAQDAgeAMCcGCSsGAQQBgjcVCgQaMBgwCgYIKwYBBQUHAwIwCgYIKwYBBQUHAwQwHQYDVR0OBBYEFH810ZYF2cpPnT25etx6RcujjIA+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KCDIUPdsOYKMwHUPfGUNMpJyivUG6OhvmS8qFpv+2lX08aXEIkDpMdrmzklXArXjUk4vlunwcHzTmS3eKazGWNAhUhOFAjsNT/L/KKt5L8SA4nkaXnfB5cJIjPORIx9OmDTxAsMeiAr+qjzhxDMiFw6FduU7pv7NkZxxvxFc1ZxCPYmQKo886ANcc+DI34MLpoRp+9gS2t+w84hqhU584rwvt6BTM8fn5/DYHt2u1Z/39731cz9BtceYdKJ+pJODBm4sPkCx4dTky9h/iWFgC3zOtfBZTUL8mYRxRxGJZneGCqC6ZYNNfbsFghoEwxIzUWREqto5pg5Jf5h60E+z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i2CwQR8Iq5OD4mR+adgWlPBivzWO5+lGUieQGySGTQM=</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UV41FFKbUJYvvnIUAyLpZkjRdVA99bxLucqGnzS5/rc=</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qqKz7UtelGHdfiWdqNc1EvL8LqlQ7O4MTpeoyQcgyv0=</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SWiohiWSuPjjcblZxueyphOzVidWJvXmdfCiNQW6SiY=</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UZc+Eb2U6CoUW3VzqKXofHC/4ECHjz4BBxFJtHQHWcM=</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eT/GpwkZDqL7KS7bCEUj3ekw9xCL3QisbFfAz1fi6Cc=</DigestValue>
      </Reference>
      <Reference URI="/xl/styles.xml?ContentType=application/vnd.openxmlformats-officedocument.spreadsheetml.styles+xml">
        <DigestMethod Algorithm="http://www.w3.org/2001/04/xmlenc#sha256"/>
        <DigestValue>SMF5h1svtqy70rrDEE3IlrKUhvHLLfb1cCCqJqlrSqQ=</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IkhLe8CCqt0nKGg5BNlchGOkU3zwygVtRnIKgTfeblQ=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4Uo5rTKAiXLns6kC4Pvpr6QmwLtZuzASINCsxZUHJx4=</DigestValue>
      </Reference>
      <Reference URI="/xl/worksheets/sheet10.xml?ContentType=application/vnd.openxmlformats-officedocument.spreadsheetml.worksheet+xml">
        <DigestMethod Algorithm="http://www.w3.org/2001/04/xmlenc#sha256"/>
        <DigestValue>WwZQOL48NLHkuiyJWp3SkJtCxwfs48tZFczKB9OCBsc=</DigestValue>
      </Reference>
      <Reference URI="/xl/worksheets/sheet11.xml?ContentType=application/vnd.openxmlformats-officedocument.spreadsheetml.worksheet+xml">
        <DigestMethod Algorithm="http://www.w3.org/2001/04/xmlenc#sha256"/>
        <DigestValue>bRZnt9KbkubNM/z9jFil6bNELQl5XnqZqCJhghmIuVU=</DigestValue>
      </Reference>
      <Reference URI="/xl/worksheets/sheet12.xml?ContentType=application/vnd.openxmlformats-officedocument.spreadsheetml.worksheet+xml">
        <DigestMethod Algorithm="http://www.w3.org/2001/04/xmlenc#sha256"/>
        <DigestValue>0QLFG7P4UBaTFaCkpbudQedpJr3wft5Uh/tlaHiQeGM=</DigestValue>
      </Reference>
      <Reference URI="/xl/worksheets/sheet13.xml?ContentType=application/vnd.openxmlformats-officedocument.spreadsheetml.worksheet+xml">
        <DigestMethod Algorithm="http://www.w3.org/2001/04/xmlenc#sha256"/>
        <DigestValue>uB9XJuT7qUo0uq6J5e4fWg3F6J96bMhkIzJCM6EFJZk=</DigestValue>
      </Reference>
      <Reference URI="/xl/worksheets/sheet14.xml?ContentType=application/vnd.openxmlformats-officedocument.spreadsheetml.worksheet+xml">
        <DigestMethod Algorithm="http://www.w3.org/2001/04/xmlenc#sha256"/>
        <DigestValue>HcOg+NDYd+EFs5XLatTWfGVzdFi4q7EDHJeXejj6PXE=</DigestValue>
      </Reference>
      <Reference URI="/xl/worksheets/sheet15.xml?ContentType=application/vnd.openxmlformats-officedocument.spreadsheetml.worksheet+xml">
        <DigestMethod Algorithm="http://www.w3.org/2001/04/xmlenc#sha256"/>
        <DigestValue>kipcvpl5dD6WT2rwZWs7KAdgD0C3+rRiD8w83ZEkAhA=</DigestValue>
      </Reference>
      <Reference URI="/xl/worksheets/sheet16.xml?ContentType=application/vnd.openxmlformats-officedocument.spreadsheetml.worksheet+xml">
        <DigestMethod Algorithm="http://www.w3.org/2001/04/xmlenc#sha256"/>
        <DigestValue>Nk82B4E/FZz7URuPlpIHdTZQIExIrNG529rq/wwdiAc=</DigestValue>
      </Reference>
      <Reference URI="/xl/worksheets/sheet17.xml?ContentType=application/vnd.openxmlformats-officedocument.spreadsheetml.worksheet+xml">
        <DigestMethod Algorithm="http://www.w3.org/2001/04/xmlenc#sha256"/>
        <DigestValue>BuhfUyHPo6IqGrKayjMabneVt6mKj2ej5mG4Mb5Y78Q=</DigestValue>
      </Reference>
      <Reference URI="/xl/worksheets/sheet18.xml?ContentType=application/vnd.openxmlformats-officedocument.spreadsheetml.worksheet+xml">
        <DigestMethod Algorithm="http://www.w3.org/2001/04/xmlenc#sha256"/>
        <DigestValue>KNEjZNM/8s6m5sw3cBF+EPYhKcqGmyl6hqJLeqWevuc=</DigestValue>
      </Reference>
      <Reference URI="/xl/worksheets/sheet19.xml?ContentType=application/vnd.openxmlformats-officedocument.spreadsheetml.worksheet+xml">
        <DigestMethod Algorithm="http://www.w3.org/2001/04/xmlenc#sha256"/>
        <DigestValue>CnKaUhKV5F75snBfqLWZK2JDsBs9KLNiW+2x4UZK6aA=</DigestValue>
      </Reference>
      <Reference URI="/xl/worksheets/sheet2.xml?ContentType=application/vnd.openxmlformats-officedocument.spreadsheetml.worksheet+xml">
        <DigestMethod Algorithm="http://www.w3.org/2001/04/xmlenc#sha256"/>
        <DigestValue>+prN9pOfVi751oLM1sRKE3zu4lmZ96TO0lQKZJvLOCs=</DigestValue>
      </Reference>
      <Reference URI="/xl/worksheets/sheet20.xml?ContentType=application/vnd.openxmlformats-officedocument.spreadsheetml.worksheet+xml">
        <DigestMethod Algorithm="http://www.w3.org/2001/04/xmlenc#sha256"/>
        <DigestValue>cwPB6GWEEDPVdAS5YZl3Au2uTtvISPl+0JD8i4fE43A=</DigestValue>
      </Reference>
      <Reference URI="/xl/worksheets/sheet21.xml?ContentType=application/vnd.openxmlformats-officedocument.spreadsheetml.worksheet+xml">
        <DigestMethod Algorithm="http://www.w3.org/2001/04/xmlenc#sha256"/>
        <DigestValue>MizcNKOg4tCPRFNaOhguA3hQVkRIXloKTIF3yYe+nsY=</DigestValue>
      </Reference>
      <Reference URI="/xl/worksheets/sheet22.xml?ContentType=application/vnd.openxmlformats-officedocument.spreadsheetml.worksheet+xml">
        <DigestMethod Algorithm="http://www.w3.org/2001/04/xmlenc#sha256"/>
        <DigestValue>aOJzTcNwMBmNlRljyzE11/lm7tj0z6wzDMbblPLG/jc=</DigestValue>
      </Reference>
      <Reference URI="/xl/worksheets/sheet23.xml?ContentType=application/vnd.openxmlformats-officedocument.spreadsheetml.worksheet+xml">
        <DigestMethod Algorithm="http://www.w3.org/2001/04/xmlenc#sha256"/>
        <DigestValue>p+eBctQcMWHFlVPMYaOCJ1i9SO/qW8Gztorqt3rib70=</DigestValue>
      </Reference>
      <Reference URI="/xl/worksheets/sheet24.xml?ContentType=application/vnd.openxmlformats-officedocument.spreadsheetml.worksheet+xml">
        <DigestMethod Algorithm="http://www.w3.org/2001/04/xmlenc#sha256"/>
        <DigestValue>tHU/PLkYzQR5VRWYoxvM5mb8QJ7qP4SVwqEeuYOxOxA=</DigestValue>
      </Reference>
      <Reference URI="/xl/worksheets/sheet25.xml?ContentType=application/vnd.openxmlformats-officedocument.spreadsheetml.worksheet+xml">
        <DigestMethod Algorithm="http://www.w3.org/2001/04/xmlenc#sha256"/>
        <DigestValue>wWQKoAp5ZVYy9rcijEevh8/O63La0ZaAy0QrY5nP6EQ=</DigestValue>
      </Reference>
      <Reference URI="/xl/worksheets/sheet26.xml?ContentType=application/vnd.openxmlformats-officedocument.spreadsheetml.worksheet+xml">
        <DigestMethod Algorithm="http://www.w3.org/2001/04/xmlenc#sha256"/>
        <DigestValue>en8URDaUSjpveL5/Yj5fXLjxGldKfPidMRgz8i2rwyk=</DigestValue>
      </Reference>
      <Reference URI="/xl/worksheets/sheet27.xml?ContentType=application/vnd.openxmlformats-officedocument.spreadsheetml.worksheet+xml">
        <DigestMethod Algorithm="http://www.w3.org/2001/04/xmlenc#sha256"/>
        <DigestValue>9pD/gjSQeNeWvrrsXlW7tLs343GqJ9PzWqFebxCYCSY=</DigestValue>
      </Reference>
      <Reference URI="/xl/worksheets/sheet28.xml?ContentType=application/vnd.openxmlformats-officedocument.spreadsheetml.worksheet+xml">
        <DigestMethod Algorithm="http://www.w3.org/2001/04/xmlenc#sha256"/>
        <DigestValue>VpUyCHyZWIrfNeatPC1yvr/40r+moaG8jgrIeJTl3nk=</DigestValue>
      </Reference>
      <Reference URI="/xl/worksheets/sheet29.xml?ContentType=application/vnd.openxmlformats-officedocument.spreadsheetml.worksheet+xml">
        <DigestMethod Algorithm="http://www.w3.org/2001/04/xmlenc#sha256"/>
        <DigestValue>rQh1ETZbQva9Y/T023Vz2ateN4qg9L2Mi0NBLpLwK0s=</DigestValue>
      </Reference>
      <Reference URI="/xl/worksheets/sheet3.xml?ContentType=application/vnd.openxmlformats-officedocument.spreadsheetml.worksheet+xml">
        <DigestMethod Algorithm="http://www.w3.org/2001/04/xmlenc#sha256"/>
        <DigestValue>M99+nN/sPJGWxDKKdfbSVR8Nz+OwhFBEvlweEgTsjRY=</DigestValue>
      </Reference>
      <Reference URI="/xl/worksheets/sheet4.xml?ContentType=application/vnd.openxmlformats-officedocument.spreadsheetml.worksheet+xml">
        <DigestMethod Algorithm="http://www.w3.org/2001/04/xmlenc#sha256"/>
        <DigestValue>VaDdHykyyMz56eeLauwdH46OQrNLtSPoV9x0ToTwXrU=</DigestValue>
      </Reference>
      <Reference URI="/xl/worksheets/sheet5.xml?ContentType=application/vnd.openxmlformats-officedocument.spreadsheetml.worksheet+xml">
        <DigestMethod Algorithm="http://www.w3.org/2001/04/xmlenc#sha256"/>
        <DigestValue>QukjJkhQfUeZVPD6Bx0qpoHAbD/Zi49WiE6JxS3C5qs=</DigestValue>
      </Reference>
      <Reference URI="/xl/worksheets/sheet6.xml?ContentType=application/vnd.openxmlformats-officedocument.spreadsheetml.worksheet+xml">
        <DigestMethod Algorithm="http://www.w3.org/2001/04/xmlenc#sha256"/>
        <DigestValue>VJ4YyK/W8+CSmztUQEsZFU85To6etSSosNujjDbnu98=</DigestValue>
      </Reference>
      <Reference URI="/xl/worksheets/sheet7.xml?ContentType=application/vnd.openxmlformats-officedocument.spreadsheetml.worksheet+xml">
        <DigestMethod Algorithm="http://www.w3.org/2001/04/xmlenc#sha256"/>
        <DigestValue>Hm7CDg+q2MJwUpErQVGK0EMplxc+e2eXrjM0z4bSZo8=</DigestValue>
      </Reference>
      <Reference URI="/xl/worksheets/sheet8.xml?ContentType=application/vnd.openxmlformats-officedocument.spreadsheetml.worksheet+xml">
        <DigestMethod Algorithm="http://www.w3.org/2001/04/xmlenc#sha256"/>
        <DigestValue>3NUlFRicKgkFwnsdjb0QWCBWbPcsFp/NAIQCX4Q/Umc=</DigestValue>
      </Reference>
      <Reference URI="/xl/worksheets/sheet9.xml?ContentType=application/vnd.openxmlformats-officedocument.spreadsheetml.worksheet+xml">
        <DigestMethod Algorithm="http://www.w3.org/2001/04/xmlenc#sha256"/>
        <DigestValue>2wvhWc1eRPJYsNO++7mTyxLJW6qyp7Uzk3rqixpbkrk=</DigestValue>
      </Reference>
    </Manifest>
    <SignatureProperties>
      <SignatureProperty Id="idSignatureTime" Target="#idPackageSignature">
        <mdssi:SignatureTime xmlns:mdssi="http://schemas.openxmlformats.org/package/2006/digital-signature">
          <mdssi:Format>YYYY-MM-DDThh:mm:ssTZD</mdssi:Format>
          <mdssi:Value>2022-02-01T07:48:32Z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2022-02-01T07:48:32Z</xd:SigningTime>
          <xd:SigningCertificate>
            <xd:Cert>
              <xd:CertDigest>
                <DigestMethod Algorithm="http://www.w3.org/2001/04/xmlenc#sha256"/>
                <DigestValue>T2zuCY++zGjFhjCA8r6dANKnsBj+3+REw2G/4iuFJlw=</DigestValue>
              </xd:CertDigest>
              <xd:IssuerSerial>
                <X509IssuerName>CN=NBG Class 2 INT Sub CA, DC=nbg, DC=ge</X509IssuerName>
                <X509SerialNumber>320132714827738291239829</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2.RC</vt:lpstr>
      <vt:lpstr>3.PL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2022-02-01T07:46:02Z</dcterms:modified>
</cp:coreProperties>
</file>