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35" i="79" l="1"/>
  <c r="C29" i="79"/>
  <c r="C28" i="79"/>
  <c r="C7" i="79"/>
  <c r="B2" i="79"/>
  <c r="B2" i="37"/>
  <c r="J24" i="36"/>
  <c r="I24" i="36"/>
  <c r="K24" i="36" s="1"/>
  <c r="G24" i="36"/>
  <c r="F24" i="36"/>
  <c r="H24" i="36" s="1"/>
  <c r="K23" i="36"/>
  <c r="J23" i="36"/>
  <c r="J25" i="36" s="1"/>
  <c r="I23" i="36"/>
  <c r="I25" i="36" s="1"/>
  <c r="H23" i="36"/>
  <c r="H25" i="36" s="1"/>
  <c r="G23" i="36"/>
  <c r="G25" i="36" s="1"/>
  <c r="F23" i="36"/>
  <c r="F25" i="36" s="1"/>
  <c r="J21" i="36"/>
  <c r="I21" i="36"/>
  <c r="K21" i="36" s="1"/>
  <c r="H21" i="36"/>
  <c r="G21" i="36"/>
  <c r="F21" i="36"/>
  <c r="D21" i="36"/>
  <c r="C21" i="36"/>
  <c r="E21" i="36" s="1"/>
  <c r="K20" i="36"/>
  <c r="H20" i="36"/>
  <c r="E20" i="36"/>
  <c r="K19" i="36"/>
  <c r="H19" i="36"/>
  <c r="E19" i="36"/>
  <c r="K18" i="36"/>
  <c r="H18" i="36"/>
  <c r="E18" i="36"/>
  <c r="J16" i="36"/>
  <c r="I16" i="36"/>
  <c r="K16" i="36" s="1"/>
  <c r="G16" i="36"/>
  <c r="F16" i="36"/>
  <c r="H16" i="36" s="1"/>
  <c r="D16" i="36"/>
  <c r="C16" i="36"/>
  <c r="E16" i="36" s="1"/>
  <c r="K15" i="36"/>
  <c r="H15" i="36"/>
  <c r="E15" i="36"/>
  <c r="K14" i="36"/>
  <c r="H14" i="36"/>
  <c r="E14" i="36"/>
  <c r="K13" i="36"/>
  <c r="H13" i="36"/>
  <c r="E13" i="36"/>
  <c r="K12" i="36"/>
  <c r="H12" i="36"/>
  <c r="E12" i="36"/>
  <c r="K11" i="36"/>
  <c r="H11" i="36"/>
  <c r="E11" i="36"/>
  <c r="K10" i="36"/>
  <c r="H10" i="36"/>
  <c r="E10" i="36"/>
  <c r="K8" i="36"/>
  <c r="H8" i="36"/>
  <c r="B2" i="36"/>
  <c r="H20" i="74"/>
  <c r="H19" i="74"/>
  <c r="H16" i="74"/>
  <c r="H15" i="74"/>
  <c r="H12" i="74"/>
  <c r="H11" i="74"/>
  <c r="H8" i="74"/>
  <c r="G21" i="74"/>
  <c r="H21" i="74" s="1"/>
  <c r="G20" i="74"/>
  <c r="G19" i="74"/>
  <c r="G18" i="74"/>
  <c r="H18" i="74" s="1"/>
  <c r="G17" i="74"/>
  <c r="H17" i="74" s="1"/>
  <c r="G16" i="74"/>
  <c r="G15" i="74"/>
  <c r="G14" i="74"/>
  <c r="H14" i="74" s="1"/>
  <c r="G13" i="74"/>
  <c r="H13" i="74" s="1"/>
  <c r="G12" i="74"/>
  <c r="G11" i="74"/>
  <c r="G10" i="74"/>
  <c r="H10" i="74" s="1"/>
  <c r="G9" i="74"/>
  <c r="H9" i="74" s="1"/>
  <c r="G8" i="74"/>
  <c r="F21" i="74"/>
  <c r="F20" i="74"/>
  <c r="F19" i="74"/>
  <c r="F18" i="74"/>
  <c r="F17" i="74"/>
  <c r="F16" i="74"/>
  <c r="F15" i="74"/>
  <c r="F14" i="74"/>
  <c r="F13" i="74"/>
  <c r="F12" i="74"/>
  <c r="F11" i="74"/>
  <c r="F10" i="74"/>
  <c r="F9" i="74"/>
  <c r="F8" i="74"/>
  <c r="E21" i="74"/>
  <c r="E20" i="74"/>
  <c r="E19" i="74"/>
  <c r="E18" i="74"/>
  <c r="E17" i="74"/>
  <c r="E16" i="74"/>
  <c r="E15" i="74"/>
  <c r="E14" i="74"/>
  <c r="E13" i="74"/>
  <c r="E12" i="74"/>
  <c r="E11" i="74"/>
  <c r="E10" i="74"/>
  <c r="E9" i="74"/>
  <c r="E8" i="74"/>
  <c r="D14" i="74"/>
  <c r="D13" i="74"/>
  <c r="C22"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S22" i="35" s="1"/>
  <c r="B2" i="35"/>
  <c r="C36" i="69"/>
  <c r="C37" i="69"/>
  <c r="K25" i="36" l="1"/>
  <c r="C14" i="69" l="1"/>
  <c r="C43" i="69"/>
  <c r="C38" i="69"/>
  <c r="C35" i="69"/>
  <c r="C33" i="69"/>
  <c r="C32" i="69"/>
  <c r="C31" i="69"/>
  <c r="C30" i="69"/>
  <c r="C29" i="69"/>
  <c r="C28" i="69"/>
  <c r="C27" i="69"/>
  <c r="C26" i="69"/>
  <c r="C24" i="69"/>
  <c r="C23" i="69"/>
  <c r="C22" i="69"/>
  <c r="C18" i="69"/>
  <c r="C17" i="69"/>
  <c r="C16" i="69"/>
  <c r="C15" i="69"/>
  <c r="C12" i="69"/>
  <c r="C11" i="69"/>
  <c r="C10" i="69"/>
  <c r="C9" i="69"/>
  <c r="C8" i="69"/>
  <c r="C7" i="69"/>
  <c r="C6" i="69"/>
  <c r="B2" i="69"/>
  <c r="B2" i="77"/>
  <c r="C46" i="28"/>
  <c r="C15" i="28"/>
  <c r="C11" i="28"/>
  <c r="C7" i="28"/>
  <c r="B2" i="28"/>
  <c r="C6" i="73"/>
  <c r="B2" i="73"/>
  <c r="E20" i="72"/>
  <c r="E19" i="72"/>
  <c r="E18" i="72"/>
  <c r="E17" i="72"/>
  <c r="E16" i="72"/>
  <c r="E15" i="72"/>
  <c r="E14" i="72"/>
  <c r="E13" i="72"/>
  <c r="E12" i="72"/>
  <c r="E11" i="72"/>
  <c r="E10" i="72"/>
  <c r="E9" i="72"/>
  <c r="E8" i="72"/>
  <c r="C20" i="72"/>
  <c r="C19" i="72"/>
  <c r="C18" i="72"/>
  <c r="C17" i="72"/>
  <c r="C16" i="72"/>
  <c r="C15" i="72"/>
  <c r="C14" i="72"/>
  <c r="C13" i="72"/>
  <c r="C12" i="72"/>
  <c r="C11" i="72"/>
  <c r="C10" i="72"/>
  <c r="C9" i="72"/>
  <c r="C8" i="72"/>
  <c r="B2" i="72"/>
  <c r="B2" i="52"/>
  <c r="D13" i="71"/>
  <c r="G6" i="71"/>
  <c r="G13" i="71" s="1"/>
  <c r="F6" i="71"/>
  <c r="F13" i="71" s="1"/>
  <c r="E6" i="71"/>
  <c r="E13" i="71" s="1"/>
  <c r="D6" i="71"/>
  <c r="C6" i="71"/>
  <c r="C13" i="71" s="1"/>
  <c r="B2" i="71"/>
  <c r="H53" i="75"/>
  <c r="E53" i="75"/>
  <c r="H52" i="75"/>
  <c r="E52" i="75"/>
  <c r="H51" i="75"/>
  <c r="E51" i="75"/>
  <c r="H50" i="75"/>
  <c r="E50" i="75"/>
  <c r="H49" i="75"/>
  <c r="E49" i="75"/>
  <c r="H48" i="75"/>
  <c r="E48" i="75"/>
  <c r="H47" i="75"/>
  <c r="E47" i="75"/>
  <c r="H46" i="75"/>
  <c r="E46" i="75"/>
  <c r="G45" i="75"/>
  <c r="F45" i="75"/>
  <c r="H45" i="75" s="1"/>
  <c r="E45" i="75"/>
  <c r="D45" i="75"/>
  <c r="C45" i="75"/>
  <c r="H44" i="75"/>
  <c r="E44" i="75"/>
  <c r="H43" i="75"/>
  <c r="E43" i="75"/>
  <c r="H42" i="75"/>
  <c r="E42" i="75"/>
  <c r="H41" i="75"/>
  <c r="E41" i="75"/>
  <c r="G40" i="75"/>
  <c r="F40" i="75"/>
  <c r="H40" i="75" s="1"/>
  <c r="D40" i="75"/>
  <c r="C40" i="75"/>
  <c r="E40" i="75" s="1"/>
  <c r="H39" i="75"/>
  <c r="E39" i="75"/>
  <c r="H38" i="75"/>
  <c r="E38" i="75"/>
  <c r="H37" i="75"/>
  <c r="E37" i="75"/>
  <c r="H36" i="75"/>
  <c r="E36" i="75"/>
  <c r="H35" i="75"/>
  <c r="E35" i="75"/>
  <c r="H34" i="75"/>
  <c r="E34" i="75"/>
  <c r="H33" i="75"/>
  <c r="E33" i="75"/>
  <c r="G32" i="75"/>
  <c r="F32" i="75"/>
  <c r="H32" i="75" s="1"/>
  <c r="D32" i="75"/>
  <c r="C32" i="75"/>
  <c r="E32" i="75" s="1"/>
  <c r="H31" i="75"/>
  <c r="E31" i="75"/>
  <c r="H30" i="75"/>
  <c r="E30" i="75"/>
  <c r="H29" i="75"/>
  <c r="E29" i="75"/>
  <c r="H28" i="75"/>
  <c r="E28" i="75"/>
  <c r="H27" i="75"/>
  <c r="E27" i="75"/>
  <c r="H26" i="75"/>
  <c r="E26" i="75"/>
  <c r="H25" i="75"/>
  <c r="E25" i="75"/>
  <c r="H24" i="75"/>
  <c r="E24" i="75"/>
  <c r="H23" i="75"/>
  <c r="E23" i="75"/>
  <c r="G22" i="75"/>
  <c r="G19" i="75" s="1"/>
  <c r="F22" i="75"/>
  <c r="H22" i="75" s="1"/>
  <c r="D22" i="75"/>
  <c r="C22" i="75"/>
  <c r="E22" i="75" s="1"/>
  <c r="H21" i="75"/>
  <c r="E21" i="75"/>
  <c r="H20" i="75"/>
  <c r="E20" i="75"/>
  <c r="D19" i="75"/>
  <c r="H18" i="75"/>
  <c r="E18" i="75"/>
  <c r="H17" i="75"/>
  <c r="E17" i="75"/>
  <c r="G16" i="75"/>
  <c r="F16" i="75"/>
  <c r="H16" i="75" s="1"/>
  <c r="D16" i="75"/>
  <c r="C16" i="75"/>
  <c r="E16" i="75" s="1"/>
  <c r="H15" i="75"/>
  <c r="E15" i="75"/>
  <c r="H14" i="75"/>
  <c r="E14" i="75"/>
  <c r="H13" i="75"/>
  <c r="G13" i="75"/>
  <c r="F13" i="75"/>
  <c r="E13" i="75"/>
  <c r="D13" i="75"/>
  <c r="C13" i="75"/>
  <c r="H12" i="75"/>
  <c r="E12" i="75"/>
  <c r="H11" i="75"/>
  <c r="E11" i="75"/>
  <c r="H10" i="75"/>
  <c r="E10" i="75"/>
  <c r="H9" i="75"/>
  <c r="E9" i="75"/>
  <c r="H8" i="75"/>
  <c r="E8" i="75"/>
  <c r="H7" i="75"/>
  <c r="G7" i="75"/>
  <c r="F7" i="75"/>
  <c r="E7" i="75"/>
  <c r="D7" i="75"/>
  <c r="C7" i="75"/>
  <c r="B2" i="75"/>
  <c r="B2" i="53"/>
  <c r="G14" i="62"/>
  <c r="F14" i="62"/>
  <c r="D14" i="62"/>
  <c r="C14" i="62"/>
  <c r="B2" i="62"/>
  <c r="E21" i="72" l="1"/>
  <c r="F19" i="75"/>
  <c r="H19" i="75" s="1"/>
  <c r="C19" i="75"/>
  <c r="E19" i="75" s="1"/>
  <c r="C5" i="6" l="1"/>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21" i="72" l="1"/>
  <c r="D21" i="72" l="1"/>
  <c r="G22" i="74" l="1"/>
  <c r="F22" i="74"/>
  <c r="G61" i="53" l="1"/>
  <c r="F61" i="53"/>
  <c r="D61" i="53"/>
  <c r="C61" i="53"/>
  <c r="G53" i="53"/>
  <c r="F53" i="53"/>
  <c r="D53" i="53"/>
  <c r="C53" i="53"/>
  <c r="G34" i="53"/>
  <c r="G45" i="53" s="1"/>
  <c r="F34" i="53"/>
  <c r="F45" i="53" s="1"/>
  <c r="F54" i="53" s="1"/>
  <c r="D34" i="53"/>
  <c r="D45" i="53" s="1"/>
  <c r="D54" i="53" s="1"/>
  <c r="C34" i="53"/>
  <c r="C45" i="53" s="1"/>
  <c r="C54" i="53" l="1"/>
  <c r="G54" i="53"/>
  <c r="G30" i="53"/>
  <c r="F30" i="53"/>
  <c r="D30" i="53"/>
  <c r="C30" i="53"/>
  <c r="G9" i="53"/>
  <c r="G22" i="53" s="1"/>
  <c r="F9" i="53"/>
  <c r="F22" i="53" s="1"/>
  <c r="D9" i="53"/>
  <c r="D22" i="53" s="1"/>
  <c r="D31" i="53" s="1"/>
  <c r="D56" i="53" s="1"/>
  <c r="D63" i="53" s="1"/>
  <c r="D65" i="53" s="1"/>
  <c r="D67" i="53" s="1"/>
  <c r="C9" i="53"/>
  <c r="C22" i="53" s="1"/>
  <c r="D31" i="62"/>
  <c r="D41" i="62" s="1"/>
  <c r="C31" i="62"/>
  <c r="C41" i="62" s="1"/>
  <c r="C20" i="62"/>
  <c r="G31" i="53" l="1"/>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8" i="73" l="1"/>
  <c r="C13" i="73" s="1"/>
  <c r="C43" i="28"/>
  <c r="C31" i="28" l="1"/>
  <c r="C30" i="28" s="1"/>
  <c r="C47" i="28" l="1"/>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4" i="62"/>
  <c r="E15" i="62"/>
  <c r="E16" i="62"/>
  <c r="E17" i="62"/>
  <c r="E18" i="62"/>
  <c r="E19" i="62"/>
  <c r="E20" i="62"/>
  <c r="E7" i="62"/>
  <c r="C45" i="69" l="1"/>
  <c r="C25" i="69"/>
</calcChain>
</file>

<file path=xl/sharedStrings.xml><?xml version="1.0" encoding="utf-8"?>
<sst xmlns="http://schemas.openxmlformats.org/spreadsheetml/2006/main" count="767" uniqueCount="525">
  <si>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</si>
  <si>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</si>
  <si>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</si>
  <si>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</si>
  <si>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</si>
  <si>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</si>
  <si>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</si>
  <si>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</si>
  <si>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</si>
  <si>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</si>
  <si>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</si>
  <si>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</si>
  <si>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</si>
  <si>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</si>
  <si>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</si>
  <si>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</si>
  <si>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</si>
  <si>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</si>
  <si>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</si>
  <si>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</si>
  <si>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</si>
  <si>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</si>
  <si>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</si>
  <si>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</si>
  <si>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</si>
  <si>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</si>
  <si>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</si>
  <si>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</si>
  <si>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</si>
  <si>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</si>
  <si>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</si>
  <si>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</si>
  <si>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</si>
  <si>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</si>
  <si>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</si>
  <si>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</si>
  <si>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</si>
  <si>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</si>
  <si>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</si>
  <si>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</si>
  <si>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</si>
  <si>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</si>
  <si>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</si>
  <si>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</si>
  <si>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</si>
  <si>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</si>
  <si>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</si>
  <si>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</si>
  <si>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</si>
  <si>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</si>
  <si>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</si>
  <si>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</si>
  <si>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</si>
  <si>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</si>
  <si>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</si>
  <si>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</si>
  <si>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</si>
  <si>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</si>
  <si>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</si>
  <si>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</si>
  <si>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</si>
  <si>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</si>
  <si>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</si>
  <si>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</si>
  <si>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</si>
  <si>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</si>
  <si>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</si>
  <si>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</si>
  <si>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</si>
  <si>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</si>
  <si>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</si>
  <si>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</si>
  <si>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</si>
  <si>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</si>
  <si>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</si>
  <si>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</si>
  <si>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</si>
  <si>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</si>
  <si>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</si>
  <si>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</si>
  <si>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</si>
  <si>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</si>
  <si>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</si>
  <si>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</si>
  <si>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</si>
  <si>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</si>
  <si>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</si>
  <si>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</si>
  <si>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</si>
  <si>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</si>
  <si>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</si>
  <si>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</si>
  <si>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</si>
  <si>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</si>
  <si>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</si>
  <si>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</si>
  <si>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</si>
  <si>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</si>
  <si>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</si>
  <si>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</si>
  <si>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</si>
  <si>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</si>
  <si>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</si>
  <si>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</si>
  <si>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</si>
  <si>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</si>
  <si>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</si>
  <si>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</si>
  <si>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</si>
  <si>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</si>
  <si>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</si>
  <si>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</si>
  <si>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</si>
  <si>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</si>
  <si>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</si>
  <si>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</si>
  <si>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</si>
  <si>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</si>
  <si>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</si>
  <si>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</si>
  <si>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</si>
  <si>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</si>
  <si>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</si>
  <si>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</si>
  <si>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</si>
  <si>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</si>
  <si>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</si>
  <si>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</si>
  <si>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</si>
  <si>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</si>
  <si>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</si>
  <si>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</si>
  <si>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</si>
  <si>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</si>
  <si>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</si>
  <si>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</si>
  <si>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</si>
  <si>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</si>
  <si>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</si>
  <si>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</si>
  <si>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</si>
  <si>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</si>
  <si>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</si>
  <si>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</si>
  <si>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</si>
  <si>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</si>
  <si>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</si>
  <si>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</si>
  <si>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</si>
  <si>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</si>
  <si>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</si>
  <si>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</si>
  <si>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</si>
  <si>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</si>
  <si>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</si>
  <si>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</si>
  <si>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</si>
  <si>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</si>
  <si>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</si>
  <si>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</si>
  <si>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</si>
  <si>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</si>
  <si>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</si>
  <si>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</si>
  <si>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</si>
  <si>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</si>
  <si>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</si>
  <si>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</si>
  <si>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</si>
  <si>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</si>
  <si>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</si>
  <si>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</si>
  <si>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</si>
  <si>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</si>
  <si>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</si>
  <si>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</si>
  <si>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</si>
  <si>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</si>
  <si>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</si>
  <si>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</si>
  <si>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</si>
  <si>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</si>
  <si>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</si>
  <si>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</si>
  <si>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</si>
  <si>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</si>
  <si>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</si>
  <si>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</si>
  <si>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</si>
  <si>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</si>
  <si>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</si>
  <si>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</si>
  <si>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</si>
  <si>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</si>
  <si>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</si>
  <si>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</si>
  <si>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</si>
  <si>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</si>
  <si>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</si>
  <si>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</si>
  <si>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</si>
  <si>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</si>
  <si>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</si>
  <si>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</si>
  <si>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</si>
  <si>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</si>
  <si>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</si>
  <si>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</si>
  <si>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</si>
  <si>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</si>
  <si>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</si>
  <si>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</si>
  <si>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</si>
  <si>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</si>
  <si>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</si>
  <si>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</si>
  <si>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</si>
  <si>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</si>
  <si>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</si>
  <si>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</si>
  <si>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</si>
  <si>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</si>
  <si>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</si>
  <si>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</si>
  <si>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</si>
  <si>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</si>
  <si>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</si>
  <si>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</si>
  <si>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</si>
  <si>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</si>
  <si>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</si>
  <si>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</si>
  <si>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</si>
  <si>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</si>
  <si>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</si>
  <si>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</si>
  <si>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</si>
  <si>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</si>
  <si>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</si>
  <si>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</si>
  <si>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</si>
  <si>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</si>
  <si>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</si>
  <si>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</si>
  <si>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</si>
  <si>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</si>
  <si>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</si>
  <si>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</si>
  <si>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</si>
  <si>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</si>
  <si>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</si>
  <si>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</si>
  <si>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</si>
  <si>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</si>
  <si>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</si>
  <si>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</si>
  <si>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</si>
  <si>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</si>
  <si>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</si>
  <si>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</si>
  <si>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</si>
  <si>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</si>
  <si>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</si>
  <si>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</si>
  <si>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</si>
  <si>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</si>
  <si>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</si>
  <si>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</si>
  <si>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</si>
  <si>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</si>
  <si>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</si>
  <si>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</si>
  <si>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</si>
  <si>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</si>
  <si>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</si>
  <si>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</si>
  <si>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</si>
  <si>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</si>
  <si>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</si>
  <si>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</si>
  <si>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</si>
  <si>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</si>
  <si>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</si>
  <si>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</si>
  <si>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</si>
  <si>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</si>
  <si>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</si>
  <si>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</si>
  <si>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</si>
  <si>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</si>
  <si>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</si>
  <si>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</si>
  <si>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</si>
  <si>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</si>
  <si>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</si>
  <si>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</si>
  <si>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</si>
  <si>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</si>
  <si>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</si>
  <si>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</si>
  <si>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</si>
  <si>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</si>
  <si>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</si>
  <si>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</si>
  <si>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</si>
  <si>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</si>
  <si>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</si>
  <si>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</si>
  <si>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</si>
  <si>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</si>
  <si>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</si>
  <si>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</si>
  <si>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</si>
  <si>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</si>
  <si>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</si>
  <si>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</si>
  <si>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</si>
  <si>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</si>
  <si>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</si>
  <si>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</si>
  <si>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</si>
  <si>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</si>
  <si>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</si>
  <si>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</si>
  <si>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</si>
  <si>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</si>
  <si>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</si>
  <si>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</si>
  <si>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</si>
  <si>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</si>
  <si>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</si>
  <si>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</si>
  <si>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</si>
  <si>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</si>
  <si>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</si>
  <si>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</si>
  <si>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</si>
  <si>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</si>
  <si>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</si>
  <si>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</si>
  <si>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</si>
  <si>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</si>
  <si>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</si>
  <si>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</si>
  <si>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ცხრილი 9 (Capital), N10</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</si>
  <si>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</si>
  <si>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</si>
  <si>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</si>
  <si>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</si>
  <si>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</si>
  <si>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</si>
  <si>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</si>
  <si>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</si>
  <si>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</si>
  <si>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</si>
  <si>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</si>
  <si>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</si>
  <si>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</si>
  <si>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</si>
  <si>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</si>
  <si>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</si>
  <si>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</si>
  <si>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</si>
  <si>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</si>
  <si>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</si>
  <si>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</si>
  <si>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</si>
  <si>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</si>
  <si>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</si>
  <si>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</si>
  <si>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</si>
  <si>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</si>
  <si>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</si>
  <si>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</si>
  <si>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</si>
  <si>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</si>
  <si>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</si>
  <si>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</si>
  <si>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</si>
  <si>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</si>
  <si>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</si>
  <si>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</si>
  <si>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</si>
  <si>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</si>
  <si>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</si>
  <si>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</si>
  <si>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</si>
  <si>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</si>
  <si>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</si>
  <si>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</si>
  <si>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</si>
  <si>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</si>
  <si>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</si>
  <si>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</si>
  <si>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</si>
  <si>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</si>
  <si>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</si>
  <si>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</si>
  <si>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</si>
  <si>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</si>
  <si>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</si>
  <si>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</si>
  <si>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</si>
  <si>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</si>
  <si>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</si>
  <si>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</si>
  <si>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</si>
  <si>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</si>
  <si>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</si>
  <si>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</si>
  <si>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</si>
  <si>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</si>
  <si>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</si>
  <si>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</si>
  <si>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</si>
  <si>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</si>
  <si>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</si>
  <si>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</si>
  <si>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</si>
  <si>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</si>
  <si>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</si>
  <si>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</si>
  <si>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</si>
  <si>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</si>
  <si>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</si>
  <si>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</si>
  <si>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</si>
  <si>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</si>
  <si>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</si>
  <si>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</si>
  <si>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</si>
  <si>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</si>
  <si>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</si>
  <si>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</si>
  <si>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</si>
  <si>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</si>
  <si>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</si>
  <si>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</si>
  <si>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</si>
  <si>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</si>
  <si>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</si>
  <si>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</si>
  <si>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</si>
  <si>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</si>
  <si>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</si>
  <si>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</si>
  <si>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</si>
  <si>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</si>
  <si>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</si>
  <si>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</si>
  <si>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</si>
  <si>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</si>
  <si>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</si>
  <si>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</si>
  <si>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</si>
  <si>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</si>
  <si>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</si>
  <si>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</si>
  <si>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</si>
  <si>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</si>
  <si>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</si>
  <si>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</si>
  <si>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</si>
  <si>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</si>
  <si>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</si>
  <si>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</si>
  <si>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</si>
  <si>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</si>
  <si>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</si>
  <si>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</si>
  <si>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</si>
  <si>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</si>
  <si>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</si>
  <si>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</si>
  <si>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</si>
  <si>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</si>
  <si>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</si>
  <si>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</si>
  <si>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</si>
  <si>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</si>
  <si>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</si>
  <si>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</si>
  <si>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</si>
  <si>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</si>
  <si>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</si>
  <si>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</si>
  <si>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</si>
  <si>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</si>
  <si>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</si>
  <si>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</si>
  <si>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</si>
  <si>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</si>
  <si>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</si>
  <si>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</si>
  <si>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</si>
  <si>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</si>
  <si>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</si>
  <si>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</si>
  <si>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</si>
  <si>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</si>
  <si>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</si>
  <si>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სს იშბანკი საქართველო</t>
  </si>
  <si>
    <t>ოზან გურსოი</t>
  </si>
  <si>
    <t>ოზან გური</t>
  </si>
  <si>
    <t>www.isbank.ge</t>
  </si>
  <si>
    <t>სეზგინ ლულე</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</si>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</sst>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10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168" fontId="40"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168" fontId="40"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169" fontId="40"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9" fillId="9" borderId="35"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0" fontId="38" fillId="64" borderId="42" applyNumberFormat="0" applyAlignment="0" applyProtection="0"/>
    <xf numFmtId="168" fontId="40" fillId="64" borderId="42" applyNumberFormat="0" applyAlignment="0" applyProtection="0"/>
    <xf numFmtId="169" fontId="40" fillId="64" borderId="42" applyNumberFormat="0" applyAlignment="0" applyProtection="0"/>
    <xf numFmtId="168" fontId="40" fillId="64" borderId="42" applyNumberFormat="0" applyAlignment="0" applyProtection="0"/>
    <xf numFmtId="168" fontId="40" fillId="64" borderId="42" applyNumberFormat="0" applyAlignment="0" applyProtection="0"/>
    <xf numFmtId="169" fontId="40" fillId="64" borderId="42" applyNumberFormat="0" applyAlignment="0" applyProtection="0"/>
    <xf numFmtId="168" fontId="40" fillId="64" borderId="42" applyNumberFormat="0" applyAlignment="0" applyProtection="0"/>
    <xf numFmtId="168" fontId="40" fillId="64" borderId="42" applyNumberFormat="0" applyAlignment="0" applyProtection="0"/>
    <xf numFmtId="169" fontId="40" fillId="64" borderId="42" applyNumberFormat="0" applyAlignment="0" applyProtection="0"/>
    <xf numFmtId="168" fontId="40" fillId="64" borderId="42" applyNumberFormat="0" applyAlignment="0" applyProtection="0"/>
    <xf numFmtId="168" fontId="40" fillId="64" borderId="42" applyNumberFormat="0" applyAlignment="0" applyProtection="0"/>
    <xf numFmtId="169" fontId="40" fillId="64" borderId="42" applyNumberFormat="0" applyAlignment="0" applyProtection="0"/>
    <xf numFmtId="168" fontId="40" fillId="64" borderId="42" applyNumberFormat="0" applyAlignment="0" applyProtection="0"/>
    <xf numFmtId="0" fontId="38" fillId="64" borderId="42" applyNumberFormat="0" applyAlignment="0" applyProtection="0"/>
    <xf numFmtId="0" fontId="41" fillId="65" borderId="43" applyNumberFormat="0" applyAlignment="0" applyProtection="0"/>
    <xf numFmtId="0" fontId="42" fillId="10" borderId="38" applyNumberFormat="0" applyAlignment="0" applyProtection="0"/>
    <xf numFmtId="168"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0" fontId="41"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0" fontId="42" fillId="10" borderId="38"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169" fontId="43" fillId="65" borderId="43" applyNumberFormat="0" applyAlignment="0" applyProtection="0"/>
    <xf numFmtId="168" fontId="43" fillId="65" borderId="43" applyNumberFormat="0" applyAlignment="0" applyProtection="0"/>
    <xf numFmtId="0" fontId="41" fillId="65" borderId="4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4">
      <alignment vertical="center"/>
    </xf>
    <xf numFmtId="38" fontId="26" fillId="0" borderId="44">
      <alignment vertical="center"/>
    </xf>
    <xf numFmtId="38" fontId="26" fillId="0" borderId="44">
      <alignment vertical="center"/>
    </xf>
    <xf numFmtId="38" fontId="26" fillId="0" borderId="44">
      <alignment vertical="center"/>
    </xf>
    <xf numFmtId="38" fontId="26" fillId="0" borderId="44">
      <alignment vertical="center"/>
    </xf>
    <xf numFmtId="38" fontId="26" fillId="0" borderId="44">
      <alignment vertical="center"/>
    </xf>
    <xf numFmtId="38" fontId="26" fillId="0" borderId="44">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2" applyNumberFormat="0" applyAlignment="0" applyProtection="0">
      <alignment horizontal="left" vertical="center"/>
    </xf>
    <xf numFmtId="0" fontId="54" fillId="0" borderId="32" applyNumberFormat="0" applyAlignment="0" applyProtection="0">
      <alignment horizontal="left" vertical="center"/>
    </xf>
    <xf numFmtId="168" fontId="54" fillId="0" borderId="32"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5" applyNumberFormat="0" applyFill="0" applyAlignment="0" applyProtection="0"/>
    <xf numFmtId="169" fontId="55" fillId="0" borderId="45" applyNumberFormat="0" applyFill="0" applyAlignment="0" applyProtection="0"/>
    <xf numFmtId="0" fontId="55" fillId="0" borderId="45" applyNumberFormat="0" applyFill="0" applyAlignment="0" applyProtection="0"/>
    <xf numFmtId="168" fontId="55" fillId="0" borderId="45" applyNumberFormat="0" applyFill="0" applyAlignment="0" applyProtection="0"/>
    <xf numFmtId="168" fontId="55" fillId="0" borderId="45" applyNumberFormat="0" applyFill="0" applyAlignment="0" applyProtection="0"/>
    <xf numFmtId="168" fontId="55" fillId="0" borderId="45" applyNumberFormat="0" applyFill="0" applyAlignment="0" applyProtection="0"/>
    <xf numFmtId="169" fontId="55" fillId="0" borderId="45" applyNumberFormat="0" applyFill="0" applyAlignment="0" applyProtection="0"/>
    <xf numFmtId="168" fontId="55" fillId="0" borderId="45" applyNumberFormat="0" applyFill="0" applyAlignment="0" applyProtection="0"/>
    <xf numFmtId="168" fontId="55" fillId="0" borderId="45" applyNumberFormat="0" applyFill="0" applyAlignment="0" applyProtection="0"/>
    <xf numFmtId="169" fontId="55" fillId="0" borderId="45" applyNumberFormat="0" applyFill="0" applyAlignment="0" applyProtection="0"/>
    <xf numFmtId="168" fontId="55" fillId="0" borderId="45" applyNumberFormat="0" applyFill="0" applyAlignment="0" applyProtection="0"/>
    <xf numFmtId="168" fontId="55" fillId="0" borderId="45" applyNumberFormat="0" applyFill="0" applyAlignment="0" applyProtection="0"/>
    <xf numFmtId="169" fontId="55" fillId="0" borderId="45" applyNumberFormat="0" applyFill="0" applyAlignment="0" applyProtection="0"/>
    <xf numFmtId="168" fontId="55" fillId="0" borderId="45" applyNumberFormat="0" applyFill="0" applyAlignment="0" applyProtection="0"/>
    <xf numFmtId="168" fontId="55" fillId="0" borderId="45" applyNumberFormat="0" applyFill="0" applyAlignment="0" applyProtection="0"/>
    <xf numFmtId="169" fontId="55" fillId="0" borderId="45" applyNumberFormat="0" applyFill="0" applyAlignment="0" applyProtection="0"/>
    <xf numFmtId="168" fontId="55" fillId="0" borderId="45" applyNumberFormat="0" applyFill="0" applyAlignment="0" applyProtection="0"/>
    <xf numFmtId="0" fontId="55" fillId="0" borderId="45" applyNumberFormat="0" applyFill="0" applyAlignment="0" applyProtection="0"/>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168" fontId="68"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168" fontId="68"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169" fontId="68"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7" fillId="8" borderId="35"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0" fontId="66" fillId="43" borderId="42" applyNumberFormat="0" applyAlignment="0" applyProtection="0"/>
    <xf numFmtId="168" fontId="68" fillId="43" borderId="42" applyNumberFormat="0" applyAlignment="0" applyProtection="0"/>
    <xf numFmtId="169" fontId="68" fillId="43" borderId="42" applyNumberFormat="0" applyAlignment="0" applyProtection="0"/>
    <xf numFmtId="168" fontId="68" fillId="43" borderId="42" applyNumberFormat="0" applyAlignment="0" applyProtection="0"/>
    <xf numFmtId="168" fontId="68" fillId="43" borderId="42" applyNumberFormat="0" applyAlignment="0" applyProtection="0"/>
    <xf numFmtId="169" fontId="68" fillId="43" borderId="42" applyNumberFormat="0" applyAlignment="0" applyProtection="0"/>
    <xf numFmtId="168" fontId="68" fillId="43" borderId="42" applyNumberFormat="0" applyAlignment="0" applyProtection="0"/>
    <xf numFmtId="168" fontId="68" fillId="43" borderId="42" applyNumberFormat="0" applyAlignment="0" applyProtection="0"/>
    <xf numFmtId="169" fontId="68" fillId="43" borderId="42" applyNumberFormat="0" applyAlignment="0" applyProtection="0"/>
    <xf numFmtId="168" fontId="68" fillId="43" borderId="42" applyNumberFormat="0" applyAlignment="0" applyProtection="0"/>
    <xf numFmtId="168" fontId="68" fillId="43" borderId="42" applyNumberFormat="0" applyAlignment="0" applyProtection="0"/>
    <xf numFmtId="169" fontId="68" fillId="43" borderId="42" applyNumberFormat="0" applyAlignment="0" applyProtection="0"/>
    <xf numFmtId="168" fontId="68" fillId="43" borderId="42" applyNumberFormat="0" applyAlignment="0" applyProtection="0"/>
    <xf numFmtId="0" fontId="66" fillId="43" borderId="42"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8" applyNumberFormat="0" applyFill="0" applyAlignment="0" applyProtection="0"/>
    <xf numFmtId="0" fontId="70" fillId="0" borderId="37" applyNumberFormat="0" applyFill="0" applyAlignment="0" applyProtection="0"/>
    <xf numFmtId="168" fontId="71" fillId="0" borderId="48" applyNumberFormat="0" applyFill="0" applyAlignment="0" applyProtection="0"/>
    <xf numFmtId="168" fontId="71" fillId="0" borderId="48" applyNumberFormat="0" applyFill="0" applyAlignment="0" applyProtection="0"/>
    <xf numFmtId="169" fontId="71" fillId="0" borderId="48" applyNumberFormat="0" applyFill="0" applyAlignment="0" applyProtection="0"/>
    <xf numFmtId="0" fontId="69" fillId="0" borderId="48"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0" fontId="70" fillId="0" borderId="37" applyNumberFormat="0" applyFill="0" applyAlignment="0" applyProtection="0"/>
    <xf numFmtId="168" fontId="71" fillId="0" borderId="48" applyNumberFormat="0" applyFill="0" applyAlignment="0" applyProtection="0"/>
    <xf numFmtId="169" fontId="71" fillId="0" borderId="48" applyNumberFormat="0" applyFill="0" applyAlignment="0" applyProtection="0"/>
    <xf numFmtId="168" fontId="71" fillId="0" borderId="48" applyNumberFormat="0" applyFill="0" applyAlignment="0" applyProtection="0"/>
    <xf numFmtId="168" fontId="71" fillId="0" borderId="48" applyNumberFormat="0" applyFill="0" applyAlignment="0" applyProtection="0"/>
    <xf numFmtId="169" fontId="71" fillId="0" borderId="48" applyNumberFormat="0" applyFill="0" applyAlignment="0" applyProtection="0"/>
    <xf numFmtId="168" fontId="71" fillId="0" borderId="48" applyNumberFormat="0" applyFill="0" applyAlignment="0" applyProtection="0"/>
    <xf numFmtId="168" fontId="71" fillId="0" borderId="48" applyNumberFormat="0" applyFill="0" applyAlignment="0" applyProtection="0"/>
    <xf numFmtId="169" fontId="71" fillId="0" borderId="48" applyNumberFormat="0" applyFill="0" applyAlignment="0" applyProtection="0"/>
    <xf numFmtId="168" fontId="71" fillId="0" borderId="48" applyNumberFormat="0" applyFill="0" applyAlignment="0" applyProtection="0"/>
    <xf numFmtId="168" fontId="71" fillId="0" borderId="48" applyNumberFormat="0" applyFill="0" applyAlignment="0" applyProtection="0"/>
    <xf numFmtId="169" fontId="71" fillId="0" borderId="48" applyNumberFormat="0" applyFill="0" applyAlignment="0" applyProtection="0"/>
    <xf numFmtId="168" fontId="71" fillId="0" borderId="48" applyNumberFormat="0" applyFill="0" applyAlignment="0" applyProtection="0"/>
    <xf numFmtId="0" fontId="69" fillId="0" borderId="4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9"/>
    <xf numFmtId="169" fontId="26" fillId="0" borderId="49"/>
    <xf numFmtId="168" fontId="26" fillId="0" borderId="4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168" fontId="2" fillId="0" borderId="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 fillId="74" borderId="50" applyNumberFormat="0" applyFont="0" applyAlignment="0" applyProtection="0"/>
    <xf numFmtId="0" fontId="27" fillId="74" borderId="50" applyNumberFormat="0" applyFont="0" applyAlignment="0" applyProtection="0"/>
    <xf numFmtId="168" fontId="2" fillId="0" borderId="0"/>
    <xf numFmtId="0" fontId="27" fillId="74" borderId="50" applyNumberFormat="0" applyFont="0" applyAlignment="0" applyProtection="0"/>
    <xf numFmtId="0" fontId="27"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7" fillId="74" borderId="50" applyNumberFormat="0" applyFont="0" applyAlignment="0" applyProtection="0"/>
    <xf numFmtId="0" fontId="2"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169" fontId="2" fillId="0" borderId="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 fillId="74" borderId="50" applyNumberFormat="0" applyFont="0" applyAlignment="0" applyProtection="0"/>
    <xf numFmtId="0" fontId="2" fillId="0" borderId="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8" fillId="11" borderId="39"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7"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168" fontId="2" fillId="0" borderId="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168" fontId="85"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168" fontId="85"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169" fontId="85"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4" fillId="9" borderId="36"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0" fontId="83" fillId="64" borderId="51" applyNumberFormat="0" applyAlignment="0" applyProtection="0"/>
    <xf numFmtId="168" fontId="85" fillId="64" borderId="51" applyNumberFormat="0" applyAlignment="0" applyProtection="0"/>
    <xf numFmtId="169" fontId="85" fillId="64" borderId="51" applyNumberFormat="0" applyAlignment="0" applyProtection="0"/>
    <xf numFmtId="168" fontId="85" fillId="64" borderId="51" applyNumberFormat="0" applyAlignment="0" applyProtection="0"/>
    <xf numFmtId="168" fontId="85" fillId="64" borderId="51" applyNumberFormat="0" applyAlignment="0" applyProtection="0"/>
    <xf numFmtId="169" fontId="85" fillId="64" borderId="51" applyNumberFormat="0" applyAlignment="0" applyProtection="0"/>
    <xf numFmtId="168" fontId="85" fillId="64" borderId="51" applyNumberFormat="0" applyAlignment="0" applyProtection="0"/>
    <xf numFmtId="168" fontId="85" fillId="64" borderId="51" applyNumberFormat="0" applyAlignment="0" applyProtection="0"/>
    <xf numFmtId="169" fontId="85" fillId="64" borderId="51" applyNumberFormat="0" applyAlignment="0" applyProtection="0"/>
    <xf numFmtId="168" fontId="85" fillId="64" borderId="51" applyNumberFormat="0" applyAlignment="0" applyProtection="0"/>
    <xf numFmtId="168" fontId="85" fillId="64" borderId="51" applyNumberFormat="0" applyAlignment="0" applyProtection="0"/>
    <xf numFmtId="169" fontId="85" fillId="64" borderId="51" applyNumberFormat="0" applyAlignment="0" applyProtection="0"/>
    <xf numFmtId="168" fontId="85" fillId="64" borderId="51" applyNumberFormat="0" applyAlignment="0" applyProtection="0"/>
    <xf numFmtId="0" fontId="83" fillId="64" borderId="51"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168" fontId="94"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168" fontId="94"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169" fontId="94"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6" fillId="0" borderId="40"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0" fontId="47" fillId="0" borderId="52" applyNumberFormat="0" applyFill="0" applyAlignment="0" applyProtection="0"/>
    <xf numFmtId="168" fontId="94" fillId="0" borderId="52" applyNumberFormat="0" applyFill="0" applyAlignment="0" applyProtection="0"/>
    <xf numFmtId="169" fontId="94" fillId="0" borderId="52" applyNumberFormat="0" applyFill="0" applyAlignment="0" applyProtection="0"/>
    <xf numFmtId="168" fontId="94" fillId="0" borderId="52" applyNumberFormat="0" applyFill="0" applyAlignment="0" applyProtection="0"/>
    <xf numFmtId="168" fontId="94" fillId="0" borderId="52" applyNumberFormat="0" applyFill="0" applyAlignment="0" applyProtection="0"/>
    <xf numFmtId="169" fontId="94" fillId="0" borderId="52" applyNumberFormat="0" applyFill="0" applyAlignment="0" applyProtection="0"/>
    <xf numFmtId="168" fontId="94" fillId="0" borderId="52" applyNumberFormat="0" applyFill="0" applyAlignment="0" applyProtection="0"/>
    <xf numFmtId="168" fontId="94" fillId="0" borderId="52" applyNumberFormat="0" applyFill="0" applyAlignment="0" applyProtection="0"/>
    <xf numFmtId="169" fontId="94" fillId="0" borderId="52" applyNumberFormat="0" applyFill="0" applyAlignment="0" applyProtection="0"/>
    <xf numFmtId="168" fontId="94" fillId="0" borderId="52" applyNumberFormat="0" applyFill="0" applyAlignment="0" applyProtection="0"/>
    <xf numFmtId="168" fontId="94" fillId="0" borderId="52" applyNumberFormat="0" applyFill="0" applyAlignment="0" applyProtection="0"/>
    <xf numFmtId="169" fontId="94" fillId="0" borderId="52" applyNumberFormat="0" applyFill="0" applyAlignment="0" applyProtection="0"/>
    <xf numFmtId="168" fontId="94" fillId="0" borderId="52" applyNumberFormat="0" applyFill="0" applyAlignment="0" applyProtection="0"/>
    <xf numFmtId="0" fontId="47" fillId="0" borderId="52" applyNumberFormat="0" applyFill="0" applyAlignment="0" applyProtection="0"/>
    <xf numFmtId="0" fontId="25" fillId="0" borderId="53"/>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91" applyNumberFormat="0" applyFill="0" applyAlignment="0" applyProtection="0"/>
    <xf numFmtId="168" fontId="94" fillId="0" borderId="91" applyNumberFormat="0" applyFill="0" applyAlignment="0" applyProtection="0"/>
    <xf numFmtId="169" fontId="94" fillId="0" borderId="91" applyNumberFormat="0" applyFill="0" applyAlignment="0" applyProtection="0"/>
    <xf numFmtId="168" fontId="94" fillId="0" borderId="91" applyNumberFormat="0" applyFill="0" applyAlignment="0" applyProtection="0"/>
    <xf numFmtId="168" fontId="94" fillId="0" borderId="91" applyNumberFormat="0" applyFill="0" applyAlignment="0" applyProtection="0"/>
    <xf numFmtId="169" fontId="94" fillId="0" borderId="91" applyNumberFormat="0" applyFill="0" applyAlignment="0" applyProtection="0"/>
    <xf numFmtId="168" fontId="94" fillId="0" borderId="91" applyNumberFormat="0" applyFill="0" applyAlignment="0" applyProtection="0"/>
    <xf numFmtId="168" fontId="94" fillId="0" borderId="91" applyNumberFormat="0" applyFill="0" applyAlignment="0" applyProtection="0"/>
    <xf numFmtId="169" fontId="94" fillId="0" borderId="91" applyNumberFormat="0" applyFill="0" applyAlignment="0" applyProtection="0"/>
    <xf numFmtId="168" fontId="94" fillId="0" borderId="91" applyNumberFormat="0" applyFill="0" applyAlignment="0" applyProtection="0"/>
    <xf numFmtId="168" fontId="94" fillId="0" borderId="91" applyNumberFormat="0" applyFill="0" applyAlignment="0" applyProtection="0"/>
    <xf numFmtId="169" fontId="94" fillId="0" borderId="91" applyNumberFormat="0" applyFill="0" applyAlignment="0" applyProtection="0"/>
    <xf numFmtId="168" fontId="94"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169" fontId="94"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168" fontId="94"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168" fontId="94"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0" fontId="47" fillId="0" borderId="91" applyNumberFormat="0" applyFill="0" applyAlignment="0" applyProtection="0"/>
    <xf numFmtId="188" fontId="2" fillId="70" borderId="85" applyFont="0">
      <alignment horizontal="right" vertical="center"/>
    </xf>
    <xf numFmtId="3" fontId="2" fillId="70" borderId="85" applyFont="0">
      <alignment horizontal="right" vertical="center"/>
    </xf>
    <xf numFmtId="0" fontId="83" fillId="64" borderId="90" applyNumberFormat="0" applyAlignment="0" applyProtection="0"/>
    <xf numFmtId="168" fontId="85" fillId="64" borderId="90" applyNumberFormat="0" applyAlignment="0" applyProtection="0"/>
    <xf numFmtId="169" fontId="85" fillId="64" borderId="90" applyNumberFormat="0" applyAlignment="0" applyProtection="0"/>
    <xf numFmtId="168" fontId="85" fillId="64" borderId="90" applyNumberFormat="0" applyAlignment="0" applyProtection="0"/>
    <xf numFmtId="168" fontId="85" fillId="64" borderId="90" applyNumberFormat="0" applyAlignment="0" applyProtection="0"/>
    <xf numFmtId="169" fontId="85" fillId="64" borderId="90" applyNumberFormat="0" applyAlignment="0" applyProtection="0"/>
    <xf numFmtId="168" fontId="85" fillId="64" borderId="90" applyNumberFormat="0" applyAlignment="0" applyProtection="0"/>
    <xf numFmtId="168" fontId="85" fillId="64" borderId="90" applyNumberFormat="0" applyAlignment="0" applyProtection="0"/>
    <xf numFmtId="169" fontId="85" fillId="64" borderId="90" applyNumberFormat="0" applyAlignment="0" applyProtection="0"/>
    <xf numFmtId="168" fontId="85" fillId="64" borderId="90" applyNumberFormat="0" applyAlignment="0" applyProtection="0"/>
    <xf numFmtId="168" fontId="85" fillId="64" borderId="90" applyNumberFormat="0" applyAlignment="0" applyProtection="0"/>
    <xf numFmtId="169" fontId="85" fillId="64" borderId="90" applyNumberFormat="0" applyAlignment="0" applyProtection="0"/>
    <xf numFmtId="168" fontId="85"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169" fontId="85"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168" fontId="85"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168" fontId="85"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0" fontId="83" fillId="64" borderId="90" applyNumberFormat="0" applyAlignment="0" applyProtection="0"/>
    <xf numFmtId="3" fontId="2" fillId="75" borderId="85" applyFont="0">
      <alignment horizontal="right" vertical="center"/>
      <protection locked="0"/>
    </xf>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 fillId="74" borderId="89" applyNumberFormat="0" applyFont="0" applyAlignment="0" applyProtection="0"/>
    <xf numFmtId="0" fontId="27" fillId="74" borderId="89" applyNumberFormat="0" applyFont="0" applyAlignment="0" applyProtection="0"/>
    <xf numFmtId="0" fontId="2" fillId="74" borderId="89" applyNumberFormat="0" applyFont="0" applyAlignment="0" applyProtection="0"/>
    <xf numFmtId="0" fontId="2"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0" fontId="27" fillId="74" borderId="89" applyNumberFormat="0" applyFont="0" applyAlignment="0" applyProtection="0"/>
    <xf numFmtId="3" fontId="2" fillId="72" borderId="85" applyFont="0">
      <alignment horizontal="right" vertical="center"/>
      <protection locked="0"/>
    </xf>
    <xf numFmtId="0" fontId="66" fillId="43" borderId="88" applyNumberFormat="0" applyAlignment="0" applyProtection="0"/>
    <xf numFmtId="168" fontId="68" fillId="43" borderId="88" applyNumberFormat="0" applyAlignment="0" applyProtection="0"/>
    <xf numFmtId="169" fontId="68" fillId="43" borderId="88" applyNumberFormat="0" applyAlignment="0" applyProtection="0"/>
    <xf numFmtId="168" fontId="68" fillId="43" borderId="88" applyNumberFormat="0" applyAlignment="0" applyProtection="0"/>
    <xf numFmtId="168" fontId="68" fillId="43" borderId="88" applyNumberFormat="0" applyAlignment="0" applyProtection="0"/>
    <xf numFmtId="169" fontId="68" fillId="43" borderId="88" applyNumberFormat="0" applyAlignment="0" applyProtection="0"/>
    <xf numFmtId="168" fontId="68" fillId="43" borderId="88" applyNumberFormat="0" applyAlignment="0" applyProtection="0"/>
    <xf numFmtId="168" fontId="68" fillId="43" borderId="88" applyNumberFormat="0" applyAlignment="0" applyProtection="0"/>
    <xf numFmtId="169" fontId="68" fillId="43" borderId="88" applyNumberFormat="0" applyAlignment="0" applyProtection="0"/>
    <xf numFmtId="168" fontId="68" fillId="43" borderId="88" applyNumberFormat="0" applyAlignment="0" applyProtection="0"/>
    <xf numFmtId="168" fontId="68" fillId="43" borderId="88" applyNumberFormat="0" applyAlignment="0" applyProtection="0"/>
    <xf numFmtId="169" fontId="68" fillId="43" borderId="88" applyNumberFormat="0" applyAlignment="0" applyProtection="0"/>
    <xf numFmtId="168" fontId="68"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169" fontId="68"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168" fontId="68"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168" fontId="68"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66" fillId="43" borderId="88" applyNumberFormat="0" applyAlignment="0" applyProtection="0"/>
    <xf numFmtId="0" fontId="2" fillId="71" borderId="86" applyNumberFormat="0" applyFont="0" applyBorder="0" applyProtection="0">
      <alignment horizontal="left" vertical="center"/>
    </xf>
    <xf numFmtId="9" fontId="2" fillId="71" borderId="85" applyFont="0" applyProtection="0">
      <alignment horizontal="right" vertical="center"/>
    </xf>
    <xf numFmtId="3" fontId="2" fillId="71" borderId="85" applyFont="0" applyProtection="0">
      <alignment horizontal="right" vertical="center"/>
    </xf>
    <xf numFmtId="0" fontId="62" fillId="70" borderId="86" applyFont="0" applyBorder="0">
      <alignment horizontal="center" wrapText="1"/>
    </xf>
    <xf numFmtId="168" fontId="54" fillId="0" borderId="83">
      <alignment horizontal="left" vertical="center"/>
    </xf>
    <xf numFmtId="0" fontId="54" fillId="0" borderId="83">
      <alignment horizontal="left" vertical="center"/>
    </xf>
    <xf numFmtId="0" fontId="54" fillId="0" borderId="83">
      <alignment horizontal="left" vertical="center"/>
    </xf>
    <xf numFmtId="0" fontId="2" fillId="69" borderId="85" applyNumberFormat="0" applyFont="0" applyBorder="0" applyProtection="0">
      <alignment horizontal="center" vertical="center"/>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6" fillId="0" borderId="85" applyNumberFormat="0" applyAlignment="0">
      <alignment horizontal="right"/>
      <protection locked="0"/>
    </xf>
    <xf numFmtId="0" fontId="38" fillId="64" borderId="88" applyNumberFormat="0" applyAlignment="0" applyProtection="0"/>
    <xf numFmtId="168" fontId="40" fillId="64" borderId="88" applyNumberFormat="0" applyAlignment="0" applyProtection="0"/>
    <xf numFmtId="169" fontId="40" fillId="64" borderId="88" applyNumberFormat="0" applyAlignment="0" applyProtection="0"/>
    <xf numFmtId="168" fontId="40" fillId="64" borderId="88" applyNumberFormat="0" applyAlignment="0" applyProtection="0"/>
    <xf numFmtId="168" fontId="40" fillId="64" borderId="88" applyNumberFormat="0" applyAlignment="0" applyProtection="0"/>
    <xf numFmtId="169" fontId="40" fillId="64" borderId="88" applyNumberFormat="0" applyAlignment="0" applyProtection="0"/>
    <xf numFmtId="168" fontId="40" fillId="64" borderId="88" applyNumberFormat="0" applyAlignment="0" applyProtection="0"/>
    <xf numFmtId="168" fontId="40" fillId="64" borderId="88" applyNumberFormat="0" applyAlignment="0" applyProtection="0"/>
    <xf numFmtId="169" fontId="40" fillId="64" borderId="88" applyNumberFormat="0" applyAlignment="0" applyProtection="0"/>
    <xf numFmtId="168" fontId="40" fillId="64" borderId="88" applyNumberFormat="0" applyAlignment="0" applyProtection="0"/>
    <xf numFmtId="168" fontId="40" fillId="64" borderId="88" applyNumberFormat="0" applyAlignment="0" applyProtection="0"/>
    <xf numFmtId="169" fontId="40" fillId="64" borderId="88" applyNumberFormat="0" applyAlignment="0" applyProtection="0"/>
    <xf numFmtId="168" fontId="40"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169" fontId="40"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168" fontId="40"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168" fontId="40"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38" fillId="64" borderId="88"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595">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8"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1" xfId="0" applyFont="1" applyBorder="1" applyAlignment="1">
      <alignment vertical="center"/>
    </xf>
    <xf numFmtId="0" fontId="9" fillId="0" borderId="24"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3"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8" xfId="0" applyFont="1" applyFill="1" applyBorder="1" applyAlignment="1" applyProtection="1">
      <alignment horizontal="center" vertical="center"/>
    </xf>
    <xf numFmtId="0" fontId="9" fillId="0" borderId="19" xfId="0" applyFont="1" applyFill="1" applyBorder="1" applyProtection="1"/>
    <xf numFmtId="0" fontId="9" fillId="0" borderId="24" xfId="0" applyFont="1" applyFill="1" applyBorder="1" applyAlignment="1" applyProtection="1">
      <alignment horizontal="left" indent="1"/>
    </xf>
    <xf numFmtId="0" fontId="10" fillId="0" borderId="27"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3" xfId="0" applyFont="1" applyBorder="1" applyAlignment="1"/>
    <xf numFmtId="0" fontId="13" fillId="0" borderId="27"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4" xfId="0" applyFont="1" applyBorder="1" applyAlignment="1">
      <alignment wrapText="1"/>
    </xf>
    <xf numFmtId="0" fontId="23" fillId="0" borderId="11" xfId="0" applyFont="1" applyBorder="1" applyAlignment="1">
      <alignment wrapText="1"/>
    </xf>
    <xf numFmtId="0" fontId="18" fillId="0" borderId="11" xfId="0" applyFont="1" applyBorder="1" applyAlignment="1">
      <alignment wrapText="1"/>
    </xf>
    <xf numFmtId="0" fontId="18" fillId="0" borderId="11" xfId="0" applyFont="1" applyBorder="1" applyAlignment="1">
      <alignment horizontal="right" wrapText="1"/>
    </xf>
    <xf numFmtId="0" fontId="23" fillId="0" borderId="12" xfId="0" applyFont="1" applyBorder="1" applyAlignment="1">
      <alignment wrapText="1"/>
    </xf>
    <xf numFmtId="0" fontId="18" fillId="0" borderId="12" xfId="0" applyFont="1" applyBorder="1" applyAlignment="1">
      <alignment horizontal="right" wrapText="1"/>
    </xf>
    <xf numFmtId="0" fontId="22" fillId="36" borderId="15" xfId="0" applyFont="1" applyFill="1" applyBorder="1" applyAlignment="1">
      <alignment wrapText="1"/>
    </xf>
    <xf numFmtId="0" fontId="4" fillId="0" borderId="21"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1"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0" fontId="4" fillId="0" borderId="18" xfId="0" applyFont="1" applyBorder="1"/>
    <xf numFmtId="0" fontId="4" fillId="0" borderId="20" xfId="0" applyFont="1" applyBorder="1"/>
    <xf numFmtId="0" fontId="7" fillId="3" borderId="24" xfId="9" applyFont="1" applyFill="1" applyBorder="1" applyAlignment="1" applyProtection="1">
      <alignment horizontal="left" vertical="center"/>
      <protection locked="0"/>
    </xf>
    <xf numFmtId="0" fontId="15" fillId="3" borderId="26"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7" fillId="0" borderId="0" xfId="11" applyFont="1" applyFill="1" applyBorder="1" applyAlignment="1" applyProtection="1">
      <alignment vertical="center"/>
    </xf>
    <xf numFmtId="0" fontId="4" fillId="0" borderId="21" xfId="0" applyFont="1" applyBorder="1" applyAlignment="1">
      <alignment vertical="center"/>
    </xf>
    <xf numFmtId="0" fontId="9" fillId="2" borderId="24" xfId="0" applyFont="1" applyFill="1" applyBorder="1" applyAlignment="1">
      <alignment horizontal="right" vertical="center"/>
    </xf>
    <xf numFmtId="0" fontId="19" fillId="0" borderId="18" xfId="0" applyFont="1" applyFill="1" applyBorder="1" applyAlignment="1">
      <alignment horizontal="left" vertical="center" indent="1"/>
    </xf>
    <xf numFmtId="0" fontId="19" fillId="0" borderId="19" xfId="0" applyFont="1" applyFill="1" applyBorder="1" applyAlignment="1">
      <alignment horizontal="left" vertical="center"/>
    </xf>
    <xf numFmtId="0" fontId="19" fillId="0" borderId="24" xfId="0" applyFont="1" applyFill="1" applyBorder="1" applyAlignment="1">
      <alignment horizontal="left" vertical="center" indent="1"/>
    </xf>
    <xf numFmtId="0" fontId="20" fillId="0" borderId="25" xfId="0" applyFont="1" applyFill="1" applyBorder="1" applyAlignment="1"/>
    <xf numFmtId="0" fontId="4" fillId="0" borderId="58" xfId="0" applyFont="1" applyBorder="1"/>
    <xf numFmtId="0" fontId="21" fillId="0" borderId="24" xfId="0" applyFont="1" applyBorder="1" applyAlignment="1">
      <alignment horizontal="center" vertical="center" wrapText="1"/>
    </xf>
    <xf numFmtId="0" fontId="4" fillId="0" borderId="59" xfId="0" applyFont="1" applyBorder="1"/>
    <xf numFmtId="0" fontId="7" fillId="0" borderId="18"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0" xfId="2" applyNumberFormat="1" applyFont="1" applyFill="1" applyBorder="1" applyAlignment="1" applyProtection="1">
      <alignment horizontal="center" vertical="center"/>
      <protection locked="0"/>
    </xf>
    <xf numFmtId="0" fontId="7" fillId="0" borderId="21"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1" xfId="9" applyFont="1" applyFill="1" applyBorder="1" applyAlignment="1" applyProtection="1">
      <alignment horizontal="center" vertical="center" wrapText="1"/>
      <protection locked="0"/>
    </xf>
    <xf numFmtId="0" fontId="7" fillId="0" borderId="24" xfId="9" applyFont="1" applyFill="1" applyBorder="1" applyAlignment="1" applyProtection="1">
      <alignment horizontal="center" vertical="center" wrapText="1"/>
      <protection locked="0"/>
    </xf>
    <xf numFmtId="0" fontId="15" fillId="36" borderId="25" xfId="13" applyFont="1" applyFill="1" applyBorder="1" applyAlignment="1" applyProtection="1">
      <alignment vertical="center" wrapText="1"/>
      <protection locked="0"/>
    </xf>
    <xf numFmtId="0" fontId="23" fillId="0" borderId="21" xfId="0" applyFont="1" applyBorder="1" applyAlignment="1">
      <alignment horizontal="center"/>
    </xf>
    <xf numFmtId="167" fontId="23" fillId="0" borderId="67" xfId="0" applyNumberFormat="1" applyFont="1" applyBorder="1" applyAlignment="1">
      <alignment horizontal="center"/>
    </xf>
    <xf numFmtId="167" fontId="23" fillId="0" borderId="65" xfId="0" applyNumberFormat="1" applyFont="1" applyBorder="1" applyAlignment="1">
      <alignment horizontal="center"/>
    </xf>
    <xf numFmtId="167" fontId="18" fillId="0" borderId="65" xfId="0" applyNumberFormat="1" applyFont="1" applyBorder="1" applyAlignment="1">
      <alignment horizontal="center"/>
    </xf>
    <xf numFmtId="167" fontId="23" fillId="0" borderId="68" xfId="0" applyNumberFormat="1" applyFont="1" applyBorder="1" applyAlignment="1">
      <alignment horizontal="center"/>
    </xf>
    <xf numFmtId="167" fontId="22" fillId="36" borderId="60" xfId="0" applyNumberFormat="1" applyFont="1" applyFill="1" applyBorder="1" applyAlignment="1">
      <alignment horizontal="center"/>
    </xf>
    <xf numFmtId="167" fontId="23" fillId="0" borderId="64" xfId="0" applyNumberFormat="1" applyFont="1" applyBorder="1" applyAlignment="1">
      <alignment horizontal="center"/>
    </xf>
    <xf numFmtId="0" fontId="23" fillId="0" borderId="24" xfId="0" applyFont="1" applyBorder="1" applyAlignment="1">
      <alignment horizontal="center"/>
    </xf>
    <xf numFmtId="0" fontId="22" fillId="36" borderId="61" xfId="0" applyFont="1" applyFill="1" applyBorder="1" applyAlignment="1">
      <alignment wrapText="1"/>
    </xf>
    <xf numFmtId="167" fontId="22" fillId="36" borderId="63"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0" fillId="0" borderId="0" xfId="0" applyFont="1" applyFill="1"/>
    <xf numFmtId="0" fontId="4" fillId="0" borderId="69" xfId="0" applyFont="1" applyBorder="1"/>
    <xf numFmtId="0" fontId="4" fillId="0" borderId="19" xfId="0" applyFont="1" applyBorder="1"/>
    <xf numFmtId="0" fontId="4" fillId="0" borderId="24" xfId="0" applyFont="1" applyBorder="1"/>
    <xf numFmtId="0" fontId="7" fillId="3" borderId="22" xfId="13" applyFont="1" applyFill="1" applyBorder="1" applyAlignment="1" applyProtection="1">
      <alignment horizontal="left" vertical="center"/>
      <protection locked="0"/>
    </xf>
    <xf numFmtId="0" fontId="12" fillId="0" borderId="0" xfId="0" applyFont="1" applyAlignment="1"/>
    <xf numFmtId="0" fontId="7" fillId="3" borderId="21" xfId="5" applyFont="1" applyFill="1" applyBorder="1" applyAlignment="1" applyProtection="1">
      <alignment horizontal="right" vertical="center"/>
      <protection locked="0"/>
    </xf>
    <xf numFmtId="0" fontId="15" fillId="3" borderId="25" xfId="16" applyFont="1" applyFill="1" applyBorder="1" applyAlignment="1" applyProtection="1">
      <protection locked="0"/>
    </xf>
    <xf numFmtId="0" fontId="4" fillId="0" borderId="19" xfId="0" applyFont="1" applyBorder="1" applyAlignment="1">
      <alignment wrapText="1"/>
    </xf>
    <xf numFmtId="0" fontId="4" fillId="0" borderId="20" xfId="0" applyFont="1" applyBorder="1" applyAlignment="1">
      <alignment wrapText="1"/>
    </xf>
    <xf numFmtId="0" fontId="6" fillId="0" borderId="25" xfId="0" applyFont="1" applyBorder="1"/>
    <xf numFmtId="0" fontId="9" fillId="3" borderId="21" xfId="5" applyFont="1" applyFill="1" applyBorder="1" applyAlignment="1" applyProtection="1">
      <alignment horizontal="left" vertical="center"/>
      <protection locked="0"/>
    </xf>
    <xf numFmtId="0" fontId="9" fillId="3" borderId="22" xfId="13" applyFont="1" applyFill="1" applyBorder="1" applyAlignment="1" applyProtection="1">
      <alignment horizontal="center" vertical="center" wrapText="1"/>
      <protection locked="0"/>
    </xf>
    <xf numFmtId="0" fontId="9" fillId="3" borderId="21" xfId="5" applyFont="1" applyFill="1" applyBorder="1" applyAlignment="1" applyProtection="1">
      <alignment horizontal="right" vertical="center"/>
      <protection locked="0"/>
    </xf>
    <xf numFmtId="3" fontId="9" fillId="36" borderId="22" xfId="5" applyNumberFormat="1" applyFont="1" applyFill="1" applyBorder="1" applyProtection="1">
      <protection locked="0"/>
    </xf>
    <xf numFmtId="0" fontId="9" fillId="3" borderId="24" xfId="9" applyFont="1" applyFill="1" applyBorder="1" applyAlignment="1" applyProtection="1">
      <alignment horizontal="right" vertical="center"/>
      <protection locked="0"/>
    </xf>
    <xf numFmtId="0" fontId="10" fillId="3" borderId="25" xfId="16" applyFont="1" applyFill="1" applyBorder="1" applyAlignment="1" applyProtection="1">
      <protection locked="0"/>
    </xf>
    <xf numFmtId="3" fontId="10" fillId="36" borderId="25" xfId="16" applyNumberFormat="1" applyFont="1" applyFill="1" applyBorder="1" applyAlignment="1" applyProtection="1">
      <protection locked="0"/>
    </xf>
    <xf numFmtId="164" fontId="10" fillId="36" borderId="26" xfId="1" applyNumberFormat="1" applyFont="1" applyFill="1" applyBorder="1" applyAlignment="1" applyProtection="1">
      <protection locked="0"/>
    </xf>
    <xf numFmtId="0" fontId="4" fillId="0" borderId="58" xfId="0" applyFont="1" applyBorder="1" applyAlignment="1">
      <alignment horizontal="center"/>
    </xf>
    <xf numFmtId="0" fontId="4" fillId="0" borderId="59"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2"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9"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8" xfId="0" applyBorder="1" applyAlignment="1">
      <alignment horizontal="center" vertical="center"/>
    </xf>
    <xf numFmtId="0" fontId="6" fillId="36" borderId="29"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4"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4"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5"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4" xfId="0" applyFont="1" applyFill="1" applyBorder="1" applyAlignment="1">
      <alignment horizontal="center"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6" borderId="65" xfId="0" applyNumberFormat="1" applyFont="1" applyFill="1" applyBorder="1" applyAlignment="1">
      <alignment horizontal="center"/>
    </xf>
    <xf numFmtId="193" fontId="9" fillId="2" borderId="25" xfId="0" applyNumberFormat="1" applyFont="1" applyFill="1" applyBorder="1" applyAlignment="1" applyProtection="1">
      <alignment vertical="center"/>
      <protection locked="0"/>
    </xf>
    <xf numFmtId="193" fontId="23" fillId="0" borderId="33" xfId="0" applyNumberFormat="1" applyFont="1" applyBorder="1" applyAlignment="1">
      <alignment vertical="center"/>
    </xf>
    <xf numFmtId="193" fontId="23" fillId="0" borderId="13" xfId="0" applyNumberFormat="1" applyFont="1" applyBorder="1" applyAlignment="1">
      <alignment vertical="center"/>
    </xf>
    <xf numFmtId="193" fontId="18" fillId="0" borderId="13" xfId="0" applyNumberFormat="1" applyFont="1" applyBorder="1" applyAlignment="1">
      <alignment vertical="center"/>
    </xf>
    <xf numFmtId="193" fontId="23" fillId="0" borderId="14" xfId="0" applyNumberFormat="1" applyFont="1" applyBorder="1" applyAlignment="1">
      <alignment vertical="center"/>
    </xf>
    <xf numFmtId="193" fontId="22" fillId="36" borderId="16" xfId="0" applyNumberFormat="1" applyFont="1" applyFill="1" applyBorder="1" applyAlignment="1">
      <alignment vertical="center"/>
    </xf>
    <xf numFmtId="193" fontId="23" fillId="0" borderId="17" xfId="0" applyNumberFormat="1" applyFont="1" applyBorder="1" applyAlignment="1">
      <alignment vertical="center"/>
    </xf>
    <xf numFmtId="193" fontId="18" fillId="0" borderId="14" xfId="0" applyNumberFormat="1" applyFont="1" applyBorder="1" applyAlignment="1">
      <alignment vertical="center"/>
    </xf>
    <xf numFmtId="193" fontId="22" fillId="36" borderId="62"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5"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5" xfId="1" applyNumberFormat="1" applyFont="1" applyFill="1" applyBorder="1" applyAlignment="1" applyProtection="1">
      <protection locked="0"/>
    </xf>
    <xf numFmtId="193" fontId="9" fillId="3" borderId="25" xfId="5" applyNumberFormat="1" applyFont="1" applyFill="1" applyBorder="1" applyProtection="1">
      <protection locked="0"/>
    </xf>
    <xf numFmtId="193" fontId="23" fillId="0" borderId="0" xfId="0" applyNumberFormat="1" applyFont="1"/>
    <xf numFmtId="0" fontId="4" fillId="0" borderId="28" xfId="0" applyFont="1" applyBorder="1" applyAlignment="1">
      <alignment horizontal="center" vertical="center"/>
    </xf>
    <xf numFmtId="0" fontId="4" fillId="0" borderId="28"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8" xfId="0" applyFont="1" applyFill="1" applyBorder="1" applyAlignment="1">
      <alignment horizontal="right" vertical="center" wrapText="1"/>
    </xf>
    <xf numFmtId="0" fontId="7" fillId="0" borderId="19" xfId="0" applyFont="1" applyFill="1" applyBorder="1" applyAlignment="1">
      <alignment vertical="center" wrapText="1"/>
    </xf>
    <xf numFmtId="169" fontId="26" fillId="37" borderId="0" xfId="20" applyBorder="1"/>
    <xf numFmtId="169" fontId="26" fillId="37" borderId="78" xfId="20" applyBorder="1"/>
    <xf numFmtId="0" fontId="4" fillId="0" borderId="7"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6" fillId="0" borderId="85" xfId="0" applyFont="1" applyFill="1" applyBorder="1" applyAlignment="1">
      <alignment vertical="center"/>
    </xf>
    <xf numFmtId="0" fontId="4" fillId="0" borderId="19" xfId="0" applyFont="1" applyFill="1" applyBorder="1" applyAlignment="1">
      <alignment vertical="center"/>
    </xf>
    <xf numFmtId="0" fontId="4" fillId="0" borderId="80" xfId="0" applyFont="1" applyFill="1" applyBorder="1" applyAlignment="1">
      <alignment vertical="center"/>
    </xf>
    <xf numFmtId="0" fontId="4" fillId="0" borderId="82" xfId="0" applyFont="1" applyFill="1" applyBorder="1" applyAlignment="1">
      <alignment vertical="center"/>
    </xf>
    <xf numFmtId="0" fontId="4" fillId="0" borderId="18"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5" xfId="0" applyFont="1" applyFill="1" applyBorder="1" applyAlignment="1">
      <alignment horizontal="center" vertical="center"/>
    </xf>
    <xf numFmtId="169" fontId="26" fillId="37" borderId="32" xfId="20" applyBorder="1"/>
    <xf numFmtId="169" fontId="26" fillId="37" borderId="97" xfId="20" applyBorder="1"/>
    <xf numFmtId="169" fontId="26" fillId="37" borderId="87" xfId="20" applyBorder="1"/>
    <xf numFmtId="169" fontId="26" fillId="37" borderId="59" xfId="20" applyBorder="1"/>
    <xf numFmtId="0" fontId="4" fillId="3" borderId="69" xfId="0" applyFont="1" applyFill="1" applyBorder="1" applyAlignment="1">
      <alignment horizontal="center" vertical="center"/>
    </xf>
    <xf numFmtId="0" fontId="4" fillId="3" borderId="0" xfId="0" applyFont="1" applyFill="1" applyBorder="1" applyAlignment="1">
      <alignment vertical="center"/>
    </xf>
    <xf numFmtId="0" fontId="4" fillId="0" borderId="75" xfId="0" applyFont="1" applyFill="1" applyBorder="1" applyAlignment="1">
      <alignment horizontal="center" vertical="center"/>
    </xf>
    <xf numFmtId="0" fontId="4" fillId="3" borderId="83" xfId="0" applyFont="1" applyFill="1" applyBorder="1" applyAlignment="1">
      <alignment vertical="center"/>
    </xf>
    <xf numFmtId="0" fontId="14" fillId="3" borderId="98" xfId="0" applyFont="1" applyFill="1" applyBorder="1" applyAlignment="1">
      <alignment horizontal="left"/>
    </xf>
    <xf numFmtId="0" fontId="14" fillId="3" borderId="99" xfId="0" applyFont="1" applyFill="1" applyBorder="1" applyAlignment="1">
      <alignment horizontal="left"/>
    </xf>
    <xf numFmtId="0" fontId="4" fillId="0" borderId="0" xfId="0" applyFont="1"/>
    <xf numFmtId="0" fontId="4" fillId="0" borderId="0" xfId="0" applyFont="1" applyFill="1"/>
    <xf numFmtId="0" fontId="4" fillId="0" borderId="85"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6" fillId="3" borderId="101" xfId="0" applyFont="1" applyFill="1" applyBorder="1" applyAlignment="1">
      <alignment vertical="center"/>
    </xf>
    <xf numFmtId="0" fontId="4" fillId="3" borderId="23" xfId="0" applyFont="1" applyFill="1" applyBorder="1" applyAlignment="1">
      <alignment vertical="center"/>
    </xf>
    <xf numFmtId="0" fontId="4" fillId="0" borderId="102" xfId="0" applyFont="1" applyFill="1" applyBorder="1" applyAlignment="1">
      <alignment horizontal="center" vertical="center"/>
    </xf>
    <xf numFmtId="0" fontId="6" fillId="0" borderId="25" xfId="0" applyFont="1" applyFill="1" applyBorder="1" applyAlignment="1">
      <alignment vertical="center"/>
    </xf>
    <xf numFmtId="169" fontId="26" fillId="37" borderId="27" xfId="20" applyBorder="1"/>
    <xf numFmtId="0" fontId="4" fillId="0" borderId="7"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7" fillId="0" borderId="18" xfId="11" applyFont="1" applyFill="1" applyBorder="1" applyAlignment="1" applyProtection="1">
      <alignment vertical="center"/>
    </xf>
    <xf numFmtId="0" fontId="7" fillId="0" borderId="19" xfId="11" applyFont="1" applyFill="1" applyBorder="1" applyAlignment="1" applyProtection="1">
      <alignment vertical="center"/>
    </xf>
    <xf numFmtId="0" fontId="15" fillId="0" borderId="20" xfId="11" applyFont="1" applyFill="1" applyBorder="1" applyAlignment="1" applyProtection="1">
      <alignment horizontal="center" vertical="center"/>
    </xf>
    <xf numFmtId="0" fontId="0" fillId="0" borderId="102" xfId="0" applyBorder="1"/>
    <xf numFmtId="0" fontId="0" fillId="0" borderId="102" xfId="0" applyBorder="1" applyAlignment="1">
      <alignment horizontal="center"/>
    </xf>
    <xf numFmtId="0" fontId="4" fillId="0" borderId="84" xfId="0" applyFont="1" applyBorder="1" applyAlignment="1">
      <alignment vertical="center" wrapText="1"/>
    </xf>
    <xf numFmtId="0" fontId="14" fillId="0" borderId="84" xfId="0" applyFont="1" applyBorder="1" applyAlignment="1">
      <alignment vertical="center" wrapText="1"/>
    </xf>
    <xf numFmtId="0" fontId="0" fillId="0" borderId="24" xfId="0" applyBorder="1"/>
    <xf numFmtId="0" fontId="6" fillId="36" borderId="103" xfId="0" applyFont="1" applyFill="1" applyBorder="1" applyAlignment="1">
      <alignment vertical="center" wrapText="1"/>
    </xf>
    <xf numFmtId="0" fontId="7" fillId="0" borderId="0" xfId="0" applyFont="1" applyFill="1" applyAlignment="1">
      <alignment wrapText="1"/>
    </xf>
    <xf numFmtId="0" fontId="6" fillId="36" borderId="19" xfId="0" applyFont="1" applyFill="1" applyBorder="1" applyAlignment="1">
      <alignment horizontal="center" vertical="center" wrapText="1"/>
    </xf>
    <xf numFmtId="0" fontId="6" fillId="36" borderId="20" xfId="0" applyFont="1" applyFill="1" applyBorder="1" applyAlignment="1">
      <alignment horizontal="center" vertical="center" wrapText="1"/>
    </xf>
    <xf numFmtId="0" fontId="6" fillId="36" borderId="102" xfId="0" applyFont="1" applyFill="1" applyBorder="1" applyAlignment="1">
      <alignment horizontal="left" vertical="center" wrapText="1"/>
    </xf>
    <xf numFmtId="0" fontId="6" fillId="36" borderId="85" xfId="0" applyFont="1" applyFill="1" applyBorder="1" applyAlignment="1">
      <alignment horizontal="left" vertical="center" wrapText="1"/>
    </xf>
    <xf numFmtId="0" fontId="6" fillId="36" borderId="100" xfId="0" applyFont="1" applyFill="1" applyBorder="1" applyAlignment="1">
      <alignment horizontal="left" vertical="center" wrapText="1"/>
    </xf>
    <xf numFmtId="0" fontId="4" fillId="0" borderId="102" xfId="0" applyFont="1" applyFill="1" applyBorder="1" applyAlignment="1">
      <alignment horizontal="right" vertical="center" wrapText="1"/>
    </xf>
    <xf numFmtId="0" fontId="4" fillId="0" borderId="85" xfId="0" applyFont="1" applyFill="1" applyBorder="1" applyAlignment="1">
      <alignment horizontal="left" vertical="center" wrapText="1"/>
    </xf>
    <xf numFmtId="0" fontId="105" fillId="0" borderId="102" xfId="0" applyFont="1" applyFill="1" applyBorder="1" applyAlignment="1">
      <alignment horizontal="right" vertical="center" wrapText="1"/>
    </xf>
    <xf numFmtId="0" fontId="105" fillId="0" borderId="85" xfId="0" applyFont="1" applyFill="1" applyBorder="1" applyAlignment="1">
      <alignment horizontal="left" vertical="center" wrapText="1"/>
    </xf>
    <xf numFmtId="0" fontId="6" fillId="0" borderId="10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5" fillId="0" borderId="0" xfId="0" applyFont="1" applyFill="1" applyAlignment="1">
      <alignment horizontal="left" vertical="center"/>
    </xf>
    <xf numFmtId="49" fontId="106" fillId="0" borderId="24" xfId="5" applyNumberFormat="1" applyFont="1" applyFill="1" applyBorder="1" applyAlignment="1" applyProtection="1">
      <alignment horizontal="left" vertical="center"/>
      <protection locked="0"/>
    </xf>
    <xf numFmtId="0" fontId="107" fillId="0" borderId="25" xfId="9" applyFont="1" applyFill="1" applyBorder="1" applyAlignment="1" applyProtection="1">
      <alignment horizontal="left" vertical="center" wrapText="1"/>
      <protection locked="0"/>
    </xf>
    <xf numFmtId="0" fontId="21" fillId="0" borderId="102" xfId="0" applyFont="1" applyBorder="1" applyAlignment="1">
      <alignment horizontal="center" vertical="center" wrapText="1"/>
    </xf>
    <xf numFmtId="14" fontId="7" fillId="3" borderId="85" xfId="8" quotePrefix="1" applyNumberFormat="1" applyFont="1" applyFill="1" applyBorder="1" applyAlignment="1" applyProtection="1">
      <alignment horizontal="left" vertical="center" wrapText="1" indent="2"/>
      <protection locked="0"/>
    </xf>
    <xf numFmtId="14" fontId="7" fillId="3" borderId="85" xfId="8" quotePrefix="1" applyNumberFormat="1" applyFont="1" applyFill="1" applyBorder="1" applyAlignment="1" applyProtection="1">
      <alignment horizontal="left" vertical="center" wrapText="1" indent="3"/>
      <protection locked="0"/>
    </xf>
    <xf numFmtId="0" fontId="11" fillId="0" borderId="85" xfId="17" applyFill="1" applyBorder="1" applyAlignment="1" applyProtection="1"/>
    <xf numFmtId="49" fontId="105" fillId="0" borderId="102" xfId="0" applyNumberFormat="1" applyFont="1" applyFill="1" applyBorder="1" applyAlignment="1">
      <alignment horizontal="right" vertical="center" wrapText="1"/>
    </xf>
    <xf numFmtId="0" fontId="7" fillId="3" borderId="85" xfId="20960" applyFont="1" applyFill="1" applyBorder="1" applyAlignment="1" applyProtection="1"/>
    <xf numFmtId="0" fontId="102" fillId="0" borderId="85" xfId="20960" applyFont="1" applyFill="1" applyBorder="1" applyAlignment="1" applyProtection="1">
      <alignment horizontal="center" vertical="center"/>
    </xf>
    <xf numFmtId="0" fontId="4" fillId="0" borderId="85" xfId="0" applyFont="1" applyBorder="1"/>
    <xf numFmtId="0" fontId="11" fillId="0" borderId="85" xfId="17" applyFill="1" applyBorder="1" applyAlignment="1" applyProtection="1">
      <alignment horizontal="left" vertical="center" wrapText="1"/>
    </xf>
    <xf numFmtId="49" fontId="105" fillId="0" borderId="85" xfId="0" applyNumberFormat="1" applyFont="1" applyFill="1" applyBorder="1" applyAlignment="1">
      <alignment horizontal="right" vertical="center" wrapText="1"/>
    </xf>
    <xf numFmtId="0" fontId="11" fillId="0" borderId="85" xfId="17" applyFill="1" applyBorder="1" applyAlignment="1" applyProtection="1">
      <alignment horizontal="left" vertical="center"/>
    </xf>
    <xf numFmtId="0" fontId="11" fillId="0" borderId="85" xfId="17" applyBorder="1" applyAlignment="1" applyProtection="1"/>
    <xf numFmtId="0" fontId="4" fillId="0" borderId="85" xfId="0" applyFont="1" applyFill="1" applyBorder="1"/>
    <xf numFmtId="0" fontId="21" fillId="0" borderId="102" xfId="0" applyFont="1" applyFill="1" applyBorder="1" applyAlignment="1">
      <alignment horizontal="center" vertical="center" wrapText="1"/>
    </xf>
    <xf numFmtId="0" fontId="108" fillId="77" borderId="86" xfId="21412" applyFont="1" applyFill="1" applyBorder="1" applyAlignment="1" applyProtection="1">
      <alignment vertical="center" wrapText="1"/>
      <protection locked="0"/>
    </xf>
    <xf numFmtId="0" fontId="109" fillId="70" borderId="80" xfId="21412" applyFont="1" applyFill="1" applyBorder="1" applyAlignment="1" applyProtection="1">
      <alignment horizontal="center" vertical="center"/>
      <protection locked="0"/>
    </xf>
    <xf numFmtId="0" fontId="108" fillId="78" borderId="85" xfId="21412" applyFont="1" applyFill="1" applyBorder="1" applyAlignment="1" applyProtection="1">
      <alignment horizontal="center" vertical="center"/>
      <protection locked="0"/>
    </xf>
    <xf numFmtId="0" fontId="108" fillId="77" borderId="86" xfId="21412" applyFont="1" applyFill="1" applyBorder="1" applyAlignment="1" applyProtection="1">
      <alignment vertical="center"/>
      <protection locked="0"/>
    </xf>
    <xf numFmtId="0" fontId="110" fillId="70" borderId="80" xfId="21412" applyFont="1" applyFill="1" applyBorder="1" applyAlignment="1" applyProtection="1">
      <alignment horizontal="center" vertical="center"/>
      <protection locked="0"/>
    </xf>
    <xf numFmtId="0" fontId="110" fillId="3" borderId="80" xfId="21412" applyFont="1" applyFill="1" applyBorder="1" applyAlignment="1" applyProtection="1">
      <alignment horizontal="center" vertical="center"/>
      <protection locked="0"/>
    </xf>
    <xf numFmtId="0" fontId="110" fillId="0" borderId="80" xfId="21412" applyFont="1" applyFill="1" applyBorder="1" applyAlignment="1" applyProtection="1">
      <alignment horizontal="center" vertical="center"/>
      <protection locked="0"/>
    </xf>
    <xf numFmtId="0" fontId="111" fillId="78" borderId="85" xfId="21412" applyFont="1" applyFill="1" applyBorder="1" applyAlignment="1" applyProtection="1">
      <alignment horizontal="center" vertical="center"/>
      <protection locked="0"/>
    </xf>
    <xf numFmtId="0" fontId="108" fillId="77" borderId="86" xfId="21412" applyFont="1" applyFill="1" applyBorder="1" applyAlignment="1" applyProtection="1">
      <alignment horizontal="center" vertical="center"/>
      <protection locked="0"/>
    </xf>
    <xf numFmtId="0" fontId="62" fillId="77" borderId="86" xfId="21412" applyFont="1" applyFill="1" applyBorder="1" applyAlignment="1" applyProtection="1">
      <alignment vertical="center"/>
      <protection locked="0"/>
    </xf>
    <xf numFmtId="0" fontId="110" fillId="70" borderId="85" xfId="21412" applyFont="1" applyFill="1" applyBorder="1" applyAlignment="1" applyProtection="1">
      <alignment horizontal="center" vertical="center"/>
      <protection locked="0"/>
    </xf>
    <xf numFmtId="0" fontId="36" fillId="70" borderId="85" xfId="21412" applyFont="1" applyFill="1" applyBorder="1" applyAlignment="1" applyProtection="1">
      <alignment horizontal="center" vertical="center"/>
      <protection locked="0"/>
    </xf>
    <xf numFmtId="0" fontId="62" fillId="77" borderId="84" xfId="21412" applyFont="1" applyFill="1" applyBorder="1" applyAlignment="1" applyProtection="1">
      <alignment vertical="center"/>
      <protection locked="0"/>
    </xf>
    <xf numFmtId="0" fontId="109" fillId="0" borderId="84" xfId="21412" applyFont="1" applyFill="1" applyBorder="1" applyAlignment="1" applyProtection="1">
      <alignment horizontal="left" vertical="center" wrapText="1"/>
      <protection locked="0"/>
    </xf>
    <xf numFmtId="164" fontId="109" fillId="0" borderId="85" xfId="948" applyNumberFormat="1" applyFont="1" applyFill="1" applyBorder="1" applyAlignment="1" applyProtection="1">
      <alignment horizontal="right" vertical="center"/>
      <protection locked="0"/>
    </xf>
    <xf numFmtId="0" fontId="108" fillId="78" borderId="84" xfId="21412" applyFont="1" applyFill="1" applyBorder="1" applyAlignment="1" applyProtection="1">
      <alignment vertical="top" wrapText="1"/>
      <protection locked="0"/>
    </xf>
    <xf numFmtId="164" fontId="109" fillId="78" borderId="85" xfId="948" applyNumberFormat="1" applyFont="1" applyFill="1" applyBorder="1" applyAlignment="1" applyProtection="1">
      <alignment horizontal="right" vertical="center"/>
    </xf>
    <xf numFmtId="164" fontId="62" fillId="77" borderId="84" xfId="948" applyNumberFormat="1" applyFont="1" applyFill="1" applyBorder="1" applyAlignment="1" applyProtection="1">
      <alignment horizontal="right" vertical="center"/>
      <protection locked="0"/>
    </xf>
    <xf numFmtId="0" fontId="109" fillId="70" borderId="84" xfId="21412" applyFont="1" applyFill="1" applyBorder="1" applyAlignment="1" applyProtection="1">
      <alignment vertical="center" wrapText="1"/>
      <protection locked="0"/>
    </xf>
    <xf numFmtId="0" fontId="109" fillId="70" borderId="84" xfId="21412" applyFont="1" applyFill="1" applyBorder="1" applyAlignment="1" applyProtection="1">
      <alignment horizontal="left" vertical="center" wrapText="1"/>
      <protection locked="0"/>
    </xf>
    <xf numFmtId="0" fontId="109" fillId="0" borderId="84" xfId="21412" applyFont="1" applyFill="1" applyBorder="1" applyAlignment="1" applyProtection="1">
      <alignment vertical="center" wrapText="1"/>
      <protection locked="0"/>
    </xf>
    <xf numFmtId="0" fontId="109" fillId="3" borderId="84" xfId="21412" applyFont="1" applyFill="1" applyBorder="1" applyAlignment="1" applyProtection="1">
      <alignment horizontal="left" vertical="center" wrapText="1"/>
      <protection locked="0"/>
    </xf>
    <xf numFmtId="0" fontId="108" fillId="78" borderId="84" xfId="21412" applyFont="1" applyFill="1" applyBorder="1" applyAlignment="1" applyProtection="1">
      <alignment vertical="center" wrapText="1"/>
      <protection locked="0"/>
    </xf>
    <xf numFmtId="164" fontId="108" fillId="77" borderId="84" xfId="948" applyNumberFormat="1" applyFont="1" applyFill="1" applyBorder="1" applyAlignment="1" applyProtection="1">
      <alignment horizontal="right" vertical="center"/>
      <protection locked="0"/>
    </xf>
    <xf numFmtId="164" fontId="109" fillId="3" borderId="85" xfId="948" applyNumberFormat="1" applyFont="1" applyFill="1" applyBorder="1" applyAlignment="1" applyProtection="1">
      <alignment horizontal="right" vertical="center"/>
      <protection locked="0"/>
    </xf>
    <xf numFmtId="1" fontId="6" fillId="36" borderId="100" xfId="0" applyNumberFormat="1" applyFont="1" applyFill="1" applyBorder="1" applyAlignment="1">
      <alignment horizontal="right" vertical="center" wrapText="1"/>
    </xf>
    <xf numFmtId="1" fontId="6" fillId="36" borderId="100" xfId="0" applyNumberFormat="1" applyFont="1" applyFill="1" applyBorder="1" applyAlignment="1">
      <alignment horizontal="center" vertical="center" wrapText="1"/>
    </xf>
    <xf numFmtId="10" fontId="7" fillId="0" borderId="85" xfId="20961" applyNumberFormat="1" applyFont="1" applyFill="1" applyBorder="1" applyAlignment="1">
      <alignment horizontal="left" vertical="center" wrapText="1"/>
    </xf>
    <xf numFmtId="10" fontId="4" fillId="0" borderId="85" xfId="20961" applyNumberFormat="1" applyFont="1" applyFill="1" applyBorder="1" applyAlignment="1">
      <alignment horizontal="left" vertical="center" wrapText="1"/>
    </xf>
    <xf numFmtId="10" fontId="6" fillId="36" borderId="85" xfId="0" applyNumberFormat="1" applyFont="1" applyFill="1" applyBorder="1" applyAlignment="1">
      <alignment horizontal="left" vertical="center" wrapText="1"/>
    </xf>
    <xf numFmtId="10" fontId="105" fillId="0" borderId="85" xfId="20961" applyNumberFormat="1" applyFont="1" applyFill="1" applyBorder="1" applyAlignment="1">
      <alignment horizontal="left" vertical="center" wrapText="1"/>
    </xf>
    <xf numFmtId="10" fontId="6" fillId="36" borderId="85" xfId="20961" applyNumberFormat="1" applyFont="1" applyFill="1" applyBorder="1" applyAlignment="1">
      <alignment horizontal="left" vertical="center" wrapText="1"/>
    </xf>
    <xf numFmtId="10" fontId="6" fillId="36" borderId="85" xfId="0" applyNumberFormat="1" applyFont="1" applyFill="1" applyBorder="1" applyAlignment="1">
      <alignment horizontal="center" vertical="center" wrapText="1"/>
    </xf>
    <xf numFmtId="10" fontId="107" fillId="0" borderId="25" xfId="20961" applyNumberFormat="1" applyFont="1" applyFill="1" applyBorder="1" applyAlignment="1" applyProtection="1">
      <alignment horizontal="left" vertical="center"/>
    </xf>
    <xf numFmtId="0" fontId="104" fillId="0" borderId="0" xfId="0" applyFont="1" applyAlignment="1">
      <alignment wrapText="1"/>
    </xf>
    <xf numFmtId="0" fontId="10" fillId="0" borderId="28" xfId="0" applyFont="1" applyBorder="1" applyAlignment="1">
      <alignment horizontal="center" wrapText="1"/>
    </xf>
    <xf numFmtId="0" fontId="10" fillId="0" borderId="8" xfId="0" applyFont="1" applyBorder="1" applyAlignment="1">
      <alignment horizontal="center" vertical="center" wrapText="1"/>
    </xf>
    <xf numFmtId="0" fontId="9" fillId="0" borderId="102" xfId="0" applyFont="1" applyBorder="1" applyAlignment="1">
      <alignment horizontal="right" vertical="center" wrapText="1"/>
    </xf>
    <xf numFmtId="0" fontId="9" fillId="0" borderId="102" xfId="0" applyFont="1" applyFill="1" applyBorder="1" applyAlignment="1">
      <alignment horizontal="right" vertical="center" wrapText="1"/>
    </xf>
    <xf numFmtId="0" fontId="7" fillId="0" borderId="85" xfId="0" applyFont="1" applyFill="1" applyBorder="1" applyAlignment="1">
      <alignment vertical="center" wrapText="1"/>
    </xf>
    <xf numFmtId="0" fontId="4" fillId="0" borderId="85" xfId="0" applyFont="1" applyBorder="1" applyAlignment="1">
      <alignment vertical="center" wrapText="1"/>
    </xf>
    <xf numFmtId="0" fontId="4" fillId="0" borderId="85" xfId="0" applyFont="1" applyFill="1" applyBorder="1" applyAlignment="1">
      <alignment horizontal="left" vertical="center" wrapText="1" indent="2"/>
    </xf>
    <xf numFmtId="0" fontId="4" fillId="0" borderId="85" xfId="0" applyFont="1" applyFill="1" applyBorder="1" applyAlignment="1">
      <alignment vertical="center" wrapText="1"/>
    </xf>
    <xf numFmtId="0" fontId="6" fillId="0" borderId="25" xfId="0" applyFont="1" applyBorder="1" applyAlignment="1">
      <alignment vertical="center" wrapText="1"/>
    </xf>
    <xf numFmtId="0" fontId="4" fillId="0" borderId="100" xfId="0" applyFont="1" applyBorder="1" applyAlignment="1"/>
    <xf numFmtId="0" fontId="9" fillId="0" borderId="100" xfId="0" applyFont="1" applyBorder="1" applyAlignment="1"/>
    <xf numFmtId="0" fontId="9" fillId="0" borderId="100" xfId="0" applyFont="1" applyBorder="1" applyAlignment="1">
      <alignment wrapText="1"/>
    </xf>
    <xf numFmtId="0" fontId="10" fillId="0" borderId="20" xfId="0" applyFont="1" applyBorder="1" applyAlignment="1">
      <alignment horizontal="center"/>
    </xf>
    <xf numFmtId="0" fontId="10" fillId="0" borderId="100" xfId="0" applyFont="1" applyBorder="1" applyAlignment="1">
      <alignment horizontal="center" vertical="center" wrapText="1"/>
    </xf>
    <xf numFmtId="0" fontId="9" fillId="0" borderId="102"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16" fillId="0" borderId="85" xfId="0" applyFont="1" applyFill="1" applyBorder="1" applyAlignment="1">
      <alignment horizontal="left" vertical="center" wrapText="1"/>
    </xf>
    <xf numFmtId="0" fontId="7" fillId="0" borderId="85" xfId="0" applyFont="1" applyBorder="1" applyAlignment="1">
      <alignment vertical="center" wrapText="1"/>
    </xf>
    <xf numFmtId="0" fontId="9" fillId="2" borderId="102" xfId="0" applyFont="1" applyFill="1" applyBorder="1" applyAlignment="1">
      <alignment horizontal="right" vertical="center"/>
    </xf>
    <xf numFmtId="0" fontId="9" fillId="2" borderId="85" xfId="0" applyFont="1" applyFill="1" applyBorder="1" applyAlignment="1">
      <alignment vertical="center"/>
    </xf>
    <xf numFmtId="193" fontId="9" fillId="2" borderId="85" xfId="0" applyNumberFormat="1" applyFont="1" applyFill="1" applyBorder="1" applyAlignment="1" applyProtection="1">
      <alignment vertical="center"/>
      <protection locked="0"/>
    </xf>
    <xf numFmtId="0" fontId="15" fillId="0" borderId="102" xfId="0" applyFont="1" applyFill="1" applyBorder="1" applyAlignment="1">
      <alignment horizontal="center" vertical="center" wrapText="1"/>
    </xf>
    <xf numFmtId="0" fontId="9" fillId="2" borderId="93" xfId="0" applyFont="1" applyFill="1" applyBorder="1" applyAlignment="1">
      <alignment horizontal="right" vertical="center"/>
    </xf>
    <xf numFmtId="0" fontId="9" fillId="2" borderId="80" xfId="0" applyFont="1" applyFill="1" applyBorder="1" applyAlignment="1">
      <alignment vertical="center"/>
    </xf>
    <xf numFmtId="0" fontId="9" fillId="0" borderId="85" xfId="0" applyFont="1" applyFill="1" applyBorder="1" applyAlignment="1">
      <alignment horizontal="left" vertical="center" wrapText="1"/>
    </xf>
    <xf numFmtId="0" fontId="112" fillId="0" borderId="85" xfId="0" applyFont="1" applyBorder="1"/>
    <xf numFmtId="0" fontId="113" fillId="0" borderId="85" xfId="17" applyFont="1" applyBorder="1" applyAlignment="1" applyProtection="1"/>
    <xf numFmtId="0" fontId="10" fillId="0" borderId="0" xfId="11" applyFont="1" applyFill="1" applyBorder="1" applyProtection="1"/>
    <xf numFmtId="0" fontId="114" fillId="0" borderId="0" xfId="0" applyFont="1"/>
    <xf numFmtId="179" fontId="114" fillId="0" borderId="0" xfId="0" applyNumberFormat="1" applyFont="1" applyAlignment="1">
      <alignment horizontal="left"/>
    </xf>
    <xf numFmtId="0" fontId="115" fillId="0" borderId="19" xfId="0" applyNumberFormat="1" applyFont="1" applyFill="1" applyBorder="1" applyAlignment="1">
      <alignment horizontal="center" vertical="center" wrapText="1"/>
    </xf>
    <xf numFmtId="0" fontId="115" fillId="0" borderId="20" xfId="0" applyNumberFormat="1" applyFont="1" applyFill="1" applyBorder="1" applyAlignment="1">
      <alignment horizontal="center" vertical="center" wrapText="1"/>
    </xf>
    <xf numFmtId="193" fontId="2" fillId="0" borderId="85" xfId="0" applyNumberFormat="1" applyFont="1" applyFill="1" applyBorder="1" applyAlignment="1" applyProtection="1">
      <alignment vertical="center" wrapText="1"/>
      <protection locked="0"/>
    </xf>
    <xf numFmtId="193" fontId="116" fillId="0" borderId="85" xfId="0" applyNumberFormat="1" applyFont="1" applyFill="1" applyBorder="1" applyAlignment="1" applyProtection="1">
      <alignment vertical="center" wrapText="1"/>
      <protection locked="0"/>
    </xf>
    <xf numFmtId="193" fontId="116" fillId="0" borderId="100" xfId="0" applyNumberFormat="1" applyFont="1" applyFill="1" applyBorder="1" applyAlignment="1" applyProtection="1">
      <alignment vertical="center" wrapText="1"/>
      <protection locked="0"/>
    </xf>
    <xf numFmtId="169" fontId="2" fillId="37" borderId="0" xfId="20" applyFont="1" applyBorder="1"/>
    <xf numFmtId="169" fontId="2" fillId="37" borderId="78" xfId="20" applyFont="1" applyBorder="1"/>
    <xf numFmtId="193" fontId="2" fillId="0" borderId="85" xfId="0" applyNumberFormat="1" applyFont="1" applyFill="1" applyBorder="1" applyAlignment="1" applyProtection="1">
      <alignment horizontal="right" vertical="center" wrapText="1"/>
      <protection locked="0"/>
    </xf>
    <xf numFmtId="193" fontId="62" fillId="0" borderId="85" xfId="0" applyNumberFormat="1" applyFont="1" applyFill="1" applyBorder="1" applyAlignment="1" applyProtection="1">
      <alignment horizontal="right" vertical="center" wrapText="1"/>
      <protection locked="0"/>
    </xf>
    <xf numFmtId="10" fontId="2" fillId="0" borderId="85" xfId="20961" applyNumberFormat="1" applyFont="1" applyBorder="1" applyAlignment="1" applyProtection="1">
      <alignment horizontal="right" vertical="center" wrapText="1"/>
      <protection locked="0"/>
    </xf>
    <xf numFmtId="10" fontId="116" fillId="0" borderId="85" xfId="20961" applyNumberFormat="1" applyFont="1" applyBorder="1" applyAlignment="1" applyProtection="1">
      <alignment vertical="center" wrapText="1"/>
      <protection locked="0"/>
    </xf>
    <xf numFmtId="10" fontId="116" fillId="0" borderId="100" xfId="20961" applyNumberFormat="1" applyFont="1" applyBorder="1" applyAlignment="1" applyProtection="1">
      <alignment vertical="center" wrapText="1"/>
      <protection locked="0"/>
    </xf>
    <xf numFmtId="10" fontId="2" fillId="2" borderId="85" xfId="20961" applyNumberFormat="1" applyFont="1" applyFill="1" applyBorder="1" applyAlignment="1" applyProtection="1">
      <alignment vertical="center"/>
      <protection locked="0"/>
    </xf>
    <xf numFmtId="10" fontId="117" fillId="2" borderId="85" xfId="20961" applyNumberFormat="1" applyFont="1" applyFill="1" applyBorder="1" applyAlignment="1" applyProtection="1">
      <alignment vertical="center"/>
      <protection locked="0"/>
    </xf>
    <xf numFmtId="10" fontId="117" fillId="2" borderId="100" xfId="20961" applyNumberFormat="1" applyFont="1" applyFill="1" applyBorder="1" applyAlignment="1" applyProtection="1">
      <alignment vertical="center"/>
      <protection locked="0"/>
    </xf>
    <xf numFmtId="10" fontId="118" fillId="0" borderId="85" xfId="20961" applyNumberFormat="1" applyFont="1" applyFill="1" applyBorder="1" applyAlignment="1" applyProtection="1">
      <alignment horizontal="center" vertical="center" wrapText="1"/>
      <protection locked="0"/>
    </xf>
    <xf numFmtId="10" fontId="116" fillId="0" borderId="85" xfId="20961" applyNumberFormat="1" applyFont="1" applyFill="1" applyBorder="1" applyAlignment="1" applyProtection="1">
      <alignment horizontal="center" vertical="center" wrapText="1"/>
      <protection locked="0"/>
    </xf>
    <xf numFmtId="10" fontId="116" fillId="0" borderId="100" xfId="20961" applyNumberFormat="1" applyFont="1" applyFill="1" applyBorder="1" applyAlignment="1" applyProtection="1">
      <alignment horizontal="center" vertical="center" wrapText="1"/>
      <protection locked="0"/>
    </xf>
    <xf numFmtId="193" fontId="2" fillId="2" borderId="85" xfId="0" applyNumberFormat="1" applyFont="1" applyFill="1" applyBorder="1" applyAlignment="1" applyProtection="1">
      <alignment vertical="center"/>
      <protection locked="0"/>
    </xf>
    <xf numFmtId="193" fontId="117" fillId="2" borderId="85" xfId="0" applyNumberFormat="1" applyFont="1" applyFill="1" applyBorder="1" applyAlignment="1" applyProtection="1">
      <alignment vertical="center"/>
      <protection locked="0"/>
    </xf>
    <xf numFmtId="193" fontId="117" fillId="2" borderId="100" xfId="0" applyNumberFormat="1" applyFont="1" applyFill="1" applyBorder="1" applyAlignment="1" applyProtection="1">
      <alignment vertical="center"/>
      <protection locked="0"/>
    </xf>
    <xf numFmtId="10" fontId="2" fillId="2" borderId="80" xfId="20961" applyNumberFormat="1" applyFont="1" applyFill="1" applyBorder="1" applyAlignment="1" applyProtection="1">
      <alignment vertical="center"/>
      <protection locked="0"/>
    </xf>
    <xf numFmtId="10" fontId="117" fillId="2" borderId="80" xfId="20961" applyNumberFormat="1" applyFont="1" applyFill="1" applyBorder="1" applyAlignment="1" applyProtection="1">
      <alignment vertical="center"/>
      <protection locked="0"/>
    </xf>
    <xf numFmtId="10" fontId="117" fillId="2" borderId="94" xfId="20961" applyNumberFormat="1" applyFont="1" applyFill="1" applyBorder="1" applyAlignment="1" applyProtection="1">
      <alignment vertical="center"/>
      <protection locked="0"/>
    </xf>
    <xf numFmtId="193" fontId="2" fillId="2" borderId="80" xfId="0" applyNumberFormat="1" applyFont="1" applyFill="1" applyBorder="1" applyAlignment="1" applyProtection="1">
      <alignment vertical="center"/>
      <protection locked="0"/>
    </xf>
    <xf numFmtId="193" fontId="117" fillId="2" borderId="80" xfId="0" applyNumberFormat="1" applyFont="1" applyFill="1" applyBorder="1" applyAlignment="1" applyProtection="1">
      <alignment vertical="center"/>
      <protection locked="0"/>
    </xf>
    <xf numFmtId="193" fontId="117" fillId="2" borderId="9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0" fontId="117" fillId="2" borderId="25" xfId="20961" applyNumberFormat="1" applyFont="1" applyFill="1" applyBorder="1" applyAlignment="1" applyProtection="1">
      <alignment vertical="center"/>
      <protection locked="0"/>
    </xf>
    <xf numFmtId="10" fontId="117" fillId="2" borderId="26" xfId="20961" applyNumberFormat="1" applyFont="1" applyFill="1" applyBorder="1" applyAlignment="1" applyProtection="1">
      <alignment vertical="center"/>
      <protection locked="0"/>
    </xf>
    <xf numFmtId="0" fontId="9" fillId="0" borderId="102" xfId="0" applyFont="1" applyFill="1" applyBorder="1" applyAlignment="1" applyProtection="1">
      <alignment horizontal="left" indent="1"/>
    </xf>
    <xf numFmtId="0" fontId="10" fillId="0" borderId="86" xfId="0" applyFont="1" applyFill="1" applyBorder="1" applyAlignment="1" applyProtection="1">
      <alignment horizontal="center"/>
    </xf>
    <xf numFmtId="0" fontId="9" fillId="0" borderId="85" xfId="0" applyFont="1" applyFill="1" applyBorder="1" applyAlignment="1" applyProtection="1">
      <alignment horizontal="center" vertical="center" wrapText="1"/>
    </xf>
    <xf numFmtId="0" fontId="9" fillId="0" borderId="100" xfId="0" applyFont="1" applyFill="1" applyBorder="1" applyAlignment="1" applyProtection="1">
      <alignment horizontal="center" vertical="center" wrapText="1"/>
    </xf>
    <xf numFmtId="0" fontId="9" fillId="0" borderId="86" xfId="0" applyFont="1" applyFill="1" applyBorder="1" applyAlignment="1" applyProtection="1">
      <alignment horizontal="left" indent="1"/>
    </xf>
    <xf numFmtId="164" fontId="7" fillId="0" borderId="85" xfId="7" applyNumberFormat="1" applyFont="1" applyFill="1" applyBorder="1" applyAlignment="1" applyProtection="1">
      <alignment horizontal="right"/>
    </xf>
    <xf numFmtId="164" fontId="15" fillId="36" borderId="85" xfId="7" applyNumberFormat="1" applyFont="1" applyFill="1" applyBorder="1" applyAlignment="1" applyProtection="1">
      <alignment horizontal="right"/>
    </xf>
    <xf numFmtId="164" fontId="7" fillId="0" borderId="84" xfId="7" applyNumberFormat="1" applyFont="1" applyFill="1" applyBorder="1" applyAlignment="1" applyProtection="1">
      <alignment horizontal="right"/>
    </xf>
    <xf numFmtId="164" fontId="15" fillId="36" borderId="100" xfId="7" applyNumberFormat="1" applyFont="1" applyFill="1" applyBorder="1" applyAlignment="1" applyProtection="1">
      <alignment horizontal="right"/>
    </xf>
    <xf numFmtId="0" fontId="9" fillId="0" borderId="86" xfId="0" applyFont="1" applyFill="1" applyBorder="1" applyAlignment="1" applyProtection="1">
      <alignment horizontal="left" indent="2"/>
    </xf>
    <xf numFmtId="38" fontId="7" fillId="0" borderId="85" xfId="7" applyNumberFormat="1" applyFont="1" applyFill="1" applyBorder="1" applyAlignment="1" applyProtection="1">
      <alignment horizontal="right"/>
    </xf>
    <xf numFmtId="38" fontId="15" fillId="36" borderId="85" xfId="7" applyNumberFormat="1" applyFont="1" applyFill="1" applyBorder="1" applyAlignment="1" applyProtection="1">
      <alignment horizontal="right"/>
    </xf>
    <xf numFmtId="38" fontId="7" fillId="0" borderId="84" xfId="7" applyNumberFormat="1" applyFont="1" applyFill="1" applyBorder="1" applyAlignment="1" applyProtection="1">
      <alignment horizontal="right"/>
    </xf>
    <xf numFmtId="38" fontId="15" fillId="36" borderId="100" xfId="7" applyNumberFormat="1" applyFont="1" applyFill="1" applyBorder="1" applyAlignment="1" applyProtection="1">
      <alignment horizontal="right"/>
    </xf>
    <xf numFmtId="0" fontId="10" fillId="0" borderId="86" xfId="0" applyFont="1" applyFill="1" applyBorder="1" applyAlignment="1" applyProtection="1"/>
    <xf numFmtId="164" fontId="7" fillId="0" borderId="85" xfId="7" applyNumberFormat="1" applyFont="1" applyFill="1" applyBorder="1" applyAlignment="1" applyProtection="1">
      <alignment horizontal="right"/>
      <protection locked="0"/>
    </xf>
    <xf numFmtId="164" fontId="7" fillId="0" borderId="84" xfId="7" applyNumberFormat="1" applyFont="1" applyFill="1" applyBorder="1" applyAlignment="1" applyProtection="1">
      <alignment horizontal="right"/>
      <protection locked="0"/>
    </xf>
    <xf numFmtId="164" fontId="7" fillId="0" borderId="100" xfId="7" applyNumberFormat="1" applyFont="1" applyFill="1" applyBorder="1" applyAlignment="1" applyProtection="1">
      <alignment horizontal="right"/>
    </xf>
    <xf numFmtId="164" fontId="15" fillId="0" borderId="85" xfId="7" applyNumberFormat="1" applyFont="1" applyFill="1" applyBorder="1" applyAlignment="1" applyProtection="1">
      <alignment horizontal="right"/>
    </xf>
    <xf numFmtId="164" fontId="15" fillId="0" borderId="84" xfId="7" applyNumberFormat="1" applyFont="1" applyFill="1" applyBorder="1" applyAlignment="1" applyProtection="1">
      <alignment horizontal="right"/>
    </xf>
    <xf numFmtId="164" fontId="15" fillId="36" borderId="2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0" fontId="19" fillId="0" borderId="102" xfId="0" applyFont="1" applyFill="1" applyBorder="1" applyAlignment="1">
      <alignment horizontal="left" vertical="center" indent="1"/>
    </xf>
    <xf numFmtId="0" fontId="19" fillId="0" borderId="85" xfId="0" applyFont="1" applyFill="1" applyBorder="1" applyAlignment="1">
      <alignment horizontal="left" vertical="center"/>
    </xf>
    <xf numFmtId="0" fontId="19" fillId="0" borderId="85" xfId="0" applyFont="1" applyFill="1" applyBorder="1" applyAlignment="1">
      <alignment horizontal="center" vertical="center" wrapText="1"/>
    </xf>
    <xf numFmtId="0" fontId="19" fillId="0" borderId="100" xfId="0" applyFont="1" applyFill="1" applyBorder="1" applyAlignment="1">
      <alignment horizontal="center" vertical="center" wrapText="1"/>
    </xf>
    <xf numFmtId="0" fontId="19" fillId="0" borderId="102" xfId="0" applyFont="1" applyFill="1" applyBorder="1" applyAlignment="1">
      <alignment horizontal="left" indent="1"/>
    </xf>
    <xf numFmtId="0" fontId="20" fillId="0" borderId="85" xfId="0" applyFont="1" applyFill="1" applyBorder="1" applyAlignment="1">
      <alignment horizontal="center"/>
    </xf>
    <xf numFmtId="38" fontId="19" fillId="0" borderId="85" xfId="0" applyNumberFormat="1" applyFont="1" applyFill="1" applyBorder="1" applyAlignment="1" applyProtection="1">
      <alignment horizontal="right"/>
      <protection locked="0"/>
    </xf>
    <xf numFmtId="38" fontId="19" fillId="0" borderId="100" xfId="0" applyNumberFormat="1" applyFont="1" applyFill="1" applyBorder="1" applyAlignment="1" applyProtection="1">
      <alignment horizontal="right"/>
      <protection locked="0"/>
    </xf>
    <xf numFmtId="0" fontId="19" fillId="0" borderId="85" xfId="0" applyFont="1" applyFill="1" applyBorder="1" applyAlignment="1">
      <alignment horizontal="left" wrapText="1" indent="1"/>
    </xf>
    <xf numFmtId="38" fontId="7" fillId="0" borderId="49" xfId="0" applyNumberFormat="1" applyFont="1" applyFill="1" applyBorder="1" applyAlignment="1" applyProtection="1">
      <alignment horizontal="right"/>
      <protection locked="0"/>
    </xf>
    <xf numFmtId="38" fontId="7" fillId="0" borderId="85" xfId="0" applyNumberFormat="1" applyFont="1" applyFill="1" applyBorder="1" applyAlignment="1" applyProtection="1">
      <alignment horizontal="right"/>
      <protection locked="0"/>
    </xf>
    <xf numFmtId="38" fontId="15" fillId="36" borderId="85" xfId="0" applyNumberFormat="1" applyFont="1" applyFill="1" applyBorder="1" applyAlignment="1">
      <alignment horizontal="right"/>
    </xf>
    <xf numFmtId="0" fontId="19" fillId="0" borderId="85" xfId="0" applyFont="1" applyFill="1" applyBorder="1" applyAlignment="1">
      <alignment horizontal="left" wrapText="1" indent="2"/>
    </xf>
    <xf numFmtId="0" fontId="20" fillId="0" borderId="85" xfId="0" applyFont="1" applyFill="1" applyBorder="1" applyAlignment="1"/>
    <xf numFmtId="38" fontId="7" fillId="0" borderId="100" xfId="7" applyNumberFormat="1" applyFont="1" applyFill="1" applyBorder="1" applyAlignment="1" applyProtection="1">
      <alignment horizontal="right"/>
    </xf>
    <xf numFmtId="0" fontId="20" fillId="0" borderId="85" xfId="0" applyFont="1" applyFill="1" applyBorder="1" applyAlignment="1">
      <alignment horizontal="left"/>
    </xf>
    <xf numFmtId="38" fontId="15" fillId="0" borderId="85" xfId="0" applyNumberFormat="1" applyFont="1" applyFill="1" applyBorder="1" applyAlignment="1">
      <alignment horizontal="center"/>
    </xf>
    <xf numFmtId="38" fontId="15" fillId="0" borderId="100" xfId="0" applyNumberFormat="1" applyFont="1" applyFill="1" applyBorder="1" applyAlignment="1">
      <alignment horizontal="center"/>
    </xf>
    <xf numFmtId="0" fontId="19" fillId="0" borderId="85" xfId="0" applyFont="1" applyFill="1" applyBorder="1" applyAlignment="1">
      <alignment horizontal="left" indent="1"/>
    </xf>
    <xf numFmtId="38" fontId="15" fillId="36" borderId="85" xfId="0" applyNumberFormat="1" applyFont="1" applyFill="1" applyBorder="1" applyAlignment="1" applyProtection="1">
      <alignment horizontal="right"/>
    </xf>
    <xf numFmtId="38" fontId="7" fillId="0" borderId="100" xfId="0" applyNumberFormat="1" applyFont="1" applyFill="1" applyBorder="1" applyAlignment="1" applyProtection="1">
      <alignment horizontal="right"/>
      <protection locked="0"/>
    </xf>
    <xf numFmtId="38" fontId="15" fillId="36" borderId="85" xfId="7" applyNumberFormat="1" applyFont="1" applyFill="1" applyBorder="1" applyAlignment="1" applyProtection="1"/>
    <xf numFmtId="38" fontId="7" fillId="0" borderId="85" xfId="0" applyNumberFormat="1" applyFont="1" applyFill="1" applyBorder="1" applyAlignment="1" applyProtection="1">
      <protection locked="0"/>
    </xf>
    <xf numFmtId="38" fontId="15" fillId="36" borderId="100" xfId="7" applyNumberFormat="1" applyFont="1" applyFill="1" applyBorder="1" applyAlignment="1" applyProtection="1"/>
    <xf numFmtId="0" fontId="20" fillId="0" borderId="85" xfId="0" applyFont="1" applyFill="1" applyBorder="1" applyAlignment="1">
      <alignment horizontal="left" indent="1"/>
    </xf>
    <xf numFmtId="0" fontId="20" fillId="0" borderId="85" xfId="0" applyFont="1" applyFill="1" applyBorder="1" applyAlignment="1">
      <alignment horizontal="center" vertical="center" wrapText="1"/>
    </xf>
    <xf numFmtId="38" fontId="7" fillId="0" borderId="85" xfId="0" applyNumberFormat="1" applyFont="1" applyFill="1" applyBorder="1" applyAlignment="1" applyProtection="1">
      <alignment horizontal="right" vertical="center"/>
      <protection locked="0"/>
    </xf>
    <xf numFmtId="38" fontId="15" fillId="36" borderId="25" xfId="0" applyNumberFormat="1" applyFont="1" applyFill="1" applyBorder="1" applyAlignment="1">
      <alignment horizontal="right"/>
    </xf>
    <xf numFmtId="38" fontId="15" fillId="36" borderId="25" xfId="7" applyNumberFormat="1" applyFont="1" applyFill="1" applyBorder="1" applyAlignment="1" applyProtection="1">
      <alignment horizontal="right"/>
    </xf>
    <xf numFmtId="38" fontId="15" fillId="36" borderId="26" xfId="7" applyNumberFormat="1" applyFont="1" applyFill="1" applyBorder="1" applyAlignment="1" applyProtection="1">
      <alignment horizontal="right"/>
    </xf>
    <xf numFmtId="0" fontId="15" fillId="0" borderId="84" xfId="0" applyNumberFormat="1" applyFont="1" applyFill="1" applyBorder="1" applyAlignment="1">
      <alignment vertical="center" wrapText="1"/>
    </xf>
    <xf numFmtId="0" fontId="7" fillId="0" borderId="84" xfId="0" applyNumberFormat="1" applyFont="1" applyFill="1" applyBorder="1" applyAlignment="1">
      <alignment horizontal="left" vertical="center" wrapText="1"/>
    </xf>
    <xf numFmtId="38" fontId="7" fillId="0" borderId="85" xfId="0" applyNumberFormat="1" applyFont="1" applyFill="1" applyBorder="1" applyAlignment="1" applyProtection="1">
      <alignment horizontal="right"/>
    </xf>
    <xf numFmtId="38" fontId="15" fillId="78" borderId="85" xfId="0" applyNumberFormat="1" applyFont="1" applyFill="1" applyBorder="1" applyAlignment="1" applyProtection="1">
      <alignment horizontal="right"/>
    </xf>
    <xf numFmtId="0" fontId="17" fillId="0" borderId="84" xfId="0" applyFont="1" applyFill="1" applyBorder="1" applyAlignment="1" applyProtection="1">
      <alignment horizontal="left" vertical="center" indent="1"/>
      <protection locked="0"/>
    </xf>
    <xf numFmtId="0" fontId="17" fillId="0" borderId="84" xfId="0" applyFont="1" applyFill="1" applyBorder="1" applyAlignment="1" applyProtection="1">
      <alignment horizontal="left" vertical="center"/>
      <protection locked="0"/>
    </xf>
    <xf numFmtId="0" fontId="15" fillId="0" borderId="103" xfId="0" applyNumberFormat="1" applyFont="1" applyFill="1" applyBorder="1" applyAlignment="1">
      <alignment vertical="center" wrapText="1"/>
    </xf>
    <xf numFmtId="38" fontId="15" fillId="36" borderId="25" xfId="0" applyNumberFormat="1" applyFont="1" applyFill="1" applyBorder="1" applyAlignment="1" applyProtection="1">
      <alignment horizontal="right"/>
    </xf>
    <xf numFmtId="38" fontId="6" fillId="36" borderId="85" xfId="7" applyNumberFormat="1" applyFont="1" applyFill="1" applyBorder="1" applyAlignment="1">
      <alignment vertical="center" wrapText="1"/>
    </xf>
    <xf numFmtId="38" fontId="6" fillId="36" borderId="100" xfId="7" applyNumberFormat="1" applyFont="1" applyFill="1" applyBorder="1" applyAlignment="1">
      <alignment vertical="center" wrapText="1"/>
    </xf>
    <xf numFmtId="38" fontId="6" fillId="0" borderId="85" xfId="7" applyNumberFormat="1" applyFont="1" applyBorder="1" applyAlignment="1">
      <alignment vertical="center" wrapText="1"/>
    </xf>
    <xf numFmtId="38" fontId="6" fillId="0" borderId="100" xfId="7" applyNumberFormat="1" applyFont="1" applyBorder="1" applyAlignment="1">
      <alignment vertical="center" wrapText="1"/>
    </xf>
    <xf numFmtId="38" fontId="6" fillId="0" borderId="85" xfId="7" applyNumberFormat="1" applyFont="1" applyFill="1" applyBorder="1" applyAlignment="1">
      <alignment vertical="center" wrapText="1"/>
    </xf>
    <xf numFmtId="38" fontId="6" fillId="0" borderId="100" xfId="7" applyNumberFormat="1" applyFont="1" applyFill="1" applyBorder="1" applyAlignment="1">
      <alignment vertical="center" wrapText="1"/>
    </xf>
    <xf numFmtId="38" fontId="6" fillId="36" borderId="25"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0" fontId="119" fillId="0" borderId="1" xfId="0" applyFont="1" applyFill="1" applyBorder="1" applyAlignment="1">
      <alignment horizontal="center"/>
    </xf>
    <xf numFmtId="0" fontId="13" fillId="0" borderId="86" xfId="0" applyFont="1" applyBorder="1" applyAlignment="1">
      <alignment wrapText="1"/>
    </xf>
    <xf numFmtId="9" fontId="4" fillId="0" borderId="23" xfId="0" applyNumberFormat="1" applyFont="1" applyBorder="1" applyAlignment="1"/>
    <xf numFmtId="0" fontId="9" fillId="0" borderId="102" xfId="0" applyFont="1" applyBorder="1" applyAlignment="1">
      <alignment vertical="center"/>
    </xf>
    <xf numFmtId="10" fontId="4" fillId="0" borderId="23" xfId="20961" applyNumberFormat="1" applyFont="1" applyFill="1" applyBorder="1" applyAlignment="1"/>
    <xf numFmtId="10" fontId="4" fillId="0" borderId="41" xfId="20961" applyNumberFormat="1" applyFont="1" applyFill="1" applyBorder="1" applyAlignment="1"/>
    <xf numFmtId="193" fontId="116" fillId="0" borderId="100" xfId="0" applyNumberFormat="1" applyFont="1" applyFill="1" applyBorder="1" applyAlignment="1">
      <alignment horizontal="center" vertical="center"/>
    </xf>
    <xf numFmtId="193" fontId="120" fillId="36" borderId="26" xfId="0" applyNumberFormat="1" applyFont="1" applyFill="1" applyBorder="1" applyAlignment="1">
      <alignment horizontal="center" vertical="center"/>
    </xf>
    <xf numFmtId="193" fontId="116" fillId="0" borderId="85" xfId="0" applyNumberFormat="1" applyFont="1" applyFill="1" applyBorder="1" applyAlignment="1">
      <alignment horizontal="center" vertical="center"/>
    </xf>
    <xf numFmtId="193" fontId="121" fillId="0" borderId="85" xfId="0" applyNumberFormat="1" applyFont="1" applyFill="1" applyBorder="1" applyAlignment="1">
      <alignment horizontal="center" vertical="center"/>
    </xf>
    <xf numFmtId="193" fontId="120" fillId="36" borderId="25" xfId="0" applyNumberFormat="1" applyFont="1" applyFill="1" applyBorder="1" applyAlignment="1">
      <alignment horizontal="center" vertical="center"/>
    </xf>
    <xf numFmtId="193" fontId="120" fillId="36" borderId="20" xfId="0" applyNumberFormat="1" applyFont="1" applyFill="1" applyBorder="1" applyAlignment="1">
      <alignment horizontal="center" vertical="center"/>
    </xf>
    <xf numFmtId="193" fontId="116" fillId="0" borderId="100" xfId="0" applyNumberFormat="1" applyFont="1" applyBorder="1" applyAlignment="1"/>
    <xf numFmtId="193" fontId="116" fillId="0" borderId="100" xfId="0" applyNumberFormat="1" applyFont="1" applyBorder="1" applyAlignment="1">
      <alignment wrapText="1"/>
    </xf>
    <xf numFmtId="193" fontId="120" fillId="36" borderId="100" xfId="0" applyNumberFormat="1" applyFont="1" applyFill="1" applyBorder="1" applyAlignment="1">
      <alignment horizontal="center" vertical="center" wrapText="1"/>
    </xf>
    <xf numFmtId="193" fontId="120" fillId="0" borderId="100" xfId="0" applyNumberFormat="1" applyFont="1" applyBorder="1" applyAlignment="1">
      <alignment wrapText="1"/>
    </xf>
    <xf numFmtId="193" fontId="120" fillId="36" borderId="26" xfId="0" applyNumberFormat="1" applyFont="1" applyFill="1" applyBorder="1" applyAlignment="1">
      <alignment horizontal="center" vertical="center" wrapText="1"/>
    </xf>
    <xf numFmtId="38" fontId="15" fillId="36" borderId="100" xfId="2" applyNumberFormat="1" applyFont="1" applyFill="1" applyBorder="1" applyAlignment="1" applyProtection="1">
      <alignment vertical="top"/>
    </xf>
    <xf numFmtId="38" fontId="7" fillId="3" borderId="100" xfId="2" applyNumberFormat="1" applyFont="1" applyFill="1" applyBorder="1" applyAlignment="1" applyProtection="1">
      <alignment vertical="top"/>
      <protection locked="0"/>
    </xf>
    <xf numFmtId="38" fontId="15" fillId="36" borderId="100" xfId="2" applyNumberFormat="1" applyFont="1" applyFill="1" applyBorder="1" applyAlignment="1" applyProtection="1">
      <alignment vertical="top" wrapText="1"/>
    </xf>
    <xf numFmtId="38" fontId="7" fillId="3" borderId="100" xfId="2" applyNumberFormat="1" applyFont="1" applyFill="1" applyBorder="1" applyAlignment="1" applyProtection="1">
      <alignment vertical="top" wrapText="1"/>
      <protection locked="0"/>
    </xf>
    <xf numFmtId="38" fontId="15" fillId="36" borderId="100" xfId="2" applyNumberFormat="1" applyFont="1" applyFill="1" applyBorder="1" applyAlignment="1" applyProtection="1">
      <alignment vertical="top" wrapText="1"/>
      <protection locked="0"/>
    </xf>
    <xf numFmtId="38" fontId="15" fillId="36" borderId="26" xfId="2" applyNumberFormat="1" applyFont="1" applyFill="1" applyBorder="1" applyAlignment="1" applyProtection="1">
      <alignment vertical="top" wrapText="1"/>
    </xf>
    <xf numFmtId="164" fontId="4" fillId="0" borderId="100" xfId="7" applyNumberFormat="1" applyFont="1" applyFill="1" applyBorder="1" applyAlignment="1">
      <alignment horizontal="right" vertical="center" wrapText="1"/>
    </xf>
    <xf numFmtId="164" fontId="105" fillId="0" borderId="100" xfId="7" applyNumberFormat="1" applyFont="1" applyFill="1" applyBorder="1" applyAlignment="1">
      <alignment horizontal="right" vertical="center" wrapText="1"/>
    </xf>
    <xf numFmtId="164" fontId="6" fillId="36" borderId="100" xfId="7" applyNumberFormat="1" applyFont="1" applyFill="1" applyBorder="1" applyAlignment="1">
      <alignment horizontal="right" vertical="center" wrapText="1"/>
    </xf>
    <xf numFmtId="164" fontId="7" fillId="0" borderId="26" xfId="7" applyNumberFormat="1" applyFont="1" applyFill="1" applyBorder="1" applyAlignment="1" applyProtection="1">
      <alignment horizontal="right" vertical="center"/>
    </xf>
    <xf numFmtId="10" fontId="105" fillId="0" borderId="80" xfId="20961" applyNumberFormat="1" applyFont="1" applyFill="1" applyBorder="1" applyAlignment="1">
      <alignment horizontal="left" vertical="center" wrapText="1"/>
    </xf>
    <xf numFmtId="0" fontId="122" fillId="0" borderId="0" xfId="0" applyFont="1" applyFill="1"/>
    <xf numFmtId="193" fontId="116" fillId="36" borderId="13" xfId="0" applyNumberFormat="1" applyFont="1" applyFill="1" applyBorder="1" applyAlignment="1">
      <alignment vertical="center"/>
    </xf>
    <xf numFmtId="193" fontId="116" fillId="0" borderId="13" xfId="0" applyNumberFormat="1" applyFont="1" applyBorder="1" applyAlignment="1">
      <alignment vertical="center"/>
    </xf>
    <xf numFmtId="193" fontId="116" fillId="0" borderId="85" xfId="0" applyNumberFormat="1" applyFont="1" applyBorder="1" applyAlignment="1"/>
    <xf numFmtId="167" fontId="120" fillId="36" borderId="85" xfId="0" applyNumberFormat="1" applyFont="1" applyFill="1" applyBorder="1"/>
    <xf numFmtId="193" fontId="123" fillId="36" borderId="25" xfId="0" applyNumberFormat="1" applyFont="1" applyFill="1" applyBorder="1"/>
    <xf numFmtId="167" fontId="120" fillId="36" borderId="25" xfId="0" applyNumberFormat="1" applyFont="1" applyFill="1" applyBorder="1"/>
    <xf numFmtId="193" fontId="116" fillId="0" borderId="102" xfId="0" applyNumberFormat="1" applyFont="1" applyBorder="1" applyAlignment="1"/>
    <xf numFmtId="193" fontId="120" fillId="0" borderId="23" xfId="0" applyNumberFormat="1" applyFont="1" applyBorder="1" applyAlignment="1"/>
    <xf numFmtId="193" fontId="120" fillId="36" borderId="105" xfId="0" applyNumberFormat="1" applyFont="1" applyFill="1" applyBorder="1" applyAlignment="1"/>
    <xf numFmtId="193" fontId="120" fillId="36" borderId="24" xfId="0" applyNumberFormat="1" applyFont="1" applyFill="1" applyBorder="1"/>
    <xf numFmtId="193" fontId="120" fillId="36" borderId="25" xfId="0" applyNumberFormat="1" applyFont="1" applyFill="1" applyBorder="1"/>
    <xf numFmtId="193" fontId="120" fillId="36" borderId="26" xfId="0" applyNumberFormat="1" applyFont="1" applyFill="1" applyBorder="1"/>
    <xf numFmtId="193" fontId="120" fillId="36" borderId="56" xfId="0" applyNumberFormat="1" applyFont="1" applyFill="1" applyBorder="1"/>
    <xf numFmtId="9" fontId="122" fillId="0" borderId="100" xfId="20961" applyFont="1" applyBorder="1"/>
    <xf numFmtId="9" fontId="122" fillId="36" borderId="26" xfId="20961" applyFont="1" applyFill="1" applyBorder="1"/>
    <xf numFmtId="193" fontId="4" fillId="0" borderId="85" xfId="0" applyNumberFormat="1" applyFont="1" applyBorder="1"/>
    <xf numFmtId="193" fontId="4" fillId="0" borderId="85" xfId="0" applyNumberFormat="1" applyFont="1" applyFill="1" applyBorder="1"/>
    <xf numFmtId="193" fontId="4" fillId="0" borderId="86" xfId="0" applyNumberFormat="1" applyFont="1" applyBorder="1"/>
    <xf numFmtId="193" fontId="122" fillId="36" borderId="25" xfId="0" applyNumberFormat="1" applyFont="1" applyFill="1" applyBorder="1"/>
    <xf numFmtId="0" fontId="4" fillId="3" borderId="101" xfId="0" applyFont="1" applyFill="1" applyBorder="1" applyAlignment="1">
      <alignment vertical="center"/>
    </xf>
    <xf numFmtId="169" fontId="26" fillId="37" borderId="69" xfId="20" applyBorder="1"/>
    <xf numFmtId="194" fontId="4" fillId="0" borderId="101" xfId="7" applyNumberFormat="1" applyFont="1" applyFill="1" applyBorder="1" applyAlignment="1">
      <alignment vertical="center"/>
    </xf>
    <xf numFmtId="194" fontId="4" fillId="0" borderId="57" xfId="7" applyNumberFormat="1" applyFont="1" applyFill="1" applyBorder="1" applyAlignment="1">
      <alignment vertical="center"/>
    </xf>
    <xf numFmtId="194" fontId="6" fillId="0" borderId="100" xfId="7" applyNumberFormat="1" applyFont="1" applyFill="1" applyBorder="1" applyAlignment="1">
      <alignment vertical="center"/>
    </xf>
    <xf numFmtId="194" fontId="4" fillId="0" borderId="83" xfId="7" applyNumberFormat="1" applyFont="1" applyFill="1" applyBorder="1" applyAlignment="1">
      <alignment vertical="center"/>
    </xf>
    <xf numFmtId="194" fontId="4" fillId="0" borderId="85" xfId="7" applyNumberFormat="1" applyFont="1" applyFill="1" applyBorder="1" applyAlignment="1">
      <alignment vertical="center"/>
    </xf>
    <xf numFmtId="194" fontId="4" fillId="0" borderId="102" xfId="7" applyNumberFormat="1" applyFont="1" applyFill="1" applyBorder="1" applyAlignment="1">
      <alignment vertical="center"/>
    </xf>
    <xf numFmtId="0" fontId="4" fillId="0" borderId="102" xfId="0" applyFont="1" applyFill="1" applyBorder="1" applyAlignment="1">
      <alignment vertical="center"/>
    </xf>
    <xf numFmtId="0" fontId="4" fillId="0" borderId="84" xfId="0" applyFont="1" applyFill="1" applyBorder="1" applyAlignment="1">
      <alignment vertical="center"/>
    </xf>
    <xf numFmtId="194" fontId="6" fillId="0" borderId="102" xfId="0" applyNumberFormat="1" applyFont="1" applyFill="1" applyBorder="1" applyAlignment="1">
      <alignment vertical="center"/>
    </xf>
    <xf numFmtId="194" fontId="6" fillId="0" borderId="83" xfId="0" applyNumberFormat="1" applyFont="1" applyFill="1" applyBorder="1" applyAlignment="1">
      <alignment vertical="center"/>
    </xf>
    <xf numFmtId="194" fontId="6" fillId="0" borderId="101" xfId="0" applyNumberFormat="1" applyFont="1" applyFill="1" applyBorder="1" applyAlignment="1">
      <alignment vertical="center"/>
    </xf>
    <xf numFmtId="194" fontId="6" fillId="0" borderId="85" xfId="0" applyNumberFormat="1" applyFont="1" applyFill="1" applyBorder="1" applyAlignment="1">
      <alignment vertical="center"/>
    </xf>
    <xf numFmtId="194" fontId="4" fillId="0" borderId="86" xfId="7" applyNumberFormat="1" applyFont="1" applyFill="1" applyBorder="1" applyAlignment="1">
      <alignment vertical="center"/>
    </xf>
    <xf numFmtId="194" fontId="4" fillId="0" borderId="84" xfId="7" applyNumberFormat="1" applyFont="1" applyFill="1" applyBorder="1" applyAlignment="1">
      <alignment vertical="center"/>
    </xf>
    <xf numFmtId="194" fontId="6" fillId="0" borderId="24" xfId="0" applyNumberFormat="1" applyFont="1" applyFill="1" applyBorder="1" applyAlignment="1">
      <alignment vertical="center"/>
    </xf>
    <xf numFmtId="194" fontId="6" fillId="0" borderId="97" xfId="0" applyNumberFormat="1" applyFont="1" applyFill="1" applyBorder="1" applyAlignment="1">
      <alignment vertical="center"/>
    </xf>
    <xf numFmtId="194" fontId="6" fillId="0" borderId="26" xfId="7" applyNumberFormat="1" applyFont="1" applyFill="1" applyBorder="1" applyAlignment="1">
      <alignment vertical="center"/>
    </xf>
    <xf numFmtId="194" fontId="6" fillId="0" borderId="106" xfId="0" applyNumberFormat="1" applyFont="1" applyFill="1" applyBorder="1" applyAlignment="1">
      <alignment vertical="center"/>
    </xf>
    <xf numFmtId="194" fontId="6" fillId="0" borderId="25" xfId="0"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28" xfId="7" applyNumberFormat="1" applyFont="1" applyFill="1" applyBorder="1" applyAlignment="1">
      <alignment vertical="center"/>
    </xf>
    <xf numFmtId="194" fontId="6" fillId="0" borderId="20" xfId="7" applyNumberFormat="1" applyFont="1" applyFill="1" applyBorder="1" applyAlignment="1">
      <alignment vertical="center"/>
    </xf>
    <xf numFmtId="194" fontId="4" fillId="0" borderId="98" xfId="0" applyNumberFormat="1" applyFont="1" applyFill="1" applyBorder="1" applyAlignment="1">
      <alignment vertical="center"/>
    </xf>
    <xf numFmtId="194" fontId="4" fillId="0" borderId="81" xfId="7" applyNumberFormat="1" applyFont="1" applyFill="1" applyBorder="1" applyAlignment="1">
      <alignment vertical="center"/>
    </xf>
    <xf numFmtId="194" fontId="6" fillId="0" borderId="94" xfId="7" applyNumberFormat="1" applyFont="1" applyFill="1" applyBorder="1" applyAlignment="1">
      <alignment vertical="center"/>
    </xf>
    <xf numFmtId="43" fontId="4" fillId="0" borderId="98" xfId="0" applyNumberFormat="1" applyFont="1" applyFill="1" applyBorder="1" applyAlignment="1">
      <alignment vertical="center"/>
    </xf>
    <xf numFmtId="164" fontId="4" fillId="0" borderId="25" xfId="0" applyNumberFormat="1" applyFont="1" applyFill="1" applyBorder="1" applyAlignment="1">
      <alignment vertical="center"/>
    </xf>
    <xf numFmtId="10" fontId="6" fillId="0" borderId="107" xfId="20961" applyNumberFormat="1" applyFont="1" applyFill="1" applyBorder="1" applyAlignment="1">
      <alignment vertical="center"/>
    </xf>
    <xf numFmtId="10" fontId="6" fillId="0" borderId="79" xfId="20961" applyNumberFormat="1" applyFont="1" applyFill="1" applyBorder="1" applyAlignment="1">
      <alignment vertical="center"/>
    </xf>
    <xf numFmtId="10" fontId="6" fillId="0" borderId="96" xfId="20961" applyNumberFormat="1" applyFont="1" applyFill="1" applyBorder="1" applyAlignment="1">
      <alignment vertical="center"/>
    </xf>
    <xf numFmtId="164" fontId="109" fillId="0" borderId="85" xfId="7" applyNumberFormat="1" applyFont="1" applyFill="1" applyBorder="1" applyAlignment="1" applyProtection="1">
      <alignment horizontal="right" vertical="center"/>
      <protection locked="0"/>
    </xf>
    <xf numFmtId="10" fontId="124" fillId="78" borderId="85" xfId="20961" applyNumberFormat="1" applyFont="1" applyFill="1" applyBorder="1" applyAlignment="1" applyProtection="1">
      <alignment horizontal="right" vertical="center"/>
    </xf>
    <xf numFmtId="0" fontId="103" fillId="0" borderId="72" xfId="0" applyFont="1" applyBorder="1" applyAlignment="1">
      <alignment horizontal="left" vertical="center" wrapText="1"/>
    </xf>
    <xf numFmtId="0" fontId="103" fillId="0" borderId="71" xfId="0" applyFont="1" applyBorder="1" applyAlignment="1">
      <alignment horizontal="left" vertical="center" wrapText="1"/>
    </xf>
    <xf numFmtId="0" fontId="9" fillId="0" borderId="28" xfId="0" applyFont="1" applyFill="1" applyBorder="1" applyAlignment="1" applyProtection="1">
      <alignment horizontal="center"/>
    </xf>
    <xf numFmtId="0" fontId="9" fillId="0" borderId="29"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0" xfId="0" applyFont="1" applyFill="1" applyBorder="1" applyAlignment="1" applyProtection="1">
      <alignment horizontal="center"/>
    </xf>
    <xf numFmtId="0" fontId="6" fillId="0" borderId="4" xfId="0" applyFont="1" applyBorder="1" applyAlignment="1">
      <alignment horizontal="center" vertical="center"/>
    </xf>
    <xf numFmtId="0" fontId="6" fillId="0" borderId="75"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9" xfId="0" applyFont="1" applyFill="1" applyBorder="1" applyAlignment="1" applyProtection="1">
      <alignment horizontal="center"/>
    </xf>
    <xf numFmtId="0" fontId="10" fillId="0" borderId="20" xfId="0" applyFont="1" applyFill="1" applyBorder="1" applyAlignment="1" applyProtection="1">
      <alignment horizontal="center"/>
    </xf>
    <xf numFmtId="0" fontId="13" fillId="0" borderId="3" xfId="0" applyFont="1" applyBorder="1" applyAlignment="1">
      <alignment wrapText="1"/>
    </xf>
    <xf numFmtId="0" fontId="4" fillId="0" borderId="22" xfId="0" applyFont="1" applyBorder="1" applyAlignment="1"/>
    <xf numFmtId="0" fontId="10" fillId="0" borderId="8" xfId="0" applyFont="1" applyBorder="1" applyAlignment="1">
      <alignment horizontal="center" vertical="center" wrapText="1"/>
    </xf>
    <xf numFmtId="0" fontId="10" fillId="0" borderId="23" xfId="0" applyFont="1" applyBorder="1" applyAlignment="1">
      <alignment horizontal="center" vertical="center" wrapText="1"/>
    </xf>
    <xf numFmtId="0" fontId="4" fillId="0" borderId="85" xfId="0" applyFont="1" applyFill="1" applyBorder="1" applyAlignment="1">
      <alignment horizontal="center" vertical="center" wrapText="1"/>
    </xf>
    <xf numFmtId="0" fontId="4" fillId="0" borderId="86" xfId="0" applyFont="1" applyFill="1" applyBorder="1" applyAlignment="1">
      <alignment horizontal="center"/>
    </xf>
    <xf numFmtId="0" fontId="4" fillId="0" borderId="23" xfId="0" applyFont="1" applyFill="1" applyBorder="1" applyAlignment="1">
      <alignment horizontal="center"/>
    </xf>
    <xf numFmtId="0" fontId="6" fillId="36" borderId="104" xfId="0"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101" xfId="0" applyFont="1" applyFill="1" applyBorder="1" applyAlignment="1">
      <alignment horizontal="center" vertical="center" wrapText="1"/>
    </xf>
    <xf numFmtId="0" fontId="6" fillId="36" borderId="84" xfId="0" applyFont="1" applyFill="1" applyBorder="1" applyAlignment="1">
      <alignment horizontal="center" vertical="center" wrapText="1"/>
    </xf>
    <xf numFmtId="0" fontId="101" fillId="3" borderId="73" xfId="13" applyFont="1" applyFill="1" applyBorder="1" applyAlignment="1" applyProtection="1">
      <alignment horizontal="center" vertical="center" wrapText="1"/>
      <protection locked="0"/>
    </xf>
    <xf numFmtId="0" fontId="101" fillId="3" borderId="7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8" xfId="1" applyNumberFormat="1" applyFont="1" applyFill="1" applyBorder="1" applyAlignment="1" applyProtection="1">
      <alignment horizontal="center"/>
      <protection locked="0"/>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164" fontId="15" fillId="0" borderId="76" xfId="1" applyNumberFormat="1" applyFont="1" applyFill="1" applyBorder="1" applyAlignment="1" applyProtection="1">
      <alignment horizontal="center" vertical="center" wrapText="1"/>
      <protection locked="0"/>
    </xf>
    <xf numFmtId="164" fontId="15" fillId="0" borderId="77"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14" fillId="0" borderId="58" xfId="0" applyFont="1" applyFill="1" applyBorder="1" applyAlignment="1">
      <alignment horizontal="left" vertical="center"/>
    </xf>
    <xf numFmtId="0" fontId="14" fillId="0" borderId="59" xfId="0" applyFont="1" applyFill="1" applyBorder="1" applyAlignment="1">
      <alignment horizontal="left" vertical="center"/>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4"/>
  <sheetViews>
    <sheetView showGridLines="0" tabSelected="1" workbookViewId="0">
      <pane xSplit="1" ySplit="7" topLeftCell="B17" activePane="bottomRight" state="frozen"/>
      <selection pane="topRight" activeCell="B1" sqref="B1"/>
      <selection pane="bottomLeft" activeCell="A8" sqref="A8"/>
      <selection pane="bottomRight" activeCell="C2" sqref="C2"/>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00">
        <v>1</v>
      </c>
      <c r="B2" s="162" t="s">
        <v>255</v>
      </c>
      <c r="C2" s="363" t="s">
        <v>501</v>
      </c>
    </row>
    <row r="3" spans="1:3" s="161" customFormat="1" ht="15.75">
      <c r="A3" s="200">
        <v>2</v>
      </c>
      <c r="B3" s="163" t="s">
        <v>256</v>
      </c>
      <c r="C3" s="363" t="s">
        <v>502</v>
      </c>
    </row>
    <row r="4" spans="1:3" s="161" customFormat="1" ht="15.75">
      <c r="A4" s="200">
        <v>3</v>
      </c>
      <c r="B4" s="163" t="s">
        <v>257</v>
      </c>
      <c r="C4" s="363" t="s">
        <v>503</v>
      </c>
    </row>
    <row r="5" spans="1:3" s="161" customFormat="1" ht="15.75">
      <c r="A5" s="201">
        <v>4</v>
      </c>
      <c r="B5" s="166" t="s">
        <v>258</v>
      </c>
      <c r="C5" s="364" t="s">
        <v>504</v>
      </c>
    </row>
    <row r="6" spans="1:3" s="165" customFormat="1" ht="65.25" customHeight="1">
      <c r="A6" s="548" t="s">
        <v>373</v>
      </c>
      <c r="B6" s="549"/>
      <c r="C6" s="549"/>
    </row>
    <row r="7" spans="1:3">
      <c r="A7" s="294" t="s">
        <v>327</v>
      </c>
      <c r="B7" s="295" t="s">
        <v>259</v>
      </c>
    </row>
    <row r="8" spans="1:3">
      <c r="A8" s="296">
        <v>1</v>
      </c>
      <c r="B8" s="292" t="s">
        <v>223</v>
      </c>
    </row>
    <row r="9" spans="1:3">
      <c r="A9" s="296">
        <v>2</v>
      </c>
      <c r="B9" s="292" t="s">
        <v>260</v>
      </c>
    </row>
    <row r="10" spans="1:3">
      <c r="A10" s="296">
        <v>3</v>
      </c>
      <c r="B10" s="292" t="s">
        <v>261</v>
      </c>
    </row>
    <row r="11" spans="1:3">
      <c r="A11" s="296">
        <v>4</v>
      </c>
      <c r="B11" s="292" t="s">
        <v>262</v>
      </c>
      <c r="C11" s="160"/>
    </row>
    <row r="12" spans="1:3">
      <c r="A12" s="296">
        <v>5</v>
      </c>
      <c r="B12" s="292" t="s">
        <v>187</v>
      </c>
    </row>
    <row r="13" spans="1:3">
      <c r="A13" s="296">
        <v>6</v>
      </c>
      <c r="B13" s="297" t="s">
        <v>149</v>
      </c>
    </row>
    <row r="14" spans="1:3">
      <c r="A14" s="296">
        <v>7</v>
      </c>
      <c r="B14" s="292" t="s">
        <v>263</v>
      </c>
    </row>
    <row r="15" spans="1:3">
      <c r="A15" s="296">
        <v>8</v>
      </c>
      <c r="B15" s="292" t="s">
        <v>266</v>
      </c>
    </row>
    <row r="16" spans="1:3">
      <c r="A16" s="296">
        <v>9</v>
      </c>
      <c r="B16" s="292" t="s">
        <v>88</v>
      </c>
    </row>
    <row r="17" spans="1:2">
      <c r="A17" s="298" t="s">
        <v>420</v>
      </c>
      <c r="B17" s="292" t="s">
        <v>400</v>
      </c>
    </row>
    <row r="18" spans="1:2">
      <c r="A18" s="296">
        <v>10</v>
      </c>
      <c r="B18" s="292" t="s">
        <v>269</v>
      </c>
    </row>
    <row r="19" spans="1:2">
      <c r="A19" s="296">
        <v>11</v>
      </c>
      <c r="B19" s="297" t="s">
        <v>250</v>
      </c>
    </row>
    <row r="20" spans="1:2">
      <c r="A20" s="296">
        <v>12</v>
      </c>
      <c r="B20" s="297" t="s">
        <v>247</v>
      </c>
    </row>
    <row r="21" spans="1:2">
      <c r="A21" s="296">
        <v>13</v>
      </c>
      <c r="B21" s="299" t="s">
        <v>363</v>
      </c>
    </row>
    <row r="22" spans="1:2">
      <c r="A22" s="296">
        <v>14</v>
      </c>
      <c r="B22" s="300" t="s">
        <v>394</v>
      </c>
    </row>
    <row r="23" spans="1:2">
      <c r="A23" s="301">
        <v>15</v>
      </c>
      <c r="B23" s="297" t="s">
        <v>77</v>
      </c>
    </row>
    <row r="24" spans="1:2">
      <c r="A24" s="301">
        <v>15.1</v>
      </c>
      <c r="B24" s="292" t="s">
        <v>429</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365" t="s">
        <v>188</v>
      </c>
      <c r="B1" s="366" t="s">
        <v>501</v>
      </c>
      <c r="D1" s="2"/>
      <c r="E1" s="2"/>
      <c r="F1" s="2"/>
    </row>
    <row r="2" spans="1:6" s="22" customFormat="1" ht="15.75" customHeight="1">
      <c r="A2" s="365" t="s">
        <v>189</v>
      </c>
      <c r="B2" s="367">
        <f>'1. key ratios'!B2</f>
        <v>44286</v>
      </c>
    </row>
    <row r="3" spans="1:6" s="22" customFormat="1" ht="15.75" customHeight="1"/>
    <row r="4" spans="1:6" ht="15.75" thickBot="1">
      <c r="A4" s="5" t="s">
        <v>336</v>
      </c>
      <c r="B4" s="43" t="s">
        <v>88</v>
      </c>
    </row>
    <row r="5" spans="1:6">
      <c r="A5" s="113" t="s">
        <v>26</v>
      </c>
      <c r="B5" s="114"/>
      <c r="C5" s="115" t="s">
        <v>27</v>
      </c>
    </row>
    <row r="6" spans="1:6">
      <c r="A6" s="116">
        <v>1</v>
      </c>
      <c r="B6" s="65" t="s">
        <v>28</v>
      </c>
      <c r="C6" s="483">
        <f>SUM(C7:C11)</f>
        <v>85781554.179593861</v>
      </c>
    </row>
    <row r="7" spans="1:6">
      <c r="A7" s="116">
        <v>2</v>
      </c>
      <c r="B7" s="62" t="s">
        <v>29</v>
      </c>
      <c r="C7" s="484">
        <f>'2. RC'!E33</f>
        <v>69161600</v>
      </c>
    </row>
    <row r="8" spans="1:6">
      <c r="A8" s="116">
        <v>3</v>
      </c>
      <c r="B8" s="56" t="s">
        <v>30</v>
      </c>
      <c r="C8" s="484"/>
    </row>
    <row r="9" spans="1:6">
      <c r="A9" s="116">
        <v>4</v>
      </c>
      <c r="B9" s="56" t="s">
        <v>31</v>
      </c>
      <c r="C9" s="484"/>
    </row>
    <row r="10" spans="1:6">
      <c r="A10" s="116">
        <v>5</v>
      </c>
      <c r="B10" s="56" t="s">
        <v>32</v>
      </c>
      <c r="C10" s="484"/>
    </row>
    <row r="11" spans="1:6">
      <c r="A11" s="116">
        <v>6</v>
      </c>
      <c r="B11" s="63" t="s">
        <v>33</v>
      </c>
      <c r="C11" s="484">
        <f>'2. RC'!E38</f>
        <v>16619954.179593861</v>
      </c>
    </row>
    <row r="12" spans="1:6" s="4" customFormat="1">
      <c r="A12" s="116">
        <v>7</v>
      </c>
      <c r="B12" s="65" t="s">
        <v>34</v>
      </c>
      <c r="C12" s="485">
        <f>SUM(C13:C27)</f>
        <v>291059.17999999993</v>
      </c>
    </row>
    <row r="13" spans="1:6" s="4" customFormat="1">
      <c r="A13" s="116">
        <v>8</v>
      </c>
      <c r="B13" s="64" t="s">
        <v>35</v>
      </c>
      <c r="C13" s="486"/>
    </row>
    <row r="14" spans="1:6" s="4" customFormat="1" ht="25.5">
      <c r="A14" s="116">
        <v>9</v>
      </c>
      <c r="B14" s="57" t="s">
        <v>36</v>
      </c>
      <c r="C14" s="486"/>
    </row>
    <row r="15" spans="1:6" s="4" customFormat="1">
      <c r="A15" s="116">
        <v>10</v>
      </c>
      <c r="B15" s="58" t="s">
        <v>37</v>
      </c>
      <c r="C15" s="486">
        <f>'7. LI1'!D19</f>
        <v>291059.17999999993</v>
      </c>
    </row>
    <row r="16" spans="1:6" s="4" customFormat="1">
      <c r="A16" s="116">
        <v>11</v>
      </c>
      <c r="B16" s="59" t="s">
        <v>38</v>
      </c>
      <c r="C16" s="486"/>
    </row>
    <row r="17" spans="1:3" s="4" customFormat="1">
      <c r="A17" s="116">
        <v>12</v>
      </c>
      <c r="B17" s="58" t="s">
        <v>39</v>
      </c>
      <c r="C17" s="486"/>
    </row>
    <row r="18" spans="1:3" s="4" customFormat="1">
      <c r="A18" s="116">
        <v>13</v>
      </c>
      <c r="B18" s="58" t="s">
        <v>40</v>
      </c>
      <c r="C18" s="486"/>
    </row>
    <row r="19" spans="1:3" s="4" customFormat="1">
      <c r="A19" s="116">
        <v>14</v>
      </c>
      <c r="B19" s="58" t="s">
        <v>41</v>
      </c>
      <c r="C19" s="486"/>
    </row>
    <row r="20" spans="1:3" s="4" customFormat="1" ht="25.5">
      <c r="A20" s="116">
        <v>15</v>
      </c>
      <c r="B20" s="58" t="s">
        <v>42</v>
      </c>
      <c r="C20" s="486"/>
    </row>
    <row r="21" spans="1:3" s="4" customFormat="1" ht="25.5">
      <c r="A21" s="116">
        <v>16</v>
      </c>
      <c r="B21" s="57" t="s">
        <v>43</v>
      </c>
      <c r="C21" s="486"/>
    </row>
    <row r="22" spans="1:3" s="4" customFormat="1">
      <c r="A22" s="116">
        <v>17</v>
      </c>
      <c r="B22" s="117" t="s">
        <v>44</v>
      </c>
      <c r="C22" s="486"/>
    </row>
    <row r="23" spans="1:3" s="4" customFormat="1" ht="25.5">
      <c r="A23" s="116">
        <v>18</v>
      </c>
      <c r="B23" s="57" t="s">
        <v>45</v>
      </c>
      <c r="C23" s="486"/>
    </row>
    <row r="24" spans="1:3" s="4" customFormat="1" ht="25.5">
      <c r="A24" s="116">
        <v>19</v>
      </c>
      <c r="B24" s="57" t="s">
        <v>46</v>
      </c>
      <c r="C24" s="486"/>
    </row>
    <row r="25" spans="1:3" s="4" customFormat="1" ht="25.5">
      <c r="A25" s="116">
        <v>20</v>
      </c>
      <c r="B25" s="60" t="s">
        <v>47</v>
      </c>
      <c r="C25" s="486"/>
    </row>
    <row r="26" spans="1:3" s="4" customFormat="1">
      <c r="A26" s="116">
        <v>21</v>
      </c>
      <c r="B26" s="60" t="s">
        <v>48</v>
      </c>
      <c r="C26" s="486"/>
    </row>
    <row r="27" spans="1:3" s="4" customFormat="1" ht="25.5">
      <c r="A27" s="116">
        <v>22</v>
      </c>
      <c r="B27" s="60" t="s">
        <v>49</v>
      </c>
      <c r="C27" s="486"/>
    </row>
    <row r="28" spans="1:3" s="4" customFormat="1">
      <c r="A28" s="116">
        <v>23</v>
      </c>
      <c r="B28" s="66" t="s">
        <v>23</v>
      </c>
      <c r="C28" s="485">
        <f>C6-C12</f>
        <v>85490494.999593854</v>
      </c>
    </row>
    <row r="29" spans="1:3" s="4" customFormat="1">
      <c r="A29" s="118"/>
      <c r="B29" s="61"/>
      <c r="C29" s="486"/>
    </row>
    <row r="30" spans="1:3" s="4" customFormat="1">
      <c r="A30" s="118">
        <v>24</v>
      </c>
      <c r="B30" s="66" t="s">
        <v>50</v>
      </c>
      <c r="C30" s="485">
        <f>C31+C34</f>
        <v>0</v>
      </c>
    </row>
    <row r="31" spans="1:3" s="4" customFormat="1">
      <c r="A31" s="118">
        <v>25</v>
      </c>
      <c r="B31" s="56" t="s">
        <v>51</v>
      </c>
      <c r="C31" s="487">
        <f>C32+C33</f>
        <v>0</v>
      </c>
    </row>
    <row r="32" spans="1:3" s="4" customFormat="1">
      <c r="A32" s="118">
        <v>26</v>
      </c>
      <c r="B32" s="158" t="s">
        <v>52</v>
      </c>
      <c r="C32" s="486"/>
    </row>
    <row r="33" spans="1:3" s="4" customFormat="1">
      <c r="A33" s="118">
        <v>27</v>
      </c>
      <c r="B33" s="158" t="s">
        <v>53</v>
      </c>
      <c r="C33" s="486"/>
    </row>
    <row r="34" spans="1:3" s="4" customFormat="1">
      <c r="A34" s="118">
        <v>28</v>
      </c>
      <c r="B34" s="56" t="s">
        <v>54</v>
      </c>
      <c r="C34" s="486"/>
    </row>
    <row r="35" spans="1:3" s="4" customFormat="1">
      <c r="A35" s="118">
        <v>29</v>
      </c>
      <c r="B35" s="66" t="s">
        <v>55</v>
      </c>
      <c r="C35" s="485">
        <f>SUM(C36:C40)</f>
        <v>0</v>
      </c>
    </row>
    <row r="36" spans="1:3" s="4" customFormat="1">
      <c r="A36" s="118">
        <v>30</v>
      </c>
      <c r="B36" s="57" t="s">
        <v>56</v>
      </c>
      <c r="C36" s="486"/>
    </row>
    <row r="37" spans="1:3" s="4" customFormat="1">
      <c r="A37" s="118">
        <v>31</v>
      </c>
      <c r="B37" s="58" t="s">
        <v>57</v>
      </c>
      <c r="C37" s="486"/>
    </row>
    <row r="38" spans="1:3" s="4" customFormat="1" ht="25.5">
      <c r="A38" s="118">
        <v>32</v>
      </c>
      <c r="B38" s="57" t="s">
        <v>58</v>
      </c>
      <c r="C38" s="486"/>
    </row>
    <row r="39" spans="1:3" s="4" customFormat="1" ht="25.5">
      <c r="A39" s="118">
        <v>33</v>
      </c>
      <c r="B39" s="57" t="s">
        <v>46</v>
      </c>
      <c r="C39" s="486"/>
    </row>
    <row r="40" spans="1:3" s="4" customFormat="1" ht="25.5">
      <c r="A40" s="118">
        <v>34</v>
      </c>
      <c r="B40" s="60" t="s">
        <v>59</v>
      </c>
      <c r="C40" s="486"/>
    </row>
    <row r="41" spans="1:3" s="4" customFormat="1">
      <c r="A41" s="118">
        <v>35</v>
      </c>
      <c r="B41" s="66" t="s">
        <v>24</v>
      </c>
      <c r="C41" s="485">
        <f>C30-C35</f>
        <v>0</v>
      </c>
    </row>
    <row r="42" spans="1:3" s="4" customFormat="1">
      <c r="A42" s="118"/>
      <c r="B42" s="61"/>
      <c r="C42" s="486"/>
    </row>
    <row r="43" spans="1:3" s="4" customFormat="1">
      <c r="A43" s="118">
        <v>36</v>
      </c>
      <c r="B43" s="67" t="s">
        <v>60</v>
      </c>
      <c r="C43" s="485">
        <f>SUM(C44:C46)</f>
        <v>4459422.0004124716</v>
      </c>
    </row>
    <row r="44" spans="1:3" s="4" customFormat="1">
      <c r="A44" s="118">
        <v>37</v>
      </c>
      <c r="B44" s="56" t="s">
        <v>61</v>
      </c>
      <c r="C44" s="486"/>
    </row>
    <row r="45" spans="1:3" s="4" customFormat="1">
      <c r="A45" s="118">
        <v>38</v>
      </c>
      <c r="B45" s="56" t="s">
        <v>62</v>
      </c>
      <c r="C45" s="486"/>
    </row>
    <row r="46" spans="1:3" s="4" customFormat="1">
      <c r="A46" s="118">
        <v>39</v>
      </c>
      <c r="B46" s="56" t="s">
        <v>63</v>
      </c>
      <c r="C46" s="486">
        <f>'8. LI2'!C9</f>
        <v>4459422.0004124716</v>
      </c>
    </row>
    <row r="47" spans="1:3" s="4" customFormat="1">
      <c r="A47" s="118">
        <v>40</v>
      </c>
      <c r="B47" s="67" t="s">
        <v>64</v>
      </c>
      <c r="C47" s="485">
        <f>SUM(C48:C51)</f>
        <v>0</v>
      </c>
    </row>
    <row r="48" spans="1:3" s="4" customFormat="1">
      <c r="A48" s="118">
        <v>41</v>
      </c>
      <c r="B48" s="57" t="s">
        <v>65</v>
      </c>
      <c r="C48" s="486"/>
    </row>
    <row r="49" spans="1:3" s="4" customFormat="1">
      <c r="A49" s="118">
        <v>42</v>
      </c>
      <c r="B49" s="58" t="s">
        <v>66</v>
      </c>
      <c r="C49" s="486"/>
    </row>
    <row r="50" spans="1:3" s="4" customFormat="1" ht="25.5">
      <c r="A50" s="118">
        <v>43</v>
      </c>
      <c r="B50" s="57" t="s">
        <v>67</v>
      </c>
      <c r="C50" s="486"/>
    </row>
    <row r="51" spans="1:3" s="4" customFormat="1" ht="25.5">
      <c r="A51" s="118">
        <v>44</v>
      </c>
      <c r="B51" s="57" t="s">
        <v>46</v>
      </c>
      <c r="C51" s="486"/>
    </row>
    <row r="52" spans="1:3" s="4" customFormat="1" ht="15.75" thickBot="1">
      <c r="A52" s="119">
        <v>45</v>
      </c>
      <c r="B52" s="120" t="s">
        <v>25</v>
      </c>
      <c r="C52" s="488">
        <f>C43-C47</f>
        <v>4459422.0004124716</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52" bestFit="1" customWidth="1"/>
    <col min="2" max="2" width="59" style="252" customWidth="1"/>
    <col min="3" max="3" width="16.7109375" style="252" bestFit="1" customWidth="1"/>
    <col min="4" max="4" width="22.140625" style="252" customWidth="1"/>
    <col min="5" max="16384" width="9.140625" style="252"/>
  </cols>
  <sheetData>
    <row r="1" spans="1:4" ht="15">
      <c r="A1" s="365" t="s">
        <v>188</v>
      </c>
      <c r="B1" s="366" t="s">
        <v>501</v>
      </c>
    </row>
    <row r="2" spans="1:4" s="22" customFormat="1" ht="15.75" customHeight="1">
      <c r="A2" s="365" t="s">
        <v>189</v>
      </c>
      <c r="B2" s="367">
        <f>'1. key ratios'!B2</f>
        <v>44286</v>
      </c>
    </row>
    <row r="3" spans="1:4" s="22" customFormat="1" ht="15.75" customHeight="1"/>
    <row r="4" spans="1:4" ht="13.5" thickBot="1">
      <c r="A4" s="494" t="s">
        <v>399</v>
      </c>
      <c r="B4" s="283" t="s">
        <v>400</v>
      </c>
    </row>
    <row r="5" spans="1:4" s="284" customFormat="1">
      <c r="A5" s="567" t="s">
        <v>401</v>
      </c>
      <c r="B5" s="568"/>
      <c r="C5" s="273" t="s">
        <v>402</v>
      </c>
      <c r="D5" s="274" t="s">
        <v>403</v>
      </c>
    </row>
    <row r="6" spans="1:4" s="285" customFormat="1">
      <c r="A6" s="275">
        <v>1</v>
      </c>
      <c r="B6" s="276" t="s">
        <v>404</v>
      </c>
      <c r="C6" s="276"/>
      <c r="D6" s="277"/>
    </row>
    <row r="7" spans="1:4" s="285" customFormat="1">
      <c r="A7" s="278" t="s">
        <v>405</v>
      </c>
      <c r="B7" s="279" t="s">
        <v>406</v>
      </c>
      <c r="C7" s="330">
        <v>4.4999999999999998E-2</v>
      </c>
      <c r="D7" s="489">
        <f>C7*'5. RWA'!$C$13</f>
        <v>17436337.15966662</v>
      </c>
    </row>
    <row r="8" spans="1:4" s="285" customFormat="1">
      <c r="A8" s="278" t="s">
        <v>407</v>
      </c>
      <c r="B8" s="279" t="s">
        <v>408</v>
      </c>
      <c r="C8" s="331">
        <v>0.06</v>
      </c>
      <c r="D8" s="489">
        <f>C8*'5. RWA'!$C$13</f>
        <v>23248449.546222158</v>
      </c>
    </row>
    <row r="9" spans="1:4" s="285" customFormat="1">
      <c r="A9" s="278" t="s">
        <v>409</v>
      </c>
      <c r="B9" s="279" t="s">
        <v>410</v>
      </c>
      <c r="C9" s="331">
        <v>0.08</v>
      </c>
      <c r="D9" s="489">
        <f>C9*'5. RWA'!$C$13</f>
        <v>30997932.728296213</v>
      </c>
    </row>
    <row r="10" spans="1:4" s="285" customFormat="1">
      <c r="A10" s="275" t="s">
        <v>411</v>
      </c>
      <c r="B10" s="276" t="s">
        <v>412</v>
      </c>
      <c r="C10" s="332"/>
      <c r="D10" s="328"/>
    </row>
    <row r="11" spans="1:4" s="286" customFormat="1">
      <c r="A11" s="280" t="s">
        <v>413</v>
      </c>
      <c r="B11" s="281" t="s">
        <v>475</v>
      </c>
      <c r="C11" s="333">
        <v>0</v>
      </c>
      <c r="D11" s="490">
        <f>C11*'5. RWA'!$C$13</f>
        <v>0</v>
      </c>
    </row>
    <row r="12" spans="1:4" s="286" customFormat="1">
      <c r="A12" s="280" t="s">
        <v>414</v>
      </c>
      <c r="B12" s="281" t="s">
        <v>415</v>
      </c>
      <c r="C12" s="333">
        <v>0</v>
      </c>
      <c r="D12" s="490">
        <f>C12*'5. RWA'!$C$13</f>
        <v>0</v>
      </c>
    </row>
    <row r="13" spans="1:4" s="286" customFormat="1">
      <c r="A13" s="280" t="s">
        <v>416</v>
      </c>
      <c r="B13" s="281" t="s">
        <v>417</v>
      </c>
      <c r="C13" s="333"/>
      <c r="D13" s="490">
        <f>C13*'5. RWA'!$C$13</f>
        <v>0</v>
      </c>
    </row>
    <row r="14" spans="1:4" s="285" customFormat="1">
      <c r="A14" s="275" t="s">
        <v>418</v>
      </c>
      <c r="B14" s="276" t="s">
        <v>473</v>
      </c>
      <c r="C14" s="334"/>
      <c r="D14" s="491"/>
    </row>
    <row r="15" spans="1:4" s="285" customFormat="1">
      <c r="A15" s="293" t="s">
        <v>421</v>
      </c>
      <c r="B15" s="281" t="s">
        <v>474</v>
      </c>
      <c r="C15" s="333">
        <v>2.781418021998951E-2</v>
      </c>
      <c r="D15" s="490">
        <f>C15*'5. RWA'!$C$13</f>
        <v>10777276.091899276</v>
      </c>
    </row>
    <row r="16" spans="1:4" s="285" customFormat="1">
      <c r="A16" s="293" t="s">
        <v>422</v>
      </c>
      <c r="B16" s="281" t="s">
        <v>424</v>
      </c>
      <c r="C16" s="333">
        <v>3.7108257957110168E-2</v>
      </c>
      <c r="D16" s="490">
        <f>C16*'5. RWA'!$C$13</f>
        <v>14378491.047734546</v>
      </c>
    </row>
    <row r="17" spans="1:6" s="285" customFormat="1">
      <c r="A17" s="293" t="s">
        <v>423</v>
      </c>
      <c r="B17" s="281" t="s">
        <v>471</v>
      </c>
      <c r="C17" s="493">
        <v>8.6816008147685475E-2</v>
      </c>
      <c r="D17" s="490">
        <f>C17*'5. RWA'!$C$13</f>
        <v>33638959.753764629</v>
      </c>
    </row>
    <row r="18" spans="1:6" s="284" customFormat="1">
      <c r="A18" s="569" t="s">
        <v>472</v>
      </c>
      <c r="B18" s="570"/>
      <c r="C18" s="335" t="s">
        <v>402</v>
      </c>
      <c r="D18" s="329" t="s">
        <v>403</v>
      </c>
    </row>
    <row r="19" spans="1:6" s="285" customFormat="1">
      <c r="A19" s="282">
        <v>4</v>
      </c>
      <c r="B19" s="281" t="s">
        <v>23</v>
      </c>
      <c r="C19" s="333">
        <f>C7+C11+C12+C13+C15</f>
        <v>7.2814180219989505E-2</v>
      </c>
      <c r="D19" s="489">
        <f>C19*'5. RWA'!$C$13</f>
        <v>28213613.251565892</v>
      </c>
    </row>
    <row r="20" spans="1:6" s="285" customFormat="1">
      <c r="A20" s="282">
        <v>5</v>
      </c>
      <c r="B20" s="281" t="s">
        <v>89</v>
      </c>
      <c r="C20" s="333">
        <f>C8+C11+C12+C13+C16</f>
        <v>9.7108257957110172E-2</v>
      </c>
      <c r="D20" s="489">
        <f>C20*'5. RWA'!$C$13</f>
        <v>37626940.593956709</v>
      </c>
    </row>
    <row r="21" spans="1:6" s="285" customFormat="1" ht="13.5" thickBot="1">
      <c r="A21" s="287" t="s">
        <v>419</v>
      </c>
      <c r="B21" s="288" t="s">
        <v>88</v>
      </c>
      <c r="C21" s="336">
        <f>C9+C11+C12+C13+C17</f>
        <v>0.16681600814768549</v>
      </c>
      <c r="D21" s="492">
        <f>C21*'5. RWA'!$C$13</f>
        <v>64636892.48206085</v>
      </c>
    </row>
    <row r="22" spans="1:6">
      <c r="F22" s="253"/>
    </row>
    <row r="23" spans="1:6" ht="63.75">
      <c r="B23" s="24" t="s">
        <v>476</v>
      </c>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365" t="s">
        <v>188</v>
      </c>
      <c r="B1" s="366" t="s">
        <v>501</v>
      </c>
      <c r="E1" s="2"/>
      <c r="F1" s="2"/>
    </row>
    <row r="2" spans="1:6" s="22" customFormat="1" ht="15.75" customHeight="1">
      <c r="A2" s="365" t="s">
        <v>189</v>
      </c>
      <c r="B2" s="367">
        <f>'1. key ratios'!B2</f>
        <v>44286</v>
      </c>
    </row>
    <row r="3" spans="1:6" s="22" customFormat="1" ht="15.75" customHeight="1">
      <c r="A3" s="27"/>
    </row>
    <row r="4" spans="1:6" s="22" customFormat="1" ht="15.75" customHeight="1" thickBot="1">
      <c r="A4" s="22" t="s">
        <v>337</v>
      </c>
      <c r="B4" s="181" t="s">
        <v>269</v>
      </c>
      <c r="D4" s="183" t="s">
        <v>93</v>
      </c>
    </row>
    <row r="5" spans="1:6" ht="38.25">
      <c r="A5" s="131" t="s">
        <v>26</v>
      </c>
      <c r="B5" s="132" t="s">
        <v>231</v>
      </c>
      <c r="C5" s="133" t="s">
        <v>237</v>
      </c>
      <c r="D5" s="182" t="s">
        <v>270</v>
      </c>
    </row>
    <row r="6" spans="1:6">
      <c r="A6" s="121">
        <v>1</v>
      </c>
      <c r="B6" s="68" t="s">
        <v>154</v>
      </c>
      <c r="C6" s="204">
        <f>'2. RC'!E7</f>
        <v>4814456.16</v>
      </c>
      <c r="D6" s="122"/>
      <c r="E6" s="8"/>
    </row>
    <row r="7" spans="1:6">
      <c r="A7" s="121">
        <v>2</v>
      </c>
      <c r="B7" s="69" t="s">
        <v>155</v>
      </c>
      <c r="C7" s="204">
        <f>'2. RC'!E8</f>
        <v>36030884.700000003</v>
      </c>
      <c r="D7" s="123"/>
      <c r="E7" s="8"/>
    </row>
    <row r="8" spans="1:6">
      <c r="A8" s="121">
        <v>3</v>
      </c>
      <c r="B8" s="69" t="s">
        <v>156</v>
      </c>
      <c r="C8" s="204">
        <f>'2. RC'!E9</f>
        <v>37257536.366474003</v>
      </c>
      <c r="D8" s="123"/>
      <c r="E8" s="8"/>
    </row>
    <row r="9" spans="1:6">
      <c r="A9" s="121">
        <v>4</v>
      </c>
      <c r="B9" s="69" t="s">
        <v>185</v>
      </c>
      <c r="C9" s="204">
        <f>'2. RC'!E10</f>
        <v>0</v>
      </c>
      <c r="D9" s="123"/>
      <c r="E9" s="8"/>
    </row>
    <row r="10" spans="1:6">
      <c r="A10" s="121">
        <v>5</v>
      </c>
      <c r="B10" s="69" t="s">
        <v>157</v>
      </c>
      <c r="C10" s="204">
        <f>'2. RC'!E11</f>
        <v>33218131.294661298</v>
      </c>
      <c r="D10" s="123"/>
      <c r="E10" s="8"/>
    </row>
    <row r="11" spans="1:6">
      <c r="A11" s="121">
        <v>6.1</v>
      </c>
      <c r="B11" s="69" t="s">
        <v>158</v>
      </c>
      <c r="C11" s="204">
        <f>'2. RC'!E12</f>
        <v>237068895.44999999</v>
      </c>
      <c r="D11" s="124"/>
      <c r="E11" s="9"/>
    </row>
    <row r="12" spans="1:6">
      <c r="A12" s="121">
        <v>6.2</v>
      </c>
      <c r="B12" s="70" t="s">
        <v>159</v>
      </c>
      <c r="C12" s="204">
        <f>'2. RC'!E13</f>
        <v>-11644666.5962</v>
      </c>
      <c r="D12" s="124"/>
      <c r="E12" s="9"/>
    </row>
    <row r="13" spans="1:6">
      <c r="A13" s="121" t="s">
        <v>371</v>
      </c>
      <c r="B13" s="71" t="s">
        <v>372</v>
      </c>
      <c r="C13" s="206">
        <v>-4079346.9261999992</v>
      </c>
      <c r="D13" s="124"/>
      <c r="E13" s="9"/>
    </row>
    <row r="14" spans="1:6">
      <c r="A14" s="121" t="s">
        <v>495</v>
      </c>
      <c r="B14" s="71" t="s">
        <v>484</v>
      </c>
      <c r="C14" s="206">
        <f>-'8. LI2'!C12</f>
        <v>-3402357</v>
      </c>
      <c r="D14" s="124"/>
      <c r="E14" s="9"/>
    </row>
    <row r="15" spans="1:6">
      <c r="A15" s="121">
        <v>6</v>
      </c>
      <c r="B15" s="69" t="s">
        <v>160</v>
      </c>
      <c r="C15" s="495">
        <f>C11+C12</f>
        <v>225424228.8538</v>
      </c>
      <c r="D15" s="124"/>
      <c r="E15" s="8"/>
    </row>
    <row r="16" spans="1:6">
      <c r="A16" s="121">
        <v>7</v>
      </c>
      <c r="B16" s="69" t="s">
        <v>161</v>
      </c>
      <c r="C16" s="205">
        <f>'2. RC'!E15</f>
        <v>2713949.0102560003</v>
      </c>
      <c r="D16" s="123"/>
      <c r="E16" s="8"/>
    </row>
    <row r="17" spans="1:5">
      <c r="A17" s="121">
        <v>8</v>
      </c>
      <c r="B17" s="69" t="s">
        <v>162</v>
      </c>
      <c r="C17" s="205">
        <f>'2. RC'!E16</f>
        <v>1102532.9100000001</v>
      </c>
      <c r="D17" s="123"/>
      <c r="E17" s="8"/>
    </row>
    <row r="18" spans="1:5">
      <c r="A18" s="121">
        <v>9</v>
      </c>
      <c r="B18" s="69" t="s">
        <v>163</v>
      </c>
      <c r="C18" s="205">
        <f>'2. RC'!E17</f>
        <v>0</v>
      </c>
      <c r="D18" s="123"/>
      <c r="E18" s="8"/>
    </row>
    <row r="19" spans="1:5">
      <c r="A19" s="121">
        <v>9.1</v>
      </c>
      <c r="B19" s="71" t="s">
        <v>246</v>
      </c>
      <c r="C19" s="206"/>
      <c r="D19" s="123"/>
      <c r="E19" s="8"/>
    </row>
    <row r="20" spans="1:5">
      <c r="A20" s="121">
        <v>9.1999999999999993</v>
      </c>
      <c r="B20" s="71" t="s">
        <v>236</v>
      </c>
      <c r="C20" s="206"/>
      <c r="D20" s="123"/>
      <c r="E20" s="8"/>
    </row>
    <row r="21" spans="1:5">
      <c r="A21" s="121">
        <v>9.3000000000000007</v>
      </c>
      <c r="B21" s="71" t="s">
        <v>235</v>
      </c>
      <c r="C21" s="206"/>
      <c r="D21" s="123"/>
      <c r="E21" s="8"/>
    </row>
    <row r="22" spans="1:5">
      <c r="A22" s="121">
        <v>10</v>
      </c>
      <c r="B22" s="69" t="s">
        <v>164</v>
      </c>
      <c r="C22" s="205">
        <f>'2. RC'!E18</f>
        <v>1325682.7200000007</v>
      </c>
      <c r="D22" s="123"/>
      <c r="E22" s="8"/>
    </row>
    <row r="23" spans="1:5">
      <c r="A23" s="121">
        <v>10.1</v>
      </c>
      <c r="B23" s="71" t="s">
        <v>234</v>
      </c>
      <c r="C23" s="496">
        <f>'9. Capital'!C15</f>
        <v>291059.17999999993</v>
      </c>
      <c r="D23" s="202" t="s">
        <v>344</v>
      </c>
      <c r="E23" s="8"/>
    </row>
    <row r="24" spans="1:5">
      <c r="A24" s="121">
        <v>11</v>
      </c>
      <c r="B24" s="72" t="s">
        <v>165</v>
      </c>
      <c r="C24" s="205">
        <f>'2. RC'!E19</f>
        <v>3249484.9864666904</v>
      </c>
      <c r="D24" s="125"/>
      <c r="E24" s="8"/>
    </row>
    <row r="25" spans="1:5">
      <c r="A25" s="121">
        <v>12</v>
      </c>
      <c r="B25" s="74" t="s">
        <v>166</v>
      </c>
      <c r="C25" s="208">
        <f>SUM(C6:C10,C15:C18,C22,C24)</f>
        <v>345136887.00165802</v>
      </c>
      <c r="D25" s="126"/>
      <c r="E25" s="7"/>
    </row>
    <row r="26" spans="1:5">
      <c r="A26" s="121">
        <v>13</v>
      </c>
      <c r="B26" s="69" t="s">
        <v>167</v>
      </c>
      <c r="C26" s="209">
        <f>'2. RC'!E22</f>
        <v>123634608.40000001</v>
      </c>
      <c r="D26" s="127"/>
      <c r="E26" s="8"/>
    </row>
    <row r="27" spans="1:5">
      <c r="A27" s="121">
        <v>14</v>
      </c>
      <c r="B27" s="69" t="s">
        <v>168</v>
      </c>
      <c r="C27" s="209">
        <f>'2. RC'!E23</f>
        <v>38218440.839999989</v>
      </c>
      <c r="D27" s="123"/>
      <c r="E27" s="8"/>
    </row>
    <row r="28" spans="1:5">
      <c r="A28" s="121">
        <v>15</v>
      </c>
      <c r="B28" s="69" t="s">
        <v>169</v>
      </c>
      <c r="C28" s="209">
        <f>'2. RC'!E24</f>
        <v>0</v>
      </c>
      <c r="D28" s="123"/>
      <c r="E28" s="8"/>
    </row>
    <row r="29" spans="1:5">
      <c r="A29" s="121">
        <v>16</v>
      </c>
      <c r="B29" s="69" t="s">
        <v>170</v>
      </c>
      <c r="C29" s="209">
        <f>'2. RC'!E25</f>
        <v>42622251.339999996</v>
      </c>
      <c r="D29" s="123"/>
      <c r="E29" s="8"/>
    </row>
    <row r="30" spans="1:5">
      <c r="A30" s="121">
        <v>17</v>
      </c>
      <c r="B30" s="69" t="s">
        <v>171</v>
      </c>
      <c r="C30" s="209">
        <f>'2. RC'!E26</f>
        <v>0</v>
      </c>
      <c r="D30" s="123"/>
      <c r="E30" s="8"/>
    </row>
    <row r="31" spans="1:5">
      <c r="A31" s="121">
        <v>18</v>
      </c>
      <c r="B31" s="69" t="s">
        <v>172</v>
      </c>
      <c r="C31" s="209">
        <f>'2. RC'!E27</f>
        <v>49886111.080784</v>
      </c>
      <c r="D31" s="123"/>
      <c r="E31" s="8"/>
    </row>
    <row r="32" spans="1:5">
      <c r="A32" s="121">
        <v>19</v>
      </c>
      <c r="B32" s="69" t="s">
        <v>173</v>
      </c>
      <c r="C32" s="209">
        <f>'2. RC'!E28</f>
        <v>1557543.7364871458</v>
      </c>
      <c r="D32" s="123"/>
      <c r="E32" s="8"/>
    </row>
    <row r="33" spans="1:5">
      <c r="A33" s="121">
        <v>20</v>
      </c>
      <c r="B33" s="69" t="s">
        <v>95</v>
      </c>
      <c r="C33" s="209">
        <f>'2. RC'!E29</f>
        <v>3436377.3772</v>
      </c>
      <c r="D33" s="123"/>
      <c r="E33" s="8"/>
    </row>
    <row r="34" spans="1:5">
      <c r="A34" s="121">
        <v>20.100000000000001</v>
      </c>
      <c r="B34" s="73" t="s">
        <v>370</v>
      </c>
      <c r="C34" s="207">
        <v>-687986.47719999985</v>
      </c>
      <c r="D34" s="125"/>
      <c r="E34" s="8"/>
    </row>
    <row r="35" spans="1:5">
      <c r="A35" s="121">
        <v>21</v>
      </c>
      <c r="B35" s="72" t="s">
        <v>174</v>
      </c>
      <c r="C35" s="209">
        <f>'2. RC'!E30</f>
        <v>0</v>
      </c>
      <c r="D35" s="125"/>
      <c r="E35" s="8"/>
    </row>
    <row r="36" spans="1:5">
      <c r="A36" s="121">
        <v>21.1</v>
      </c>
      <c r="B36" s="73" t="s">
        <v>233</v>
      </c>
      <c r="C36" s="210">
        <f>'9. Capital'!C44</f>
        <v>0</v>
      </c>
      <c r="D36" s="202" t="s">
        <v>522</v>
      </c>
      <c r="E36" s="8"/>
    </row>
    <row r="37" spans="1:5">
      <c r="A37" s="121">
        <v>22</v>
      </c>
      <c r="B37" s="74" t="s">
        <v>175</v>
      </c>
      <c r="C37" s="208">
        <f>SUM(C26:C33,C35)</f>
        <v>259355332.77447116</v>
      </c>
      <c r="D37" s="126"/>
      <c r="E37" s="7"/>
    </row>
    <row r="38" spans="1:5">
      <c r="A38" s="121">
        <v>23</v>
      </c>
      <c r="B38" s="72" t="s">
        <v>176</v>
      </c>
      <c r="C38" s="205">
        <f>'9. Capital'!C7</f>
        <v>69161600</v>
      </c>
      <c r="D38" s="202" t="s">
        <v>523</v>
      </c>
      <c r="E38" s="8"/>
    </row>
    <row r="39" spans="1:5">
      <c r="A39" s="121">
        <v>24</v>
      </c>
      <c r="B39" s="72" t="s">
        <v>177</v>
      </c>
      <c r="C39" s="205"/>
      <c r="D39" s="123"/>
      <c r="E39" s="8"/>
    </row>
    <row r="40" spans="1:5">
      <c r="A40" s="121">
        <v>25</v>
      </c>
      <c r="B40" s="72" t="s">
        <v>232</v>
      </c>
      <c r="C40" s="205"/>
      <c r="D40" s="123"/>
      <c r="E40" s="8"/>
    </row>
    <row r="41" spans="1:5">
      <c r="A41" s="121">
        <v>26</v>
      </c>
      <c r="B41" s="72" t="s">
        <v>179</v>
      </c>
      <c r="C41" s="205"/>
      <c r="D41" s="123"/>
      <c r="E41" s="8"/>
    </row>
    <row r="42" spans="1:5">
      <c r="A42" s="121">
        <v>27</v>
      </c>
      <c r="B42" s="72" t="s">
        <v>180</v>
      </c>
      <c r="C42" s="205"/>
      <c r="D42" s="123"/>
      <c r="E42" s="8"/>
    </row>
    <row r="43" spans="1:5">
      <c r="A43" s="121">
        <v>28</v>
      </c>
      <c r="B43" s="72" t="s">
        <v>181</v>
      </c>
      <c r="C43" s="205">
        <f>'9. Capital'!C11</f>
        <v>16619954.179593861</v>
      </c>
      <c r="D43" s="202" t="s">
        <v>524</v>
      </c>
      <c r="E43" s="8"/>
    </row>
    <row r="44" spans="1:5">
      <c r="A44" s="121">
        <v>29</v>
      </c>
      <c r="B44" s="72" t="s">
        <v>35</v>
      </c>
      <c r="C44" s="205"/>
      <c r="D44" s="123"/>
      <c r="E44" s="8"/>
    </row>
    <row r="45" spans="1:5" ht="16.5" thickBot="1">
      <c r="A45" s="128">
        <v>30</v>
      </c>
      <c r="B45" s="129" t="s">
        <v>182</v>
      </c>
      <c r="C45" s="211">
        <f>SUM(C38:C44)</f>
        <v>85781554.179593861</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9.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65" t="s">
        <v>188</v>
      </c>
      <c r="B1" s="366" t="s">
        <v>501</v>
      </c>
    </row>
    <row r="2" spans="1:19" ht="15">
      <c r="A2" s="365" t="s">
        <v>189</v>
      </c>
      <c r="B2" s="367">
        <f>'1. key ratios'!B2</f>
        <v>44286</v>
      </c>
    </row>
    <row r="4" spans="1:19" ht="39" thickBot="1">
      <c r="A4" s="51" t="s">
        <v>338</v>
      </c>
      <c r="B4" s="225" t="s">
        <v>360</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347</v>
      </c>
      <c r="P5" s="100" t="s">
        <v>348</v>
      </c>
      <c r="Q5" s="100" t="s">
        <v>349</v>
      </c>
      <c r="R5" s="220" t="s">
        <v>350</v>
      </c>
      <c r="S5" s="101" t="s">
        <v>351</v>
      </c>
    </row>
    <row r="6" spans="1:19" ht="46.5" customHeight="1">
      <c r="A6" s="135"/>
      <c r="B6" s="575" t="s">
        <v>352</v>
      </c>
      <c r="C6" s="573">
        <v>0</v>
      </c>
      <c r="D6" s="574"/>
      <c r="E6" s="573">
        <v>0.2</v>
      </c>
      <c r="F6" s="574"/>
      <c r="G6" s="573">
        <v>0.35</v>
      </c>
      <c r="H6" s="574"/>
      <c r="I6" s="573">
        <v>0.5</v>
      </c>
      <c r="J6" s="574"/>
      <c r="K6" s="573">
        <v>0.75</v>
      </c>
      <c r="L6" s="574"/>
      <c r="M6" s="573">
        <v>1</v>
      </c>
      <c r="N6" s="574"/>
      <c r="O6" s="573">
        <v>1.5</v>
      </c>
      <c r="P6" s="574"/>
      <c r="Q6" s="573">
        <v>2.5</v>
      </c>
      <c r="R6" s="574"/>
      <c r="S6" s="571" t="s">
        <v>251</v>
      </c>
    </row>
    <row r="7" spans="1:19">
      <c r="A7" s="135"/>
      <c r="B7" s="576"/>
      <c r="C7" s="224" t="s">
        <v>345</v>
      </c>
      <c r="D7" s="224" t="s">
        <v>346</v>
      </c>
      <c r="E7" s="224" t="s">
        <v>345</v>
      </c>
      <c r="F7" s="224" t="s">
        <v>346</v>
      </c>
      <c r="G7" s="224" t="s">
        <v>345</v>
      </c>
      <c r="H7" s="224" t="s">
        <v>346</v>
      </c>
      <c r="I7" s="224" t="s">
        <v>345</v>
      </c>
      <c r="J7" s="224" t="s">
        <v>346</v>
      </c>
      <c r="K7" s="224" t="s">
        <v>345</v>
      </c>
      <c r="L7" s="224" t="s">
        <v>346</v>
      </c>
      <c r="M7" s="224" t="s">
        <v>345</v>
      </c>
      <c r="N7" s="224" t="s">
        <v>346</v>
      </c>
      <c r="O7" s="224" t="s">
        <v>345</v>
      </c>
      <c r="P7" s="224" t="s">
        <v>346</v>
      </c>
      <c r="Q7" s="224" t="s">
        <v>345</v>
      </c>
      <c r="R7" s="224" t="s">
        <v>346</v>
      </c>
      <c r="S7" s="572"/>
    </row>
    <row r="8" spans="1:19" s="139" customFormat="1">
      <c r="A8" s="104">
        <v>1</v>
      </c>
      <c r="B8" s="157" t="s">
        <v>216</v>
      </c>
      <c r="C8" s="497">
        <v>8539560.1549132448</v>
      </c>
      <c r="D8" s="497"/>
      <c r="E8" s="497"/>
      <c r="F8" s="497"/>
      <c r="G8" s="497"/>
      <c r="H8" s="497"/>
      <c r="I8" s="497"/>
      <c r="J8" s="497"/>
      <c r="K8" s="497"/>
      <c r="L8" s="497"/>
      <c r="M8" s="497">
        <v>46368603.810834125</v>
      </c>
      <c r="N8" s="497"/>
      <c r="O8" s="497"/>
      <c r="P8" s="497"/>
      <c r="Q8" s="497"/>
      <c r="R8" s="497"/>
      <c r="S8" s="498">
        <f>$C$6*SUM(C8:D8)+$E$6*SUM(E8:F8)+$G$6*SUM(G8:H8)+$I$6*SUM(I8:J8)+$K$6*SUM(K8:L8)+$M$6*SUM(M8:N8)+$O$6*SUM(O8:P8)+$Q$6*SUM(Q8:R8)</f>
        <v>46368603.810834125</v>
      </c>
    </row>
    <row r="9" spans="1:19" s="139" customFormat="1">
      <c r="A9" s="104">
        <v>2</v>
      </c>
      <c r="B9" s="157" t="s">
        <v>217</v>
      </c>
      <c r="C9" s="497"/>
      <c r="D9" s="497"/>
      <c r="E9" s="497"/>
      <c r="F9" s="497"/>
      <c r="G9" s="497"/>
      <c r="H9" s="497"/>
      <c r="I9" s="497"/>
      <c r="J9" s="497"/>
      <c r="K9" s="497"/>
      <c r="L9" s="497"/>
      <c r="M9" s="497"/>
      <c r="N9" s="497"/>
      <c r="O9" s="497"/>
      <c r="P9" s="497"/>
      <c r="Q9" s="497"/>
      <c r="R9" s="497"/>
      <c r="S9" s="498">
        <f t="shared" ref="S9:S21" si="0">$C$6*SUM(C9:D9)+$E$6*SUM(E9:F9)+$G$6*SUM(G9:H9)+$I$6*SUM(I9:J9)+$K$6*SUM(K9:L9)+$M$6*SUM(M9:N9)+$O$6*SUM(O9:P9)+$Q$6*SUM(Q9:R9)</f>
        <v>0</v>
      </c>
    </row>
    <row r="10" spans="1:19" s="139" customFormat="1">
      <c r="A10" s="104">
        <v>3</v>
      </c>
      <c r="B10" s="157" t="s">
        <v>218</v>
      </c>
      <c r="C10" s="497"/>
      <c r="D10" s="497"/>
      <c r="E10" s="497"/>
      <c r="F10" s="497"/>
      <c r="G10" s="497"/>
      <c r="H10" s="497"/>
      <c r="I10" s="497"/>
      <c r="J10" s="497"/>
      <c r="K10" s="497"/>
      <c r="L10" s="497"/>
      <c r="M10" s="497"/>
      <c r="N10" s="497"/>
      <c r="O10" s="497"/>
      <c r="P10" s="497"/>
      <c r="Q10" s="497"/>
      <c r="R10" s="497"/>
      <c r="S10" s="498">
        <f t="shared" si="0"/>
        <v>0</v>
      </c>
    </row>
    <row r="11" spans="1:19" s="139" customFormat="1">
      <c r="A11" s="104">
        <v>4</v>
      </c>
      <c r="B11" s="157" t="s">
        <v>219</v>
      </c>
      <c r="C11" s="497"/>
      <c r="D11" s="497"/>
      <c r="E11" s="497"/>
      <c r="F11" s="497"/>
      <c r="G11" s="497"/>
      <c r="H11" s="497"/>
      <c r="I11" s="497"/>
      <c r="J11" s="497"/>
      <c r="K11" s="497"/>
      <c r="L11" s="497"/>
      <c r="M11" s="497"/>
      <c r="N11" s="497"/>
      <c r="O11" s="497"/>
      <c r="P11" s="497"/>
      <c r="Q11" s="497"/>
      <c r="R11" s="497"/>
      <c r="S11" s="498">
        <f t="shared" si="0"/>
        <v>0</v>
      </c>
    </row>
    <row r="12" spans="1:19" s="139" customFormat="1">
      <c r="A12" s="104">
        <v>5</v>
      </c>
      <c r="B12" s="157" t="s">
        <v>220</v>
      </c>
      <c r="C12" s="497"/>
      <c r="D12" s="497"/>
      <c r="E12" s="497"/>
      <c r="F12" s="497"/>
      <c r="G12" s="497"/>
      <c r="H12" s="497"/>
      <c r="I12" s="497"/>
      <c r="J12" s="497"/>
      <c r="K12" s="497"/>
      <c r="L12" s="497"/>
      <c r="M12" s="497"/>
      <c r="N12" s="497"/>
      <c r="O12" s="497"/>
      <c r="P12" s="497"/>
      <c r="Q12" s="497"/>
      <c r="R12" s="497"/>
      <c r="S12" s="498">
        <f t="shared" si="0"/>
        <v>0</v>
      </c>
    </row>
    <row r="13" spans="1:19" s="139" customFormat="1">
      <c r="A13" s="104">
        <v>6</v>
      </c>
      <c r="B13" s="157" t="s">
        <v>221</v>
      </c>
      <c r="C13" s="497"/>
      <c r="D13" s="497"/>
      <c r="E13" s="497">
        <v>2093635.7</v>
      </c>
      <c r="F13" s="497"/>
      <c r="G13" s="497"/>
      <c r="H13" s="497"/>
      <c r="I13" s="497">
        <v>43009884.478454009</v>
      </c>
      <c r="J13" s="497">
        <v>400440</v>
      </c>
      <c r="K13" s="497"/>
      <c r="L13" s="497"/>
      <c r="M13" s="497">
        <v>2941568.6180199999</v>
      </c>
      <c r="N13" s="497">
        <v>24844835.470000003</v>
      </c>
      <c r="O13" s="497"/>
      <c r="P13" s="497"/>
      <c r="Q13" s="497"/>
      <c r="R13" s="497"/>
      <c r="S13" s="498">
        <f t="shared" si="0"/>
        <v>49910293.467247009</v>
      </c>
    </row>
    <row r="14" spans="1:19" s="139" customFormat="1">
      <c r="A14" s="104">
        <v>7</v>
      </c>
      <c r="B14" s="157" t="s">
        <v>73</v>
      </c>
      <c r="C14" s="497"/>
      <c r="D14" s="497"/>
      <c r="E14" s="497"/>
      <c r="F14" s="497"/>
      <c r="G14" s="497"/>
      <c r="H14" s="497"/>
      <c r="I14" s="497"/>
      <c r="J14" s="497"/>
      <c r="K14" s="497"/>
      <c r="L14" s="497"/>
      <c r="M14" s="497">
        <v>232246701.31189907</v>
      </c>
      <c r="N14" s="497">
        <v>20180480.589999996</v>
      </c>
      <c r="O14" s="497"/>
      <c r="P14" s="497"/>
      <c r="Q14" s="497"/>
      <c r="R14" s="497"/>
      <c r="S14" s="498">
        <f t="shared" si="0"/>
        <v>252427181.90189907</v>
      </c>
    </row>
    <row r="15" spans="1:19" s="139" customFormat="1">
      <c r="A15" s="104">
        <v>8</v>
      </c>
      <c r="B15" s="157" t="s">
        <v>74</v>
      </c>
      <c r="C15" s="497"/>
      <c r="D15" s="497"/>
      <c r="E15" s="497"/>
      <c r="F15" s="497"/>
      <c r="G15" s="497"/>
      <c r="H15" s="497"/>
      <c r="I15" s="497"/>
      <c r="J15" s="497"/>
      <c r="K15" s="497"/>
      <c r="L15" s="497"/>
      <c r="M15" s="497"/>
      <c r="N15" s="497">
        <v>31838.214999999997</v>
      </c>
      <c r="O15" s="497"/>
      <c r="P15" s="497"/>
      <c r="Q15" s="497"/>
      <c r="R15" s="497"/>
      <c r="S15" s="498">
        <f t="shared" si="0"/>
        <v>31838.214999999997</v>
      </c>
    </row>
    <row r="16" spans="1:19" s="139" customFormat="1">
      <c r="A16" s="104">
        <v>9</v>
      </c>
      <c r="B16" s="157" t="s">
        <v>75</v>
      </c>
      <c r="C16" s="497"/>
      <c r="D16" s="497"/>
      <c r="E16" s="497"/>
      <c r="F16" s="497"/>
      <c r="G16" s="497"/>
      <c r="H16" s="497"/>
      <c r="I16" s="497"/>
      <c r="J16" s="497"/>
      <c r="K16" s="497"/>
      <c r="L16" s="497"/>
      <c r="M16" s="497"/>
      <c r="N16" s="497"/>
      <c r="O16" s="497"/>
      <c r="P16" s="497"/>
      <c r="Q16" s="497"/>
      <c r="R16" s="497"/>
      <c r="S16" s="498">
        <f t="shared" si="0"/>
        <v>0</v>
      </c>
    </row>
    <row r="17" spans="1:19" s="139" customFormat="1">
      <c r="A17" s="104">
        <v>10</v>
      </c>
      <c r="B17" s="157" t="s">
        <v>69</v>
      </c>
      <c r="C17" s="497"/>
      <c r="D17" s="497"/>
      <c r="E17" s="497"/>
      <c r="F17" s="497"/>
      <c r="G17" s="497"/>
      <c r="H17" s="497"/>
      <c r="I17" s="497"/>
      <c r="J17" s="497"/>
      <c r="K17" s="497"/>
      <c r="L17" s="497"/>
      <c r="M17" s="497">
        <v>1491590.3239999998</v>
      </c>
      <c r="N17" s="497"/>
      <c r="O17" s="497"/>
      <c r="P17" s="497"/>
      <c r="Q17" s="497"/>
      <c r="R17" s="497"/>
      <c r="S17" s="498">
        <f t="shared" si="0"/>
        <v>1491590.3239999998</v>
      </c>
    </row>
    <row r="18" spans="1:19" s="139" customFormat="1">
      <c r="A18" s="104">
        <v>11</v>
      </c>
      <c r="B18" s="157" t="s">
        <v>70</v>
      </c>
      <c r="C18" s="497"/>
      <c r="D18" s="497"/>
      <c r="E18" s="497"/>
      <c r="F18" s="497"/>
      <c r="G18" s="497"/>
      <c r="H18" s="497"/>
      <c r="I18" s="497"/>
      <c r="J18" s="497"/>
      <c r="K18" s="497"/>
      <c r="L18" s="497"/>
      <c r="M18" s="497"/>
      <c r="N18" s="497"/>
      <c r="O18" s="497">
        <v>1024.6950000000006</v>
      </c>
      <c r="P18" s="497"/>
      <c r="Q18" s="497"/>
      <c r="R18" s="497"/>
      <c r="S18" s="498">
        <f t="shared" si="0"/>
        <v>1537.0425000000009</v>
      </c>
    </row>
    <row r="19" spans="1:19" s="139" customFormat="1">
      <c r="A19" s="104">
        <v>12</v>
      </c>
      <c r="B19" s="157" t="s">
        <v>71</v>
      </c>
      <c r="C19" s="497"/>
      <c r="D19" s="497"/>
      <c r="E19" s="497"/>
      <c r="F19" s="497"/>
      <c r="G19" s="497"/>
      <c r="H19" s="497"/>
      <c r="I19" s="497"/>
      <c r="J19" s="497"/>
      <c r="K19" s="497"/>
      <c r="L19" s="497"/>
      <c r="M19" s="497"/>
      <c r="N19" s="497"/>
      <c r="O19" s="497"/>
      <c r="P19" s="497"/>
      <c r="Q19" s="497"/>
      <c r="R19" s="497"/>
      <c r="S19" s="498">
        <f t="shared" si="0"/>
        <v>0</v>
      </c>
    </row>
    <row r="20" spans="1:19" s="139" customFormat="1">
      <c r="A20" s="104">
        <v>13</v>
      </c>
      <c r="B20" s="157" t="s">
        <v>72</v>
      </c>
      <c r="C20" s="497"/>
      <c r="D20" s="497"/>
      <c r="E20" s="497"/>
      <c r="F20" s="497"/>
      <c r="G20" s="497"/>
      <c r="H20" s="497"/>
      <c r="I20" s="497"/>
      <c r="J20" s="497"/>
      <c r="K20" s="497"/>
      <c r="L20" s="497"/>
      <c r="M20" s="497"/>
      <c r="N20" s="497"/>
      <c r="O20" s="497"/>
      <c r="P20" s="497"/>
      <c r="Q20" s="497"/>
      <c r="R20" s="497"/>
      <c r="S20" s="498">
        <f t="shared" si="0"/>
        <v>0</v>
      </c>
    </row>
    <row r="21" spans="1:19" s="139" customFormat="1">
      <c r="A21" s="104">
        <v>14</v>
      </c>
      <c r="B21" s="157" t="s">
        <v>249</v>
      </c>
      <c r="C21" s="497">
        <v>4814456.16</v>
      </c>
      <c r="D21" s="497"/>
      <c r="E21" s="497"/>
      <c r="F21" s="497"/>
      <c r="G21" s="497"/>
      <c r="H21" s="497"/>
      <c r="I21" s="497"/>
      <c r="J21" s="497"/>
      <c r="K21" s="497"/>
      <c r="L21" s="497"/>
      <c r="M21" s="497">
        <v>11336180.135517543</v>
      </c>
      <c r="N21" s="497"/>
      <c r="O21" s="497"/>
      <c r="P21" s="497"/>
      <c r="Q21" s="497"/>
      <c r="R21" s="497"/>
      <c r="S21" s="498">
        <f t="shared" si="0"/>
        <v>11336180.135517543</v>
      </c>
    </row>
    <row r="22" spans="1:19" ht="13.5" thickBot="1">
      <c r="A22" s="86"/>
      <c r="B22" s="141" t="s">
        <v>68</v>
      </c>
      <c r="C22" s="499">
        <f>SUM(C8:C21)</f>
        <v>13354016.314913245</v>
      </c>
      <c r="D22" s="499">
        <f t="shared" ref="D22:S22" si="1">SUM(D8:D21)</f>
        <v>0</v>
      </c>
      <c r="E22" s="499">
        <f t="shared" si="1"/>
        <v>2093635.7</v>
      </c>
      <c r="F22" s="499">
        <f t="shared" si="1"/>
        <v>0</v>
      </c>
      <c r="G22" s="499">
        <f t="shared" si="1"/>
        <v>0</v>
      </c>
      <c r="H22" s="499">
        <f t="shared" si="1"/>
        <v>0</v>
      </c>
      <c r="I22" s="499">
        <f t="shared" si="1"/>
        <v>43009884.478454009</v>
      </c>
      <c r="J22" s="499">
        <f t="shared" si="1"/>
        <v>400440</v>
      </c>
      <c r="K22" s="499">
        <f t="shared" si="1"/>
        <v>0</v>
      </c>
      <c r="L22" s="499">
        <f t="shared" si="1"/>
        <v>0</v>
      </c>
      <c r="M22" s="499">
        <f t="shared" si="1"/>
        <v>294384644.20027071</v>
      </c>
      <c r="N22" s="499">
        <f t="shared" si="1"/>
        <v>45057154.275000006</v>
      </c>
      <c r="O22" s="499">
        <f t="shared" si="1"/>
        <v>1024.6950000000006</v>
      </c>
      <c r="P22" s="499">
        <f t="shared" si="1"/>
        <v>0</v>
      </c>
      <c r="Q22" s="499">
        <f t="shared" si="1"/>
        <v>0</v>
      </c>
      <c r="R22" s="499">
        <f t="shared" si="1"/>
        <v>0</v>
      </c>
      <c r="S22" s="500">
        <f t="shared" si="1"/>
        <v>361567224.89699775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65" t="s">
        <v>188</v>
      </c>
      <c r="B1" s="366" t="s">
        <v>501</v>
      </c>
    </row>
    <row r="2" spans="1:22" ht="15">
      <c r="A2" s="365" t="s">
        <v>189</v>
      </c>
      <c r="B2" s="367">
        <f>'1. key ratios'!B2</f>
        <v>44286</v>
      </c>
    </row>
    <row r="4" spans="1:22" ht="27.75" thickBot="1">
      <c r="A4" s="2" t="s">
        <v>339</v>
      </c>
      <c r="B4" s="226" t="s">
        <v>361</v>
      </c>
      <c r="V4" s="183" t="s">
        <v>93</v>
      </c>
    </row>
    <row r="5" spans="1:22">
      <c r="A5" s="84"/>
      <c r="B5" s="85"/>
      <c r="C5" s="577" t="s">
        <v>198</v>
      </c>
      <c r="D5" s="578"/>
      <c r="E5" s="578"/>
      <c r="F5" s="578"/>
      <c r="G5" s="578"/>
      <c r="H5" s="578"/>
      <c r="I5" s="578"/>
      <c r="J5" s="578"/>
      <c r="K5" s="578"/>
      <c r="L5" s="579"/>
      <c r="M5" s="577" t="s">
        <v>199</v>
      </c>
      <c r="N5" s="578"/>
      <c r="O5" s="578"/>
      <c r="P5" s="578"/>
      <c r="Q5" s="578"/>
      <c r="R5" s="578"/>
      <c r="S5" s="579"/>
      <c r="T5" s="582" t="s">
        <v>359</v>
      </c>
      <c r="U5" s="582" t="s">
        <v>358</v>
      </c>
      <c r="V5" s="580" t="s">
        <v>200</v>
      </c>
    </row>
    <row r="6" spans="1:22" s="51" customFormat="1" ht="140.25">
      <c r="A6" s="102"/>
      <c r="B6" s="159"/>
      <c r="C6" s="82" t="s">
        <v>201</v>
      </c>
      <c r="D6" s="81" t="s">
        <v>202</v>
      </c>
      <c r="E6" s="78" t="s">
        <v>203</v>
      </c>
      <c r="F6" s="227" t="s">
        <v>353</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583"/>
      <c r="U6" s="583"/>
      <c r="V6" s="581"/>
    </row>
    <row r="7" spans="1:22" s="139" customFormat="1">
      <c r="A7" s="140">
        <v>1</v>
      </c>
      <c r="B7" s="138" t="s">
        <v>216</v>
      </c>
      <c r="C7" s="501"/>
      <c r="D7" s="497"/>
      <c r="E7" s="497"/>
      <c r="F7" s="497"/>
      <c r="G7" s="497"/>
      <c r="H7" s="497"/>
      <c r="I7" s="497"/>
      <c r="J7" s="497"/>
      <c r="K7" s="497"/>
      <c r="L7" s="478"/>
      <c r="M7" s="501"/>
      <c r="N7" s="497"/>
      <c r="O7" s="497"/>
      <c r="P7" s="497"/>
      <c r="Q7" s="497"/>
      <c r="R7" s="497"/>
      <c r="S7" s="478"/>
      <c r="T7" s="502"/>
      <c r="U7" s="502"/>
      <c r="V7" s="503">
        <f>SUM(C7:S7)</f>
        <v>0</v>
      </c>
    </row>
    <row r="8" spans="1:22" s="139" customFormat="1">
      <c r="A8" s="140">
        <v>2</v>
      </c>
      <c r="B8" s="138" t="s">
        <v>217</v>
      </c>
      <c r="C8" s="501"/>
      <c r="D8" s="497"/>
      <c r="E8" s="497"/>
      <c r="F8" s="497"/>
      <c r="G8" s="497"/>
      <c r="H8" s="497"/>
      <c r="I8" s="497"/>
      <c r="J8" s="497"/>
      <c r="K8" s="497"/>
      <c r="L8" s="478"/>
      <c r="M8" s="501"/>
      <c r="N8" s="497"/>
      <c r="O8" s="497"/>
      <c r="P8" s="497"/>
      <c r="Q8" s="497"/>
      <c r="R8" s="497"/>
      <c r="S8" s="478"/>
      <c r="T8" s="502"/>
      <c r="U8" s="502"/>
      <c r="V8" s="503">
        <f t="shared" ref="V8:V20" si="0">SUM(C8:S8)</f>
        <v>0</v>
      </c>
    </row>
    <row r="9" spans="1:22" s="139" customFormat="1">
      <c r="A9" s="140">
        <v>3</v>
      </c>
      <c r="B9" s="138" t="s">
        <v>218</v>
      </c>
      <c r="C9" s="501"/>
      <c r="D9" s="497"/>
      <c r="E9" s="497"/>
      <c r="F9" s="497"/>
      <c r="G9" s="497"/>
      <c r="H9" s="497"/>
      <c r="I9" s="497"/>
      <c r="J9" s="497"/>
      <c r="K9" s="497"/>
      <c r="L9" s="478"/>
      <c r="M9" s="501"/>
      <c r="N9" s="497"/>
      <c r="O9" s="497"/>
      <c r="P9" s="497"/>
      <c r="Q9" s="497"/>
      <c r="R9" s="497"/>
      <c r="S9" s="478"/>
      <c r="T9" s="502"/>
      <c r="U9" s="502"/>
      <c r="V9" s="503">
        <f t="shared" si="0"/>
        <v>0</v>
      </c>
    </row>
    <row r="10" spans="1:22" s="139" customFormat="1">
      <c r="A10" s="140">
        <v>4</v>
      </c>
      <c r="B10" s="138" t="s">
        <v>219</v>
      </c>
      <c r="C10" s="501"/>
      <c r="D10" s="497"/>
      <c r="E10" s="497"/>
      <c r="F10" s="497"/>
      <c r="G10" s="497"/>
      <c r="H10" s="497"/>
      <c r="I10" s="497"/>
      <c r="J10" s="497"/>
      <c r="K10" s="497"/>
      <c r="L10" s="478"/>
      <c r="M10" s="501"/>
      <c r="N10" s="497"/>
      <c r="O10" s="497"/>
      <c r="P10" s="497"/>
      <c r="Q10" s="497"/>
      <c r="R10" s="497"/>
      <c r="S10" s="478"/>
      <c r="T10" s="502"/>
      <c r="U10" s="502"/>
      <c r="V10" s="503">
        <f t="shared" si="0"/>
        <v>0</v>
      </c>
    </row>
    <row r="11" spans="1:22" s="139" customFormat="1">
      <c r="A11" s="140">
        <v>5</v>
      </c>
      <c r="B11" s="138" t="s">
        <v>220</v>
      </c>
      <c r="C11" s="501"/>
      <c r="D11" s="497"/>
      <c r="E11" s="497"/>
      <c r="F11" s="497"/>
      <c r="G11" s="497"/>
      <c r="H11" s="497"/>
      <c r="I11" s="497"/>
      <c r="J11" s="497"/>
      <c r="K11" s="497"/>
      <c r="L11" s="478"/>
      <c r="M11" s="501"/>
      <c r="N11" s="497"/>
      <c r="O11" s="497"/>
      <c r="P11" s="497"/>
      <c r="Q11" s="497"/>
      <c r="R11" s="497"/>
      <c r="S11" s="478"/>
      <c r="T11" s="502"/>
      <c r="U11" s="502"/>
      <c r="V11" s="503">
        <f t="shared" si="0"/>
        <v>0</v>
      </c>
    </row>
    <row r="12" spans="1:22" s="139" customFormat="1">
      <c r="A12" s="140">
        <v>6</v>
      </c>
      <c r="B12" s="138" t="s">
        <v>221</v>
      </c>
      <c r="C12" s="501"/>
      <c r="D12" s="497"/>
      <c r="E12" s="497"/>
      <c r="F12" s="497"/>
      <c r="G12" s="497"/>
      <c r="H12" s="497"/>
      <c r="I12" s="497"/>
      <c r="J12" s="497"/>
      <c r="K12" s="497"/>
      <c r="L12" s="478"/>
      <c r="M12" s="501"/>
      <c r="N12" s="497"/>
      <c r="O12" s="497"/>
      <c r="P12" s="497"/>
      <c r="Q12" s="497"/>
      <c r="R12" s="497"/>
      <c r="S12" s="478"/>
      <c r="T12" s="502"/>
      <c r="U12" s="502"/>
      <c r="V12" s="503">
        <f t="shared" si="0"/>
        <v>0</v>
      </c>
    </row>
    <row r="13" spans="1:22" s="139" customFormat="1">
      <c r="A13" s="140">
        <v>7</v>
      </c>
      <c r="B13" s="138" t="s">
        <v>73</v>
      </c>
      <c r="C13" s="501"/>
      <c r="D13" s="497">
        <v>1296572.0160000001</v>
      </c>
      <c r="E13" s="497"/>
      <c r="F13" s="497"/>
      <c r="G13" s="497"/>
      <c r="H13" s="497"/>
      <c r="I13" s="497"/>
      <c r="J13" s="497"/>
      <c r="K13" s="497"/>
      <c r="L13" s="478"/>
      <c r="M13" s="501"/>
      <c r="N13" s="497"/>
      <c r="O13" s="497"/>
      <c r="P13" s="497"/>
      <c r="Q13" s="497"/>
      <c r="R13" s="497"/>
      <c r="S13" s="478"/>
      <c r="T13" s="502">
        <v>711138.01600000006</v>
      </c>
      <c r="U13" s="502">
        <v>585434</v>
      </c>
      <c r="V13" s="503">
        <f t="shared" si="0"/>
        <v>1296572.0160000001</v>
      </c>
    </row>
    <row r="14" spans="1:22" s="139" customFormat="1">
      <c r="A14" s="140">
        <v>8</v>
      </c>
      <c r="B14" s="138" t="s">
        <v>74</v>
      </c>
      <c r="C14" s="501"/>
      <c r="D14" s="497"/>
      <c r="E14" s="497"/>
      <c r="F14" s="497"/>
      <c r="G14" s="497"/>
      <c r="H14" s="497"/>
      <c r="I14" s="497"/>
      <c r="J14" s="497"/>
      <c r="K14" s="497"/>
      <c r="L14" s="478"/>
      <c r="M14" s="501"/>
      <c r="N14" s="497"/>
      <c r="O14" s="497"/>
      <c r="P14" s="497"/>
      <c r="Q14" s="497"/>
      <c r="R14" s="497"/>
      <c r="S14" s="478"/>
      <c r="T14" s="502"/>
      <c r="U14" s="502"/>
      <c r="V14" s="503">
        <f t="shared" si="0"/>
        <v>0</v>
      </c>
    </row>
    <row r="15" spans="1:22" s="139" customFormat="1">
      <c r="A15" s="140">
        <v>9</v>
      </c>
      <c r="B15" s="138" t="s">
        <v>75</v>
      </c>
      <c r="C15" s="501"/>
      <c r="D15" s="497"/>
      <c r="E15" s="497"/>
      <c r="F15" s="497"/>
      <c r="G15" s="497"/>
      <c r="H15" s="497"/>
      <c r="I15" s="497"/>
      <c r="J15" s="497"/>
      <c r="K15" s="497"/>
      <c r="L15" s="478"/>
      <c r="M15" s="501"/>
      <c r="N15" s="497"/>
      <c r="O15" s="497"/>
      <c r="P15" s="497"/>
      <c r="Q15" s="497"/>
      <c r="R15" s="497"/>
      <c r="S15" s="478"/>
      <c r="T15" s="502"/>
      <c r="U15" s="502"/>
      <c r="V15" s="503">
        <f t="shared" si="0"/>
        <v>0</v>
      </c>
    </row>
    <row r="16" spans="1:22" s="139" customFormat="1">
      <c r="A16" s="140">
        <v>10</v>
      </c>
      <c r="B16" s="138" t="s">
        <v>69</v>
      </c>
      <c r="C16" s="501"/>
      <c r="D16" s="497"/>
      <c r="E16" s="497"/>
      <c r="F16" s="497"/>
      <c r="G16" s="497"/>
      <c r="H16" s="497"/>
      <c r="I16" s="497"/>
      <c r="J16" s="497"/>
      <c r="K16" s="497"/>
      <c r="L16" s="478"/>
      <c r="M16" s="501"/>
      <c r="N16" s="497"/>
      <c r="O16" s="497"/>
      <c r="P16" s="497"/>
      <c r="Q16" s="497"/>
      <c r="R16" s="497"/>
      <c r="S16" s="478"/>
      <c r="T16" s="502"/>
      <c r="U16" s="502"/>
      <c r="V16" s="503">
        <f t="shared" si="0"/>
        <v>0</v>
      </c>
    </row>
    <row r="17" spans="1:22" s="139" customFormat="1">
      <c r="A17" s="140">
        <v>11</v>
      </c>
      <c r="B17" s="138" t="s">
        <v>70</v>
      </c>
      <c r="C17" s="501"/>
      <c r="D17" s="497"/>
      <c r="E17" s="497"/>
      <c r="F17" s="497"/>
      <c r="G17" s="497"/>
      <c r="H17" s="497"/>
      <c r="I17" s="497"/>
      <c r="J17" s="497"/>
      <c r="K17" s="497"/>
      <c r="L17" s="478"/>
      <c r="M17" s="501"/>
      <c r="N17" s="497"/>
      <c r="O17" s="497"/>
      <c r="P17" s="497"/>
      <c r="Q17" s="497"/>
      <c r="R17" s="497"/>
      <c r="S17" s="478"/>
      <c r="T17" s="502"/>
      <c r="U17" s="502"/>
      <c r="V17" s="503">
        <f t="shared" si="0"/>
        <v>0</v>
      </c>
    </row>
    <row r="18" spans="1:22" s="139" customFormat="1">
      <c r="A18" s="140">
        <v>12</v>
      </c>
      <c r="B18" s="138" t="s">
        <v>71</v>
      </c>
      <c r="C18" s="501"/>
      <c r="D18" s="497"/>
      <c r="E18" s="497"/>
      <c r="F18" s="497"/>
      <c r="G18" s="497"/>
      <c r="H18" s="497"/>
      <c r="I18" s="497"/>
      <c r="J18" s="497"/>
      <c r="K18" s="497"/>
      <c r="L18" s="478"/>
      <c r="M18" s="501"/>
      <c r="N18" s="497"/>
      <c r="O18" s="497"/>
      <c r="P18" s="497"/>
      <c r="Q18" s="497"/>
      <c r="R18" s="497"/>
      <c r="S18" s="478"/>
      <c r="T18" s="502"/>
      <c r="U18" s="502"/>
      <c r="V18" s="503">
        <f t="shared" si="0"/>
        <v>0</v>
      </c>
    </row>
    <row r="19" spans="1:22" s="139" customFormat="1">
      <c r="A19" s="140">
        <v>13</v>
      </c>
      <c r="B19" s="138" t="s">
        <v>72</v>
      </c>
      <c r="C19" s="501"/>
      <c r="D19" s="497"/>
      <c r="E19" s="497"/>
      <c r="F19" s="497"/>
      <c r="G19" s="497"/>
      <c r="H19" s="497"/>
      <c r="I19" s="497"/>
      <c r="J19" s="497"/>
      <c r="K19" s="497"/>
      <c r="L19" s="478"/>
      <c r="M19" s="501"/>
      <c r="N19" s="497"/>
      <c r="O19" s="497"/>
      <c r="P19" s="497"/>
      <c r="Q19" s="497"/>
      <c r="R19" s="497"/>
      <c r="S19" s="478"/>
      <c r="T19" s="502"/>
      <c r="U19" s="502"/>
      <c r="V19" s="503">
        <f t="shared" si="0"/>
        <v>0</v>
      </c>
    </row>
    <row r="20" spans="1:22" s="139" customFormat="1">
      <c r="A20" s="140">
        <v>14</v>
      </c>
      <c r="B20" s="138" t="s">
        <v>249</v>
      </c>
      <c r="C20" s="501"/>
      <c r="D20" s="497">
        <v>114535.848</v>
      </c>
      <c r="E20" s="497"/>
      <c r="F20" s="497"/>
      <c r="G20" s="497"/>
      <c r="H20" s="497"/>
      <c r="I20" s="497"/>
      <c r="J20" s="497"/>
      <c r="K20" s="497"/>
      <c r="L20" s="478"/>
      <c r="M20" s="501"/>
      <c r="N20" s="497"/>
      <c r="O20" s="497"/>
      <c r="P20" s="497"/>
      <c r="Q20" s="497"/>
      <c r="R20" s="497"/>
      <c r="S20" s="478"/>
      <c r="T20" s="502">
        <v>114535.848</v>
      </c>
      <c r="U20" s="502"/>
      <c r="V20" s="503">
        <f t="shared" si="0"/>
        <v>114535.848</v>
      </c>
    </row>
    <row r="21" spans="1:22" ht="13.5" thickBot="1">
      <c r="A21" s="86"/>
      <c r="B21" s="87" t="s">
        <v>68</v>
      </c>
      <c r="C21" s="504">
        <f>SUM(C7:C20)</f>
        <v>0</v>
      </c>
      <c r="D21" s="505">
        <f t="shared" ref="D21:V21" si="1">SUM(D7:D20)</f>
        <v>1411107.8640000001</v>
      </c>
      <c r="E21" s="505">
        <f t="shared" si="1"/>
        <v>0</v>
      </c>
      <c r="F21" s="505">
        <f t="shared" si="1"/>
        <v>0</v>
      </c>
      <c r="G21" s="505">
        <f t="shared" si="1"/>
        <v>0</v>
      </c>
      <c r="H21" s="505">
        <f t="shared" si="1"/>
        <v>0</v>
      </c>
      <c r="I21" s="505">
        <f t="shared" si="1"/>
        <v>0</v>
      </c>
      <c r="J21" s="505">
        <f t="shared" si="1"/>
        <v>0</v>
      </c>
      <c r="K21" s="505">
        <f t="shared" si="1"/>
        <v>0</v>
      </c>
      <c r="L21" s="506">
        <f t="shared" si="1"/>
        <v>0</v>
      </c>
      <c r="M21" s="504">
        <f t="shared" si="1"/>
        <v>0</v>
      </c>
      <c r="N21" s="505">
        <f t="shared" si="1"/>
        <v>0</v>
      </c>
      <c r="O21" s="505">
        <f t="shared" si="1"/>
        <v>0</v>
      </c>
      <c r="P21" s="505">
        <f t="shared" si="1"/>
        <v>0</v>
      </c>
      <c r="Q21" s="505">
        <f t="shared" si="1"/>
        <v>0</v>
      </c>
      <c r="R21" s="505">
        <f t="shared" si="1"/>
        <v>0</v>
      </c>
      <c r="S21" s="506">
        <f>SUM(S7:S20)</f>
        <v>0</v>
      </c>
      <c r="T21" s="506">
        <f>SUM(T7:T20)</f>
        <v>825673.86400000006</v>
      </c>
      <c r="U21" s="506">
        <f t="shared" ref="U21" si="2">SUM(U7:U20)</f>
        <v>585434</v>
      </c>
      <c r="V21" s="507">
        <f t="shared" si="1"/>
        <v>1411107.8640000001</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65" t="s">
        <v>188</v>
      </c>
      <c r="B1" s="366" t="s">
        <v>501</v>
      </c>
    </row>
    <row r="2" spans="1:9" ht="15">
      <c r="A2" s="365" t="s">
        <v>189</v>
      </c>
      <c r="B2" s="367">
        <f>'1. key ratios'!B2</f>
        <v>44286</v>
      </c>
    </row>
    <row r="4" spans="1:9" ht="13.5" thickBot="1">
      <c r="A4" s="2" t="s">
        <v>340</v>
      </c>
      <c r="B4" s="223" t="s">
        <v>362</v>
      </c>
    </row>
    <row r="5" spans="1:9">
      <c r="A5" s="84"/>
      <c r="B5" s="136"/>
      <c r="C5" s="142" t="s">
        <v>0</v>
      </c>
      <c r="D5" s="142" t="s">
        <v>1</v>
      </c>
      <c r="E5" s="142" t="s">
        <v>2</v>
      </c>
      <c r="F5" s="142" t="s">
        <v>3</v>
      </c>
      <c r="G5" s="221" t="s">
        <v>4</v>
      </c>
      <c r="H5" s="143" t="s">
        <v>5</v>
      </c>
      <c r="I5" s="25"/>
    </row>
    <row r="6" spans="1:9" ht="15" customHeight="1">
      <c r="A6" s="135"/>
      <c r="B6" s="23"/>
      <c r="C6" s="584" t="s">
        <v>354</v>
      </c>
      <c r="D6" s="588" t="s">
        <v>364</v>
      </c>
      <c r="E6" s="589"/>
      <c r="F6" s="584" t="s">
        <v>365</v>
      </c>
      <c r="G6" s="584" t="s">
        <v>366</v>
      </c>
      <c r="H6" s="586" t="s">
        <v>356</v>
      </c>
      <c r="I6" s="25"/>
    </row>
    <row r="7" spans="1:9" ht="76.5">
      <c r="A7" s="135"/>
      <c r="B7" s="23"/>
      <c r="C7" s="585"/>
      <c r="D7" s="222" t="s">
        <v>357</v>
      </c>
      <c r="E7" s="222" t="s">
        <v>355</v>
      </c>
      <c r="F7" s="585"/>
      <c r="G7" s="585"/>
      <c r="H7" s="587"/>
      <c r="I7" s="25"/>
    </row>
    <row r="8" spans="1:9">
      <c r="A8" s="75">
        <v>1</v>
      </c>
      <c r="B8" s="57" t="s">
        <v>216</v>
      </c>
      <c r="C8" s="510">
        <f>'11. CRWA'!C8+'11. CRWA'!E8+'11. CRWA'!G8+'11. CRWA'!I8+'11. CRWA'!K8+'11. CRWA'!M8+'11. CRWA'!O8+'11. CRWA'!Q8</f>
        <v>54908163.965747371</v>
      </c>
      <c r="D8" s="511"/>
      <c r="E8" s="510">
        <f>'11. CRWA'!D8+'11. CRWA'!F8+'11. CRWA'!H8+'11. CRWA'!J8+'11. CRWA'!L8+'11. CRWA'!N8+'11. CRWA'!P8+'11. CRWA'!R8</f>
        <v>0</v>
      </c>
      <c r="F8" s="510">
        <f>'11. CRWA'!S8</f>
        <v>46368603.810834125</v>
      </c>
      <c r="G8" s="512">
        <f>F8-'12. CRM'!V7</f>
        <v>46368603.810834125</v>
      </c>
      <c r="H8" s="508">
        <f>IFERROR(G8/(C8+E8),0)</f>
        <v>0.84447558362650099</v>
      </c>
    </row>
    <row r="9" spans="1:9" ht="15" customHeight="1">
      <c r="A9" s="75">
        <v>2</v>
      </c>
      <c r="B9" s="57" t="s">
        <v>217</v>
      </c>
      <c r="C9" s="510">
        <f>'11. CRWA'!C9+'11. CRWA'!E9+'11. CRWA'!G9+'11. CRWA'!I9+'11. CRWA'!K9+'11. CRWA'!M9+'11. CRWA'!O9+'11. CRWA'!Q9</f>
        <v>0</v>
      </c>
      <c r="D9" s="511"/>
      <c r="E9" s="510">
        <f>'11. CRWA'!D9+'11. CRWA'!F9+'11. CRWA'!H9+'11. CRWA'!J9+'11. CRWA'!L9+'11. CRWA'!N9+'11. CRWA'!P9+'11. CRWA'!R9</f>
        <v>0</v>
      </c>
      <c r="F9" s="510">
        <f>'11. CRWA'!S9</f>
        <v>0</v>
      </c>
      <c r="G9" s="512">
        <f>F9-'12. CRM'!V8</f>
        <v>0</v>
      </c>
      <c r="H9" s="508">
        <f t="shared" ref="H9:H21" si="0">IFERROR(G9/(C9+E9),0)</f>
        <v>0</v>
      </c>
    </row>
    <row r="10" spans="1:9">
      <c r="A10" s="75">
        <v>3</v>
      </c>
      <c r="B10" s="57" t="s">
        <v>218</v>
      </c>
      <c r="C10" s="510">
        <f>'11. CRWA'!C10+'11. CRWA'!E10+'11. CRWA'!G10+'11. CRWA'!I10+'11. CRWA'!K10+'11. CRWA'!M10+'11. CRWA'!O10+'11. CRWA'!Q10</f>
        <v>0</v>
      </c>
      <c r="D10" s="511"/>
      <c r="E10" s="510">
        <f>'11. CRWA'!D10+'11. CRWA'!F10+'11. CRWA'!H10+'11. CRWA'!J10+'11. CRWA'!L10+'11. CRWA'!N10+'11. CRWA'!P10+'11. CRWA'!R10</f>
        <v>0</v>
      </c>
      <c r="F10" s="510">
        <f>'11. CRWA'!S10</f>
        <v>0</v>
      </c>
      <c r="G10" s="512">
        <f>F10-'12. CRM'!V9</f>
        <v>0</v>
      </c>
      <c r="H10" s="508">
        <f t="shared" si="0"/>
        <v>0</v>
      </c>
    </row>
    <row r="11" spans="1:9">
      <c r="A11" s="75">
        <v>4</v>
      </c>
      <c r="B11" s="57" t="s">
        <v>219</v>
      </c>
      <c r="C11" s="510">
        <f>'11. CRWA'!C11+'11. CRWA'!E11+'11. CRWA'!G11+'11. CRWA'!I11+'11. CRWA'!K11+'11. CRWA'!M11+'11. CRWA'!O11+'11. CRWA'!Q11</f>
        <v>0</v>
      </c>
      <c r="D11" s="511"/>
      <c r="E11" s="510">
        <f>'11. CRWA'!D11+'11. CRWA'!F11+'11. CRWA'!H11+'11. CRWA'!J11+'11. CRWA'!L11+'11. CRWA'!N11+'11. CRWA'!P11+'11. CRWA'!R11</f>
        <v>0</v>
      </c>
      <c r="F11" s="510">
        <f>'11. CRWA'!S11</f>
        <v>0</v>
      </c>
      <c r="G11" s="512">
        <f>F11-'12. CRM'!V10</f>
        <v>0</v>
      </c>
      <c r="H11" s="508">
        <f t="shared" si="0"/>
        <v>0</v>
      </c>
    </row>
    <row r="12" spans="1:9">
      <c r="A12" s="75">
        <v>5</v>
      </c>
      <c r="B12" s="57" t="s">
        <v>220</v>
      </c>
      <c r="C12" s="510">
        <f>'11. CRWA'!C12+'11. CRWA'!E12+'11. CRWA'!G12+'11. CRWA'!I12+'11. CRWA'!K12+'11. CRWA'!M12+'11. CRWA'!O12+'11. CRWA'!Q12</f>
        <v>0</v>
      </c>
      <c r="D12" s="511"/>
      <c r="E12" s="510">
        <f>'11. CRWA'!D12+'11. CRWA'!F12+'11. CRWA'!H12+'11. CRWA'!J12+'11. CRWA'!L12+'11. CRWA'!N12+'11. CRWA'!P12+'11. CRWA'!R12</f>
        <v>0</v>
      </c>
      <c r="F12" s="510">
        <f>'11. CRWA'!S12</f>
        <v>0</v>
      </c>
      <c r="G12" s="512">
        <f>F12-'12. CRM'!V11</f>
        <v>0</v>
      </c>
      <c r="H12" s="508">
        <f t="shared" si="0"/>
        <v>0</v>
      </c>
    </row>
    <row r="13" spans="1:9">
      <c r="A13" s="75">
        <v>6</v>
      </c>
      <c r="B13" s="57" t="s">
        <v>221</v>
      </c>
      <c r="C13" s="510">
        <f>'11. CRWA'!C13+'11. CRWA'!E13+'11. CRWA'!G13+'11. CRWA'!I13+'11. CRWA'!K13+'11. CRWA'!M13+'11. CRWA'!O13+'11. CRWA'!Q13</f>
        <v>48045088.79647401</v>
      </c>
      <c r="D13" s="511">
        <f>'11. CRWA'!D13+'11. CRWA'!F13+'11. CRWA'!H13+'11. CRWA'!J13+'11. CRWA'!L13+'11. CRWA'!N13+'11. CRWA'!P13+'11. CRWA'!R13</f>
        <v>25245275.470000003</v>
      </c>
      <c r="E13" s="510">
        <f>'11. CRWA'!D13+'11. CRWA'!F13+'11. CRWA'!H13+'11. CRWA'!J13+'11. CRWA'!L13+'11. CRWA'!N13+'11. CRWA'!P13+'11. CRWA'!R13</f>
        <v>25245275.470000003</v>
      </c>
      <c r="F13" s="510">
        <f>'11. CRWA'!S13</f>
        <v>49910293.467247009</v>
      </c>
      <c r="G13" s="512">
        <f>F13-'12. CRM'!V12</f>
        <v>49910293.467247009</v>
      </c>
      <c r="H13" s="508">
        <f t="shared" si="0"/>
        <v>0.68099393374250161</v>
      </c>
    </row>
    <row r="14" spans="1:9">
      <c r="A14" s="75">
        <v>7</v>
      </c>
      <c r="B14" s="57" t="s">
        <v>73</v>
      </c>
      <c r="C14" s="510">
        <f>'11. CRWA'!C14+'11. CRWA'!E14+'11. CRWA'!G14+'11. CRWA'!I14+'11. CRWA'!K14+'11. CRWA'!M14+'11. CRWA'!O14+'11. CRWA'!Q14</f>
        <v>232246701.31189907</v>
      </c>
      <c r="D14" s="511">
        <f>'4. Off-Balance'!E7-D13</f>
        <v>45489432.49000001</v>
      </c>
      <c r="E14" s="510">
        <f>'11. CRWA'!D14+'11. CRWA'!F14+'11. CRWA'!H14+'11. CRWA'!J14+'11. CRWA'!L14+'11. CRWA'!N14+'11. CRWA'!P14+'11. CRWA'!R14</f>
        <v>20180480.589999996</v>
      </c>
      <c r="F14" s="510">
        <f>'11. CRWA'!S14</f>
        <v>252427181.90189907</v>
      </c>
      <c r="G14" s="512">
        <f>F14-'12. CRM'!V13</f>
        <v>251130609.88589907</v>
      </c>
      <c r="H14" s="508">
        <f t="shared" si="0"/>
        <v>0.99486358003828645</v>
      </c>
    </row>
    <row r="15" spans="1:9">
      <c r="A15" s="75">
        <v>8</v>
      </c>
      <c r="B15" s="57" t="s">
        <v>74</v>
      </c>
      <c r="C15" s="510">
        <f>'11. CRWA'!C15+'11. CRWA'!E15+'11. CRWA'!G15+'11. CRWA'!I15+'11. CRWA'!K15+'11. CRWA'!M15+'11. CRWA'!O15+'11. CRWA'!Q15</f>
        <v>0</v>
      </c>
      <c r="D15" s="511"/>
      <c r="E15" s="510">
        <f>'11. CRWA'!D15+'11. CRWA'!F15+'11. CRWA'!H15+'11. CRWA'!J15+'11. CRWA'!L15+'11. CRWA'!N15+'11. CRWA'!P15+'11. CRWA'!R15</f>
        <v>31838.214999999997</v>
      </c>
      <c r="F15" s="510">
        <f>'11. CRWA'!S15</f>
        <v>31838.214999999997</v>
      </c>
      <c r="G15" s="512">
        <f>F15-'12. CRM'!V14</f>
        <v>31838.214999999997</v>
      </c>
      <c r="H15" s="508">
        <f t="shared" si="0"/>
        <v>1</v>
      </c>
    </row>
    <row r="16" spans="1:9">
      <c r="A16" s="75">
        <v>9</v>
      </c>
      <c r="B16" s="57" t="s">
        <v>75</v>
      </c>
      <c r="C16" s="510">
        <f>'11. CRWA'!C16+'11. CRWA'!E16+'11. CRWA'!G16+'11. CRWA'!I16+'11. CRWA'!K16+'11. CRWA'!M16+'11. CRWA'!O16+'11. CRWA'!Q16</f>
        <v>0</v>
      </c>
      <c r="D16" s="511"/>
      <c r="E16" s="510">
        <f>'11. CRWA'!D16+'11. CRWA'!F16+'11. CRWA'!H16+'11. CRWA'!J16+'11. CRWA'!L16+'11. CRWA'!N16+'11. CRWA'!P16+'11. CRWA'!R16</f>
        <v>0</v>
      </c>
      <c r="F16" s="510">
        <f>'11. CRWA'!S16</f>
        <v>0</v>
      </c>
      <c r="G16" s="512">
        <f>F16-'12. CRM'!V15</f>
        <v>0</v>
      </c>
      <c r="H16" s="508">
        <f t="shared" si="0"/>
        <v>0</v>
      </c>
    </row>
    <row r="17" spans="1:8">
      <c r="A17" s="75">
        <v>10</v>
      </c>
      <c r="B17" s="57" t="s">
        <v>69</v>
      </c>
      <c r="C17" s="510">
        <f>'11. CRWA'!C17+'11. CRWA'!E17+'11. CRWA'!G17+'11. CRWA'!I17+'11. CRWA'!K17+'11. CRWA'!M17+'11. CRWA'!O17+'11. CRWA'!Q17</f>
        <v>1491590.3239999998</v>
      </c>
      <c r="D17" s="511"/>
      <c r="E17" s="510">
        <f>'11. CRWA'!D17+'11. CRWA'!F17+'11. CRWA'!H17+'11. CRWA'!J17+'11. CRWA'!L17+'11. CRWA'!N17+'11. CRWA'!P17+'11. CRWA'!R17</f>
        <v>0</v>
      </c>
      <c r="F17" s="510">
        <f>'11. CRWA'!S17</f>
        <v>1491590.3239999998</v>
      </c>
      <c r="G17" s="512">
        <f>F17-'12. CRM'!V16</f>
        <v>1491590.3239999998</v>
      </c>
      <c r="H17" s="508">
        <f t="shared" si="0"/>
        <v>1</v>
      </c>
    </row>
    <row r="18" spans="1:8">
      <c r="A18" s="75">
        <v>11</v>
      </c>
      <c r="B18" s="57" t="s">
        <v>70</v>
      </c>
      <c r="C18" s="510">
        <f>'11. CRWA'!C18+'11. CRWA'!E18+'11. CRWA'!G18+'11. CRWA'!I18+'11. CRWA'!K18+'11. CRWA'!M18+'11. CRWA'!O18+'11. CRWA'!Q18</f>
        <v>1024.6950000000006</v>
      </c>
      <c r="D18" s="511"/>
      <c r="E18" s="510">
        <f>'11. CRWA'!D18+'11. CRWA'!F18+'11. CRWA'!H18+'11. CRWA'!J18+'11. CRWA'!L18+'11. CRWA'!N18+'11. CRWA'!P18+'11. CRWA'!R18</f>
        <v>0</v>
      </c>
      <c r="F18" s="510">
        <f>'11. CRWA'!S18</f>
        <v>1537.0425000000009</v>
      </c>
      <c r="G18" s="512">
        <f>F18-'12. CRM'!V17</f>
        <v>1537.0425000000009</v>
      </c>
      <c r="H18" s="508">
        <f t="shared" si="0"/>
        <v>1.5</v>
      </c>
    </row>
    <row r="19" spans="1:8">
      <c r="A19" s="75">
        <v>12</v>
      </c>
      <c r="B19" s="57" t="s">
        <v>71</v>
      </c>
      <c r="C19" s="510">
        <f>'11. CRWA'!C19+'11. CRWA'!E19+'11. CRWA'!G19+'11. CRWA'!I19+'11. CRWA'!K19+'11. CRWA'!M19+'11. CRWA'!O19+'11. CRWA'!Q19</f>
        <v>0</v>
      </c>
      <c r="D19" s="511"/>
      <c r="E19" s="510">
        <f>'11. CRWA'!D19+'11. CRWA'!F19+'11. CRWA'!H19+'11. CRWA'!J19+'11. CRWA'!L19+'11. CRWA'!N19+'11. CRWA'!P19+'11. CRWA'!R19</f>
        <v>0</v>
      </c>
      <c r="F19" s="510">
        <f>'11. CRWA'!S19</f>
        <v>0</v>
      </c>
      <c r="G19" s="512">
        <f>F19-'12. CRM'!V18</f>
        <v>0</v>
      </c>
      <c r="H19" s="508">
        <f t="shared" si="0"/>
        <v>0</v>
      </c>
    </row>
    <row r="20" spans="1:8">
      <c r="A20" s="75">
        <v>13</v>
      </c>
      <c r="B20" s="57" t="s">
        <v>72</v>
      </c>
      <c r="C20" s="510">
        <f>'11. CRWA'!C20+'11. CRWA'!E20+'11. CRWA'!G20+'11. CRWA'!I20+'11. CRWA'!K20+'11. CRWA'!M20+'11. CRWA'!O20+'11. CRWA'!Q20</f>
        <v>0</v>
      </c>
      <c r="D20" s="511"/>
      <c r="E20" s="510">
        <f>'11. CRWA'!D20+'11. CRWA'!F20+'11. CRWA'!H20+'11. CRWA'!J20+'11. CRWA'!L20+'11. CRWA'!N20+'11. CRWA'!P20+'11. CRWA'!R20</f>
        <v>0</v>
      </c>
      <c r="F20" s="510">
        <f>'11. CRWA'!S20</f>
        <v>0</v>
      </c>
      <c r="G20" s="512">
        <f>F20-'12. CRM'!V19</f>
        <v>0</v>
      </c>
      <c r="H20" s="508">
        <f t="shared" si="0"/>
        <v>0</v>
      </c>
    </row>
    <row r="21" spans="1:8">
      <c r="A21" s="75">
        <v>14</v>
      </c>
      <c r="B21" s="57" t="s">
        <v>249</v>
      </c>
      <c r="C21" s="510">
        <f>'11. CRWA'!C21+'11. CRWA'!E21+'11. CRWA'!G21+'11. CRWA'!I21+'11. CRWA'!K21+'11. CRWA'!M21+'11. CRWA'!O21+'11. CRWA'!Q21</f>
        <v>16150636.295517543</v>
      </c>
      <c r="D21" s="511"/>
      <c r="E21" s="510">
        <f>'11. CRWA'!D21+'11. CRWA'!F21+'11. CRWA'!H21+'11. CRWA'!J21+'11. CRWA'!L21+'11. CRWA'!N21+'11. CRWA'!P21+'11. CRWA'!R21</f>
        <v>0</v>
      </c>
      <c r="F21" s="510">
        <f>'11. CRWA'!S21</f>
        <v>11336180.135517543</v>
      </c>
      <c r="G21" s="512">
        <f>F21-'12. CRM'!V20</f>
        <v>11221644.287517544</v>
      </c>
      <c r="H21" s="508">
        <f t="shared" si="0"/>
        <v>0.69481128063245445</v>
      </c>
    </row>
    <row r="22" spans="1:8" ht="13.5" thickBot="1">
      <c r="A22" s="137"/>
      <c r="B22" s="144" t="s">
        <v>68</v>
      </c>
      <c r="C22" s="513">
        <f>SUM(C8:C21)</f>
        <v>352843205.38863802</v>
      </c>
      <c r="D22" s="513">
        <f>SUM(D8:D21)</f>
        <v>70734707.960000008</v>
      </c>
      <c r="E22" s="513">
        <f>SUM(E8:E21)</f>
        <v>45457594.275000006</v>
      </c>
      <c r="F22" s="513">
        <f>SUM(F8:F21)</f>
        <v>361567224.89699775</v>
      </c>
      <c r="G22" s="513">
        <f>SUM(G8:G21)</f>
        <v>360156117.03299773</v>
      </c>
      <c r="H22" s="509">
        <f>G22/(C22+E22)</f>
        <v>0.90423146862157155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52" bestFit="1" customWidth="1"/>
    <col min="2" max="2" width="104.140625" style="252" customWidth="1"/>
    <col min="3" max="11" width="12.7109375" style="252" customWidth="1"/>
    <col min="12" max="16384" width="9.140625" style="252"/>
  </cols>
  <sheetData>
    <row r="1" spans="1:11" ht="15">
      <c r="A1" s="365" t="s">
        <v>188</v>
      </c>
      <c r="B1" s="366" t="s">
        <v>501</v>
      </c>
    </row>
    <row r="2" spans="1:11" ht="15">
      <c r="A2" s="365" t="s">
        <v>189</v>
      </c>
      <c r="B2" s="367">
        <f>'1. key ratios'!B2</f>
        <v>44286</v>
      </c>
      <c r="C2" s="253"/>
      <c r="D2" s="253"/>
    </row>
    <row r="3" spans="1:11">
      <c r="B3" s="253"/>
      <c r="C3" s="253"/>
      <c r="D3" s="253"/>
    </row>
    <row r="4" spans="1:11" ht="13.5" thickBot="1">
      <c r="A4" s="252" t="s">
        <v>395</v>
      </c>
      <c r="B4" s="223" t="s">
        <v>394</v>
      </c>
      <c r="C4" s="253"/>
      <c r="D4" s="253"/>
    </row>
    <row r="5" spans="1:11" ht="30" customHeight="1">
      <c r="A5" s="593"/>
      <c r="B5" s="594"/>
      <c r="C5" s="591" t="s">
        <v>426</v>
      </c>
      <c r="D5" s="591"/>
      <c r="E5" s="591"/>
      <c r="F5" s="591" t="s">
        <v>427</v>
      </c>
      <c r="G5" s="591"/>
      <c r="H5" s="591"/>
      <c r="I5" s="591" t="s">
        <v>428</v>
      </c>
      <c r="J5" s="591"/>
      <c r="K5" s="592"/>
    </row>
    <row r="6" spans="1:11">
      <c r="A6" s="250"/>
      <c r="B6" s="251"/>
      <c r="C6" s="254" t="s">
        <v>27</v>
      </c>
      <c r="D6" s="254" t="s">
        <v>96</v>
      </c>
      <c r="E6" s="254" t="s">
        <v>68</v>
      </c>
      <c r="F6" s="254" t="s">
        <v>27</v>
      </c>
      <c r="G6" s="254" t="s">
        <v>96</v>
      </c>
      <c r="H6" s="254" t="s">
        <v>68</v>
      </c>
      <c r="I6" s="254" t="s">
        <v>27</v>
      </c>
      <c r="J6" s="254" t="s">
        <v>96</v>
      </c>
      <c r="K6" s="255" t="s">
        <v>68</v>
      </c>
    </row>
    <row r="7" spans="1:11">
      <c r="A7" s="256" t="s">
        <v>374</v>
      </c>
      <c r="B7" s="249"/>
      <c r="C7" s="514"/>
      <c r="D7" s="249"/>
      <c r="E7" s="257"/>
      <c r="F7" s="514"/>
      <c r="G7" s="249"/>
      <c r="H7" s="257"/>
      <c r="I7" s="249"/>
      <c r="J7" s="249"/>
      <c r="K7" s="257"/>
    </row>
    <row r="8" spans="1:11">
      <c r="A8" s="248">
        <v>1</v>
      </c>
      <c r="B8" s="232" t="s">
        <v>374</v>
      </c>
      <c r="C8" s="515"/>
      <c r="D8" s="230"/>
      <c r="E8" s="231"/>
      <c r="F8" s="516">
        <v>25398542.372555569</v>
      </c>
      <c r="G8" s="517">
        <v>64915491.790444419</v>
      </c>
      <c r="H8" s="518">
        <f>G8+F8</f>
        <v>90314034.162999988</v>
      </c>
      <c r="I8" s="519">
        <v>22572186.91911111</v>
      </c>
      <c r="J8" s="517">
        <v>39139253.706555575</v>
      </c>
      <c r="K8" s="518">
        <f>I8+J8</f>
        <v>61711440.625666685</v>
      </c>
    </row>
    <row r="9" spans="1:11">
      <c r="A9" s="256" t="s">
        <v>375</v>
      </c>
      <c r="B9" s="249"/>
      <c r="C9" s="514"/>
      <c r="D9" s="249"/>
      <c r="E9" s="257"/>
      <c r="F9" s="514"/>
      <c r="G9" s="249"/>
      <c r="H9" s="257"/>
      <c r="I9" s="249"/>
      <c r="J9" s="249"/>
      <c r="K9" s="257"/>
    </row>
    <row r="10" spans="1:11">
      <c r="A10" s="258">
        <v>2</v>
      </c>
      <c r="B10" s="233" t="s">
        <v>376</v>
      </c>
      <c r="C10" s="516">
        <v>1596719.7024444435</v>
      </c>
      <c r="D10" s="520">
        <v>24535049.115777791</v>
      </c>
      <c r="E10" s="518">
        <f>C10+D10</f>
        <v>26131768.818222232</v>
      </c>
      <c r="F10" s="516">
        <v>552556.10309888888</v>
      </c>
      <c r="G10" s="520">
        <v>6155179.8127977755</v>
      </c>
      <c r="H10" s="518">
        <f>G10+F10</f>
        <v>6707735.9158966644</v>
      </c>
      <c r="I10" s="519">
        <v>127096.98450000005</v>
      </c>
      <c r="J10" s="520">
        <v>1526171.3388277779</v>
      </c>
      <c r="K10" s="518">
        <f>I10+J10</f>
        <v>1653268.3233277779</v>
      </c>
    </row>
    <row r="11" spans="1:11">
      <c r="A11" s="258">
        <v>3</v>
      </c>
      <c r="B11" s="233" t="s">
        <v>377</v>
      </c>
      <c r="C11" s="516">
        <v>13065202.792111112</v>
      </c>
      <c r="D11" s="520">
        <v>197209085.51644456</v>
      </c>
      <c r="E11" s="518">
        <f t="shared" ref="E11:E16" si="0">C11+D11</f>
        <v>210274288.30855566</v>
      </c>
      <c r="F11" s="521">
        <v>8346177.816461117</v>
      </c>
      <c r="G11" s="519">
        <v>50073226.483586133</v>
      </c>
      <c r="H11" s="518">
        <f t="shared" ref="H11:H16" si="1">G11+F11</f>
        <v>58419404.300047249</v>
      </c>
      <c r="I11" s="521">
        <v>6773039.0469611092</v>
      </c>
      <c r="J11" s="519">
        <v>56022417.935105562</v>
      </c>
      <c r="K11" s="518">
        <f t="shared" ref="K11:K16" si="2">I11+J11</f>
        <v>62795456.982066669</v>
      </c>
    </row>
    <row r="12" spans="1:11">
      <c r="A12" s="258">
        <v>4</v>
      </c>
      <c r="B12" s="233" t="s">
        <v>378</v>
      </c>
      <c r="C12" s="522"/>
      <c r="D12" s="234"/>
      <c r="E12" s="518">
        <f t="shared" si="0"/>
        <v>0</v>
      </c>
      <c r="F12" s="522"/>
      <c r="G12" s="234"/>
      <c r="H12" s="518">
        <f t="shared" si="1"/>
        <v>0</v>
      </c>
      <c r="I12" s="523"/>
      <c r="J12" s="234"/>
      <c r="K12" s="518">
        <f t="shared" si="2"/>
        <v>0</v>
      </c>
    </row>
    <row r="13" spans="1:11">
      <c r="A13" s="258">
        <v>5</v>
      </c>
      <c r="B13" s="233" t="s">
        <v>379</v>
      </c>
      <c r="C13" s="516">
        <v>27286507.673064444</v>
      </c>
      <c r="D13" s="520">
        <v>47754621.574006684</v>
      </c>
      <c r="E13" s="518">
        <f t="shared" si="0"/>
        <v>75041129.247071132</v>
      </c>
      <c r="F13" s="516">
        <v>2740575.6495897784</v>
      </c>
      <c r="G13" s="520">
        <v>4955649.3604938891</v>
      </c>
      <c r="H13" s="518">
        <f t="shared" si="1"/>
        <v>7696225.0100836679</v>
      </c>
      <c r="I13" s="519">
        <v>1364325.3836532221</v>
      </c>
      <c r="J13" s="520">
        <v>2387731.0787003324</v>
      </c>
      <c r="K13" s="518">
        <f t="shared" si="2"/>
        <v>3752056.4623535546</v>
      </c>
    </row>
    <row r="14" spans="1:11">
      <c r="A14" s="258">
        <v>6</v>
      </c>
      <c r="B14" s="233" t="s">
        <v>393</v>
      </c>
      <c r="C14" s="522"/>
      <c r="D14" s="234"/>
      <c r="E14" s="518">
        <f t="shared" si="0"/>
        <v>0</v>
      </c>
      <c r="F14" s="522"/>
      <c r="G14" s="234"/>
      <c r="H14" s="518">
        <f t="shared" si="1"/>
        <v>0</v>
      </c>
      <c r="I14" s="523"/>
      <c r="J14" s="234"/>
      <c r="K14" s="518">
        <f t="shared" si="2"/>
        <v>0</v>
      </c>
    </row>
    <row r="15" spans="1:11">
      <c r="A15" s="258">
        <v>7</v>
      </c>
      <c r="B15" s="233" t="s">
        <v>380</v>
      </c>
      <c r="C15" s="516">
        <v>426364.29966666666</v>
      </c>
      <c r="D15" s="520">
        <v>1306098.9147777779</v>
      </c>
      <c r="E15" s="518">
        <f t="shared" si="0"/>
        <v>1732463.2144444445</v>
      </c>
      <c r="F15" s="516">
        <v>0</v>
      </c>
      <c r="G15" s="520">
        <v>0</v>
      </c>
      <c r="H15" s="518">
        <f t="shared" si="1"/>
        <v>0</v>
      </c>
      <c r="I15" s="519">
        <v>0</v>
      </c>
      <c r="J15" s="520">
        <v>0</v>
      </c>
      <c r="K15" s="518">
        <f t="shared" si="2"/>
        <v>0</v>
      </c>
    </row>
    <row r="16" spans="1:11">
      <c r="A16" s="258">
        <v>8</v>
      </c>
      <c r="B16" s="235" t="s">
        <v>381</v>
      </c>
      <c r="C16" s="524">
        <f>SUM(C10:C15)</f>
        <v>42374794.467286669</v>
      </c>
      <c r="D16" s="525">
        <f>SUM(D10:D15)</f>
        <v>270804855.12100679</v>
      </c>
      <c r="E16" s="518">
        <f t="shared" si="0"/>
        <v>313179649.58829343</v>
      </c>
      <c r="F16" s="526">
        <f>SUM(F10:F15)</f>
        <v>11639309.569149785</v>
      </c>
      <c r="G16" s="527">
        <f>SUM(G10:G15)</f>
        <v>61184055.656877801</v>
      </c>
      <c r="H16" s="518">
        <f t="shared" si="1"/>
        <v>72823365.226027578</v>
      </c>
      <c r="I16" s="525">
        <f>SUM(I10:I15)</f>
        <v>8264461.415114332</v>
      </c>
      <c r="J16" s="527">
        <f>SUM(J10:J15)</f>
        <v>59936320.352633677</v>
      </c>
      <c r="K16" s="518">
        <f t="shared" si="2"/>
        <v>68200781.767748013</v>
      </c>
    </row>
    <row r="17" spans="1:11">
      <c r="A17" s="256" t="s">
        <v>382</v>
      </c>
      <c r="B17" s="249"/>
      <c r="C17" s="514"/>
      <c r="D17" s="249"/>
      <c r="E17" s="257"/>
      <c r="F17" s="514"/>
      <c r="G17" s="249"/>
      <c r="H17" s="257"/>
      <c r="I17" s="249"/>
      <c r="J17" s="249"/>
      <c r="K17" s="257"/>
    </row>
    <row r="18" spans="1:11">
      <c r="A18" s="258">
        <v>9</v>
      </c>
      <c r="B18" s="233" t="s">
        <v>383</v>
      </c>
      <c r="C18" s="522"/>
      <c r="D18" s="234"/>
      <c r="E18" s="518">
        <f>C18+D18</f>
        <v>0</v>
      </c>
      <c r="F18" s="522"/>
      <c r="G18" s="234"/>
      <c r="H18" s="518">
        <f>F18+G18</f>
        <v>0</v>
      </c>
      <c r="I18" s="523"/>
      <c r="J18" s="234"/>
      <c r="K18" s="518">
        <f>I18+J18</f>
        <v>0</v>
      </c>
    </row>
    <row r="19" spans="1:11">
      <c r="A19" s="258">
        <v>10</v>
      </c>
      <c r="B19" s="233" t="s">
        <v>384</v>
      </c>
      <c r="C19" s="516">
        <v>65732393.652757771</v>
      </c>
      <c r="D19" s="520">
        <v>152540270.60537115</v>
      </c>
      <c r="E19" s="518">
        <f t="shared" ref="E19:E21" si="3">C19+D19</f>
        <v>218272664.25812891</v>
      </c>
      <c r="F19" s="516">
        <v>6983482.7798622213</v>
      </c>
      <c r="G19" s="520">
        <v>11149452.033048889</v>
      </c>
      <c r="H19" s="518">
        <f t="shared" ref="H19:H21" si="4">F19+G19</f>
        <v>18132934.812911108</v>
      </c>
      <c r="I19" s="519">
        <v>9809838.2333066631</v>
      </c>
      <c r="J19" s="520">
        <v>40987099.083604433</v>
      </c>
      <c r="K19" s="518">
        <f t="shared" ref="K19:K21" si="5">I19+J19</f>
        <v>50796937.316911094</v>
      </c>
    </row>
    <row r="20" spans="1:11">
      <c r="A20" s="258">
        <v>11</v>
      </c>
      <c r="B20" s="233" t="s">
        <v>385</v>
      </c>
      <c r="C20" s="521">
        <v>3379197.1786118546</v>
      </c>
      <c r="D20" s="528">
        <v>9618739.8267957401</v>
      </c>
      <c r="E20" s="518">
        <f t="shared" si="3"/>
        <v>12997937.005407594</v>
      </c>
      <c r="F20" s="521">
        <v>281838.19002763461</v>
      </c>
      <c r="G20" s="528">
        <v>97101.775544444448</v>
      </c>
      <c r="H20" s="518">
        <f t="shared" si="4"/>
        <v>378939.96557207906</v>
      </c>
      <c r="I20" s="529">
        <v>281838.19002763461</v>
      </c>
      <c r="J20" s="528">
        <v>97101.775544444448</v>
      </c>
      <c r="K20" s="518">
        <f t="shared" si="5"/>
        <v>378939.96557207906</v>
      </c>
    </row>
    <row r="21" spans="1:11" ht="13.5" thickBot="1">
      <c r="A21" s="196">
        <v>12</v>
      </c>
      <c r="B21" s="259" t="s">
        <v>386</v>
      </c>
      <c r="C21" s="530">
        <f>SUM(C18:C20)</f>
        <v>69111590.831369624</v>
      </c>
      <c r="D21" s="531">
        <f>SUM(D18:D20)</f>
        <v>162159010.43216687</v>
      </c>
      <c r="E21" s="532">
        <f t="shared" si="3"/>
        <v>231270601.26353651</v>
      </c>
      <c r="F21" s="533">
        <f>SUM(F18:F20)</f>
        <v>7265320.9698898559</v>
      </c>
      <c r="G21" s="534">
        <f>SUM(G18:G20)</f>
        <v>11246553.808593333</v>
      </c>
      <c r="H21" s="532">
        <f t="shared" si="4"/>
        <v>18511874.77848319</v>
      </c>
      <c r="I21" s="531">
        <f>SUM(I18:I20)</f>
        <v>10091676.423334297</v>
      </c>
      <c r="J21" s="534">
        <f>SUM(J18:J20)</f>
        <v>41084200.859148875</v>
      </c>
      <c r="K21" s="532">
        <f t="shared" si="5"/>
        <v>51175877.282483175</v>
      </c>
    </row>
    <row r="22" spans="1:11" ht="38.25" customHeight="1" thickBot="1">
      <c r="A22" s="246"/>
      <c r="B22" s="247"/>
      <c r="C22" s="247"/>
      <c r="D22" s="247"/>
      <c r="E22" s="247"/>
      <c r="F22" s="590" t="s">
        <v>387</v>
      </c>
      <c r="G22" s="591"/>
      <c r="H22" s="591"/>
      <c r="I22" s="590" t="s">
        <v>388</v>
      </c>
      <c r="J22" s="591"/>
      <c r="K22" s="592"/>
    </row>
    <row r="23" spans="1:11">
      <c r="A23" s="239">
        <v>13</v>
      </c>
      <c r="B23" s="236" t="s">
        <v>374</v>
      </c>
      <c r="C23" s="245"/>
      <c r="D23" s="245"/>
      <c r="E23" s="245"/>
      <c r="F23" s="535">
        <f>F8</f>
        <v>25398542.372555569</v>
      </c>
      <c r="G23" s="536">
        <f>G8</f>
        <v>64915491.790444419</v>
      </c>
      <c r="H23" s="537">
        <f>F23+G23</f>
        <v>90314034.162999988</v>
      </c>
      <c r="I23" s="535">
        <f>I8</f>
        <v>22572186.91911111</v>
      </c>
      <c r="J23" s="536">
        <f>J8</f>
        <v>39139253.706555575</v>
      </c>
      <c r="K23" s="537">
        <f>I23+J23</f>
        <v>61711440.625666685</v>
      </c>
    </row>
    <row r="24" spans="1:11" ht="13.5" thickBot="1">
      <c r="A24" s="240">
        <v>14</v>
      </c>
      <c r="B24" s="237" t="s">
        <v>389</v>
      </c>
      <c r="C24" s="260"/>
      <c r="D24" s="243"/>
      <c r="E24" s="244"/>
      <c r="F24" s="538">
        <f>F16-F21</f>
        <v>4373988.5992599288</v>
      </c>
      <c r="G24" s="539">
        <f>G16-G21</f>
        <v>49937501.848284468</v>
      </c>
      <c r="H24" s="540">
        <f>F24+G24</f>
        <v>54311490.447544396</v>
      </c>
      <c r="I24" s="541">
        <f>I16-MIN(I16*75%,I21)</f>
        <v>2066115.353778583</v>
      </c>
      <c r="J24" s="542">
        <f>J16-MIN(J16*75%,J21)</f>
        <v>18852119.493484803</v>
      </c>
      <c r="K24" s="540">
        <f t="shared" ref="K24" si="6">I24+J24</f>
        <v>20918234.847263385</v>
      </c>
    </row>
    <row r="25" spans="1:11" ht="13.5" thickBot="1">
      <c r="A25" s="241">
        <v>15</v>
      </c>
      <c r="B25" s="238" t="s">
        <v>390</v>
      </c>
      <c r="C25" s="242"/>
      <c r="D25" s="242"/>
      <c r="E25" s="242"/>
      <c r="F25" s="543">
        <f t="shared" ref="F25:G25" si="7">F23/F24</f>
        <v>5.8067234964565193</v>
      </c>
      <c r="G25" s="544">
        <f t="shared" si="7"/>
        <v>1.2999347061385791</v>
      </c>
      <c r="H25" s="545">
        <f>H23/H24</f>
        <v>1.6628899965510593</v>
      </c>
      <c r="I25" s="543">
        <f t="shared" ref="I25:J25" si="8">I23/I24</f>
        <v>10.92494031266469</v>
      </c>
      <c r="J25" s="544">
        <f t="shared" si="8"/>
        <v>2.0761195429554702</v>
      </c>
      <c r="K25" s="545">
        <f>K23/K24</f>
        <v>2.9501265798122565</v>
      </c>
    </row>
    <row r="28" spans="1:11" ht="38.25">
      <c r="B28" s="24" t="s">
        <v>425</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8"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365" t="s">
        <v>188</v>
      </c>
      <c r="B1" s="366" t="s">
        <v>501</v>
      </c>
    </row>
    <row r="2" spans="1:14" ht="14.25" customHeight="1">
      <c r="A2" s="365" t="s">
        <v>189</v>
      </c>
      <c r="B2" s="367">
        <f>'1. key ratios'!B2</f>
        <v>44286</v>
      </c>
    </row>
    <row r="3" spans="1:14" ht="14.25" customHeight="1"/>
    <row r="4" spans="1:14" ht="15.75" thickBot="1">
      <c r="A4" s="2" t="s">
        <v>341</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12">
        <f>SUM(C8:C13)</f>
        <v>0</v>
      </c>
      <c r="D7" s="89"/>
      <c r="E7" s="215">
        <f t="shared" ref="E7:M7" si="0">SUM(E8:E13)</f>
        <v>0</v>
      </c>
      <c r="F7" s="212">
        <f>SUM(F8:F13)</f>
        <v>0</v>
      </c>
      <c r="G7" s="212">
        <f t="shared" si="0"/>
        <v>0</v>
      </c>
      <c r="H7" s="212">
        <f t="shared" si="0"/>
        <v>0</v>
      </c>
      <c r="I7" s="212">
        <f t="shared" si="0"/>
        <v>0</v>
      </c>
      <c r="J7" s="212">
        <f t="shared" si="0"/>
        <v>0</v>
      </c>
      <c r="K7" s="212">
        <f t="shared" si="0"/>
        <v>0</v>
      </c>
      <c r="L7" s="212">
        <f t="shared" si="0"/>
        <v>0</v>
      </c>
      <c r="M7" s="212">
        <f t="shared" si="0"/>
        <v>0</v>
      </c>
      <c r="N7" s="148">
        <f>SUM(N8:N13)</f>
        <v>0</v>
      </c>
    </row>
    <row r="8" spans="1:14">
      <c r="A8" s="147">
        <v>1.1000000000000001</v>
      </c>
      <c r="B8" s="95" t="s">
        <v>79</v>
      </c>
      <c r="C8" s="213">
        <v>0</v>
      </c>
      <c r="D8" s="96">
        <v>0.02</v>
      </c>
      <c r="E8" s="215">
        <f>C8*D8</f>
        <v>0</v>
      </c>
      <c r="F8" s="213"/>
      <c r="G8" s="213"/>
      <c r="H8" s="213"/>
      <c r="I8" s="213"/>
      <c r="J8" s="213"/>
      <c r="K8" s="213"/>
      <c r="L8" s="213"/>
      <c r="M8" s="213"/>
      <c r="N8" s="148">
        <f>SUMPRODUCT($F$6:$M$6,F8:M8)</f>
        <v>0</v>
      </c>
    </row>
    <row r="9" spans="1:14">
      <c r="A9" s="147">
        <v>1.2</v>
      </c>
      <c r="B9" s="95" t="s">
        <v>80</v>
      </c>
      <c r="C9" s="213">
        <v>0</v>
      </c>
      <c r="D9" s="96">
        <v>0.05</v>
      </c>
      <c r="E9" s="215">
        <f>C9*D9</f>
        <v>0</v>
      </c>
      <c r="F9" s="213"/>
      <c r="G9" s="213"/>
      <c r="H9" s="213"/>
      <c r="I9" s="213"/>
      <c r="J9" s="213"/>
      <c r="K9" s="213"/>
      <c r="L9" s="213"/>
      <c r="M9" s="213"/>
      <c r="N9" s="148">
        <f t="shared" ref="N9:N12" si="1">SUMPRODUCT($F$6:$M$6,F9:M9)</f>
        <v>0</v>
      </c>
    </row>
    <row r="10" spans="1:14">
      <c r="A10" s="147">
        <v>1.3</v>
      </c>
      <c r="B10" s="95" t="s">
        <v>81</v>
      </c>
      <c r="C10" s="213">
        <v>0</v>
      </c>
      <c r="D10" s="96">
        <v>0.08</v>
      </c>
      <c r="E10" s="215">
        <f>C10*D10</f>
        <v>0</v>
      </c>
      <c r="F10" s="213"/>
      <c r="G10" s="213"/>
      <c r="H10" s="213"/>
      <c r="I10" s="213"/>
      <c r="J10" s="213"/>
      <c r="K10" s="213"/>
      <c r="L10" s="213"/>
      <c r="M10" s="213"/>
      <c r="N10" s="148">
        <f>SUMPRODUCT($F$6:$M$6,F10:M10)</f>
        <v>0</v>
      </c>
    </row>
    <row r="11" spans="1:14">
      <c r="A11" s="147">
        <v>1.4</v>
      </c>
      <c r="B11" s="95" t="s">
        <v>82</v>
      </c>
      <c r="C11" s="213">
        <v>0</v>
      </c>
      <c r="D11" s="96">
        <v>0.11</v>
      </c>
      <c r="E11" s="215">
        <f>C11*D11</f>
        <v>0</v>
      </c>
      <c r="F11" s="213"/>
      <c r="G11" s="213"/>
      <c r="H11" s="213"/>
      <c r="I11" s="213"/>
      <c r="J11" s="213"/>
      <c r="K11" s="213"/>
      <c r="L11" s="213"/>
      <c r="M11" s="213"/>
      <c r="N11" s="148">
        <f t="shared" si="1"/>
        <v>0</v>
      </c>
    </row>
    <row r="12" spans="1:14">
      <c r="A12" s="147">
        <v>1.5</v>
      </c>
      <c r="B12" s="95" t="s">
        <v>83</v>
      </c>
      <c r="C12" s="213">
        <v>0</v>
      </c>
      <c r="D12" s="96">
        <v>0.14000000000000001</v>
      </c>
      <c r="E12" s="215">
        <f>C12*D12</f>
        <v>0</v>
      </c>
      <c r="F12" s="213"/>
      <c r="G12" s="213"/>
      <c r="H12" s="213"/>
      <c r="I12" s="213"/>
      <c r="J12" s="213"/>
      <c r="K12" s="213"/>
      <c r="L12" s="213"/>
      <c r="M12" s="213"/>
      <c r="N12" s="148">
        <f t="shared" si="1"/>
        <v>0</v>
      </c>
    </row>
    <row r="13" spans="1:14">
      <c r="A13" s="147">
        <v>1.6</v>
      </c>
      <c r="B13" s="97" t="s">
        <v>84</v>
      </c>
      <c r="C13" s="213">
        <v>0</v>
      </c>
      <c r="D13" s="98"/>
      <c r="E13" s="213"/>
      <c r="F13" s="213"/>
      <c r="G13" s="213"/>
      <c r="H13" s="213"/>
      <c r="I13" s="213"/>
      <c r="J13" s="213"/>
      <c r="K13" s="213"/>
      <c r="L13" s="213"/>
      <c r="M13" s="213"/>
      <c r="N13" s="148">
        <f>SUMPRODUCT($F$6:$M$6,F13:M13)</f>
        <v>0</v>
      </c>
    </row>
    <row r="14" spans="1:14">
      <c r="A14" s="147">
        <v>2</v>
      </c>
      <c r="B14" s="99" t="s">
        <v>85</v>
      </c>
      <c r="C14" s="212">
        <f>SUM(C15:C20)</f>
        <v>0</v>
      </c>
      <c r="D14" s="89"/>
      <c r="E14" s="215">
        <f t="shared" ref="E14:M14" si="2">SUM(E15:E20)</f>
        <v>0</v>
      </c>
      <c r="F14" s="213">
        <f t="shared" si="2"/>
        <v>0</v>
      </c>
      <c r="G14" s="213">
        <f t="shared" si="2"/>
        <v>0</v>
      </c>
      <c r="H14" s="213">
        <f t="shared" si="2"/>
        <v>0</v>
      </c>
      <c r="I14" s="213">
        <f t="shared" si="2"/>
        <v>0</v>
      </c>
      <c r="J14" s="213">
        <f t="shared" si="2"/>
        <v>0</v>
      </c>
      <c r="K14" s="213">
        <f t="shared" si="2"/>
        <v>0</v>
      </c>
      <c r="L14" s="213">
        <f t="shared" si="2"/>
        <v>0</v>
      </c>
      <c r="M14" s="213">
        <f t="shared" si="2"/>
        <v>0</v>
      </c>
      <c r="N14" s="148">
        <f>SUM(N15:N20)</f>
        <v>0</v>
      </c>
    </row>
    <row r="15" spans="1:14">
      <c r="A15" s="147">
        <v>2.1</v>
      </c>
      <c r="B15" s="97" t="s">
        <v>79</v>
      </c>
      <c r="C15" s="213"/>
      <c r="D15" s="96">
        <v>5.0000000000000001E-3</v>
      </c>
      <c r="E15" s="215">
        <f>C15*D15</f>
        <v>0</v>
      </c>
      <c r="F15" s="213"/>
      <c r="G15" s="213"/>
      <c r="H15" s="213"/>
      <c r="I15" s="213"/>
      <c r="J15" s="213"/>
      <c r="K15" s="213"/>
      <c r="L15" s="213"/>
      <c r="M15" s="213"/>
      <c r="N15" s="148">
        <f>SUMPRODUCT($F$6:$M$6,F15:M15)</f>
        <v>0</v>
      </c>
    </row>
    <row r="16" spans="1:14">
      <c r="A16" s="147">
        <v>2.2000000000000002</v>
      </c>
      <c r="B16" s="97" t="s">
        <v>80</v>
      </c>
      <c r="C16" s="213"/>
      <c r="D16" s="96">
        <v>0.01</v>
      </c>
      <c r="E16" s="215">
        <f>C16*D16</f>
        <v>0</v>
      </c>
      <c r="F16" s="213"/>
      <c r="G16" s="213"/>
      <c r="H16" s="213"/>
      <c r="I16" s="213"/>
      <c r="J16" s="213"/>
      <c r="K16" s="213"/>
      <c r="L16" s="213"/>
      <c r="M16" s="213"/>
      <c r="N16" s="148">
        <f t="shared" ref="N16:N20" si="3">SUMPRODUCT($F$6:$M$6,F16:M16)</f>
        <v>0</v>
      </c>
    </row>
    <row r="17" spans="1:14">
      <c r="A17" s="147">
        <v>2.2999999999999998</v>
      </c>
      <c r="B17" s="97" t="s">
        <v>81</v>
      </c>
      <c r="C17" s="213"/>
      <c r="D17" s="96">
        <v>0.02</v>
      </c>
      <c r="E17" s="215">
        <f>C17*D17</f>
        <v>0</v>
      </c>
      <c r="F17" s="213"/>
      <c r="G17" s="213"/>
      <c r="H17" s="213"/>
      <c r="I17" s="213"/>
      <c r="J17" s="213"/>
      <c r="K17" s="213"/>
      <c r="L17" s="213"/>
      <c r="M17" s="213"/>
      <c r="N17" s="148">
        <f t="shared" si="3"/>
        <v>0</v>
      </c>
    </row>
    <row r="18" spans="1:14">
      <c r="A18" s="147">
        <v>2.4</v>
      </c>
      <c r="B18" s="97" t="s">
        <v>82</v>
      </c>
      <c r="C18" s="213"/>
      <c r="D18" s="96">
        <v>0.03</v>
      </c>
      <c r="E18" s="215">
        <f>C18*D18</f>
        <v>0</v>
      </c>
      <c r="F18" s="213"/>
      <c r="G18" s="213"/>
      <c r="H18" s="213"/>
      <c r="I18" s="213"/>
      <c r="J18" s="213"/>
      <c r="K18" s="213"/>
      <c r="L18" s="213"/>
      <c r="M18" s="213"/>
      <c r="N18" s="148">
        <f t="shared" si="3"/>
        <v>0</v>
      </c>
    </row>
    <row r="19" spans="1:14">
      <c r="A19" s="147">
        <v>2.5</v>
      </c>
      <c r="B19" s="97" t="s">
        <v>83</v>
      </c>
      <c r="C19" s="213"/>
      <c r="D19" s="96">
        <v>0.04</v>
      </c>
      <c r="E19" s="215">
        <f>C19*D19</f>
        <v>0</v>
      </c>
      <c r="F19" s="213"/>
      <c r="G19" s="213"/>
      <c r="H19" s="213"/>
      <c r="I19" s="213"/>
      <c r="J19" s="213"/>
      <c r="K19" s="213"/>
      <c r="L19" s="213"/>
      <c r="M19" s="213"/>
      <c r="N19" s="148">
        <f t="shared" si="3"/>
        <v>0</v>
      </c>
    </row>
    <row r="20" spans="1:14">
      <c r="A20" s="147">
        <v>2.6</v>
      </c>
      <c r="B20" s="97" t="s">
        <v>84</v>
      </c>
      <c r="C20" s="213"/>
      <c r="D20" s="98"/>
      <c r="E20" s="216"/>
      <c r="F20" s="213"/>
      <c r="G20" s="213"/>
      <c r="H20" s="213"/>
      <c r="I20" s="213"/>
      <c r="J20" s="213"/>
      <c r="K20" s="213"/>
      <c r="L20" s="213"/>
      <c r="M20" s="213"/>
      <c r="N20" s="148">
        <f t="shared" si="3"/>
        <v>0</v>
      </c>
    </row>
    <row r="21" spans="1:14" ht="15.75" thickBot="1">
      <c r="A21" s="149">
        <v>3</v>
      </c>
      <c r="B21" s="150" t="s">
        <v>68</v>
      </c>
      <c r="C21" s="214">
        <f>C14+C7</f>
        <v>0</v>
      </c>
      <c r="D21" s="151"/>
      <c r="E21" s="217">
        <f>E14+E7</f>
        <v>0</v>
      </c>
      <c r="F21" s="218">
        <f>F7+F14</f>
        <v>0</v>
      </c>
      <c r="G21" s="218">
        <f t="shared" ref="G21:L21" si="4">G7+G14</f>
        <v>0</v>
      </c>
      <c r="H21" s="218">
        <f t="shared" si="4"/>
        <v>0</v>
      </c>
      <c r="I21" s="218">
        <f t="shared" si="4"/>
        <v>0</v>
      </c>
      <c r="J21" s="218">
        <f t="shared" si="4"/>
        <v>0</v>
      </c>
      <c r="K21" s="218">
        <f t="shared" si="4"/>
        <v>0</v>
      </c>
      <c r="L21" s="218">
        <f t="shared" si="4"/>
        <v>0</v>
      </c>
      <c r="M21" s="218">
        <f>M7+M14</f>
        <v>0</v>
      </c>
      <c r="N21" s="152">
        <f>N14+N7</f>
        <v>0</v>
      </c>
    </row>
    <row r="22" spans="1:14">
      <c r="E22" s="219"/>
      <c r="F22" s="219"/>
      <c r="G22" s="219"/>
      <c r="H22" s="219"/>
      <c r="I22" s="219"/>
      <c r="J22" s="219"/>
      <c r="K22" s="219"/>
      <c r="L22" s="219"/>
      <c r="M22" s="21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heetViews>
  <sheetFormatPr defaultRowHeight="15"/>
  <cols>
    <col min="1" max="1" width="11.42578125" customWidth="1"/>
    <col min="2" max="2" width="76.85546875" style="4" customWidth="1"/>
    <col min="3" max="3" width="22.85546875" customWidth="1"/>
  </cols>
  <sheetData>
    <row r="1" spans="1:3" ht="15.75">
      <c r="A1" s="365" t="s">
        <v>188</v>
      </c>
      <c r="B1" s="366" t="s">
        <v>501</v>
      </c>
    </row>
    <row r="2" spans="1:3" ht="15.75">
      <c r="A2" s="365" t="s">
        <v>189</v>
      </c>
      <c r="B2" s="367">
        <f>'1. key ratios'!B2</f>
        <v>44286</v>
      </c>
    </row>
    <row r="3" spans="1:3">
      <c r="A3" s="252"/>
      <c r="B3"/>
    </row>
    <row r="4" spans="1:3">
      <c r="A4" s="252" t="s">
        <v>470</v>
      </c>
      <c r="B4" t="s">
        <v>429</v>
      </c>
    </row>
    <row r="5" spans="1:3">
      <c r="A5" s="303"/>
      <c r="B5" s="303" t="s">
        <v>430</v>
      </c>
      <c r="C5" s="315"/>
    </row>
    <row r="6" spans="1:3">
      <c r="A6" s="304">
        <v>1</v>
      </c>
      <c r="B6" s="316" t="s">
        <v>482</v>
      </c>
      <c r="C6" s="546">
        <v>349731907.56863803</v>
      </c>
    </row>
    <row r="7" spans="1:3">
      <c r="A7" s="304">
        <v>2</v>
      </c>
      <c r="B7" s="316" t="s">
        <v>431</v>
      </c>
      <c r="C7" s="546">
        <f>-('9. Capital'!C15)</f>
        <v>-291059.17999999993</v>
      </c>
    </row>
    <row r="8" spans="1:3">
      <c r="A8" s="305">
        <v>3</v>
      </c>
      <c r="B8" s="318" t="s">
        <v>432</v>
      </c>
      <c r="C8" s="319">
        <f>C6+C7</f>
        <v>349440848.38863802</v>
      </c>
    </row>
    <row r="9" spans="1:3">
      <c r="A9" s="306"/>
      <c r="B9" s="306" t="s">
        <v>433</v>
      </c>
      <c r="C9" s="320"/>
    </row>
    <row r="10" spans="1:3">
      <c r="A10" s="307">
        <v>4</v>
      </c>
      <c r="B10" s="321" t="s">
        <v>434</v>
      </c>
      <c r="C10" s="317"/>
    </row>
    <row r="11" spans="1:3">
      <c r="A11" s="307">
        <v>5</v>
      </c>
      <c r="B11" s="322" t="s">
        <v>435</v>
      </c>
      <c r="C11" s="317"/>
    </row>
    <row r="12" spans="1:3">
      <c r="A12" s="307" t="s">
        <v>436</v>
      </c>
      <c r="B12" s="316" t="s">
        <v>437</v>
      </c>
      <c r="C12" s="319">
        <f>'15. CCR'!E21</f>
        <v>0</v>
      </c>
    </row>
    <row r="13" spans="1:3">
      <c r="A13" s="308">
        <v>6</v>
      </c>
      <c r="B13" s="323" t="s">
        <v>438</v>
      </c>
      <c r="C13" s="317"/>
    </row>
    <row r="14" spans="1:3">
      <c r="A14" s="308">
        <v>7</v>
      </c>
      <c r="B14" s="324" t="s">
        <v>439</v>
      </c>
      <c r="C14" s="317"/>
    </row>
    <row r="15" spans="1:3">
      <c r="A15" s="309">
        <v>8</v>
      </c>
      <c r="B15" s="316" t="s">
        <v>440</v>
      </c>
      <c r="C15" s="317"/>
    </row>
    <row r="16" spans="1:3" ht="24">
      <c r="A16" s="308">
        <v>9</v>
      </c>
      <c r="B16" s="324" t="s">
        <v>441</v>
      </c>
      <c r="C16" s="317"/>
    </row>
    <row r="17" spans="1:3">
      <c r="A17" s="308">
        <v>10</v>
      </c>
      <c r="B17" s="324" t="s">
        <v>442</v>
      </c>
      <c r="C17" s="317"/>
    </row>
    <row r="18" spans="1:3">
      <c r="A18" s="310">
        <v>11</v>
      </c>
      <c r="B18" s="325" t="s">
        <v>443</v>
      </c>
      <c r="C18" s="319">
        <f>SUM(C10:C17)</f>
        <v>0</v>
      </c>
    </row>
    <row r="19" spans="1:3">
      <c r="A19" s="306"/>
      <c r="B19" s="306" t="s">
        <v>444</v>
      </c>
      <c r="C19" s="326"/>
    </row>
    <row r="20" spans="1:3">
      <c r="A20" s="308">
        <v>12</v>
      </c>
      <c r="B20" s="321" t="s">
        <v>445</v>
      </c>
      <c r="C20" s="317"/>
    </row>
    <row r="21" spans="1:3">
      <c r="A21" s="308">
        <v>13</v>
      </c>
      <c r="B21" s="321" t="s">
        <v>446</v>
      </c>
      <c r="C21" s="317"/>
    </row>
    <row r="22" spans="1:3">
      <c r="A22" s="308">
        <v>14</v>
      </c>
      <c r="B22" s="321" t="s">
        <v>447</v>
      </c>
      <c r="C22" s="317"/>
    </row>
    <row r="23" spans="1:3" ht="24">
      <c r="A23" s="308" t="s">
        <v>448</v>
      </c>
      <c r="B23" s="321" t="s">
        <v>449</v>
      </c>
      <c r="C23" s="317"/>
    </row>
    <row r="24" spans="1:3">
      <c r="A24" s="308">
        <v>15</v>
      </c>
      <c r="B24" s="321" t="s">
        <v>450</v>
      </c>
      <c r="C24" s="317"/>
    </row>
    <row r="25" spans="1:3">
      <c r="A25" s="308" t="s">
        <v>451</v>
      </c>
      <c r="B25" s="316" t="s">
        <v>452</v>
      </c>
      <c r="C25" s="317"/>
    </row>
    <row r="26" spans="1:3">
      <c r="A26" s="310">
        <v>16</v>
      </c>
      <c r="B26" s="325" t="s">
        <v>453</v>
      </c>
      <c r="C26" s="319">
        <f>SUM(C20:C25)</f>
        <v>0</v>
      </c>
    </row>
    <row r="27" spans="1:3">
      <c r="A27" s="306"/>
      <c r="B27" s="306" t="s">
        <v>454</v>
      </c>
      <c r="C27" s="320"/>
    </row>
    <row r="28" spans="1:3">
      <c r="A28" s="307">
        <v>17</v>
      </c>
      <c r="B28" s="316" t="s">
        <v>455</v>
      </c>
      <c r="C28" s="546">
        <f>'8. LI2'!C6</f>
        <v>70734707.960000008</v>
      </c>
    </row>
    <row r="29" spans="1:3">
      <c r="A29" s="307">
        <v>18</v>
      </c>
      <c r="B29" s="316" t="s">
        <v>456</v>
      </c>
      <c r="C29" s="546">
        <f>'8. LI2'!C10</f>
        <v>-25277113.684999999</v>
      </c>
    </row>
    <row r="30" spans="1:3">
      <c r="A30" s="310">
        <v>19</v>
      </c>
      <c r="B30" s="325" t="s">
        <v>457</v>
      </c>
      <c r="C30" s="319">
        <f>C28+C29</f>
        <v>45457594.275000006</v>
      </c>
    </row>
    <row r="31" spans="1:3">
      <c r="A31" s="311"/>
      <c r="B31" s="306" t="s">
        <v>458</v>
      </c>
      <c r="C31" s="320"/>
    </row>
    <row r="32" spans="1:3">
      <c r="A32" s="307" t="s">
        <v>459</v>
      </c>
      <c r="B32" s="321" t="s">
        <v>460</v>
      </c>
      <c r="C32" s="327"/>
    </row>
    <row r="33" spans="1:3">
      <c r="A33" s="307" t="s">
        <v>461</v>
      </c>
      <c r="B33" s="322" t="s">
        <v>462</v>
      </c>
      <c r="C33" s="327"/>
    </row>
    <row r="34" spans="1:3">
      <c r="A34" s="306"/>
      <c r="B34" s="306" t="s">
        <v>463</v>
      </c>
      <c r="C34" s="320"/>
    </row>
    <row r="35" spans="1:3">
      <c r="A35" s="310">
        <v>20</v>
      </c>
      <c r="B35" s="325" t="s">
        <v>89</v>
      </c>
      <c r="C35" s="319">
        <f>'9. Capital'!C28</f>
        <v>85490494.999593854</v>
      </c>
    </row>
    <row r="36" spans="1:3">
      <c r="A36" s="310">
        <v>21</v>
      </c>
      <c r="B36" s="325" t="s">
        <v>464</v>
      </c>
      <c r="C36" s="319">
        <f>C8+C18+C26+C30</f>
        <v>394898442.663638</v>
      </c>
    </row>
    <row r="37" spans="1:3">
      <c r="A37" s="312"/>
      <c r="B37" s="312" t="s">
        <v>429</v>
      </c>
      <c r="C37" s="320"/>
    </row>
    <row r="38" spans="1:3">
      <c r="A38" s="310">
        <v>22</v>
      </c>
      <c r="B38" s="325" t="s">
        <v>429</v>
      </c>
      <c r="C38" s="547">
        <f>IFERROR(C35/C36,0)</f>
        <v>0.21648729334800632</v>
      </c>
    </row>
    <row r="39" spans="1:3">
      <c r="A39" s="312"/>
      <c r="B39" s="312" t="s">
        <v>465</v>
      </c>
      <c r="C39" s="320"/>
    </row>
    <row r="40" spans="1:3">
      <c r="A40" s="313" t="s">
        <v>466</v>
      </c>
      <c r="B40" s="321" t="s">
        <v>467</v>
      </c>
      <c r="C40" s="327"/>
    </row>
    <row r="41" spans="1:3">
      <c r="A41" s="314" t="s">
        <v>468</v>
      </c>
      <c r="B41" s="322" t="s">
        <v>469</v>
      </c>
      <c r="C41" s="327"/>
    </row>
    <row r="43" spans="1:3">
      <c r="B43" s="337" t="s">
        <v>483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365" t="s">
        <v>188</v>
      </c>
      <c r="B1" s="366" t="s">
        <v>501</v>
      </c>
    </row>
    <row r="2" spans="1:8">
      <c r="A2" s="365" t="s">
        <v>189</v>
      </c>
      <c r="B2" s="367">
        <v>44286</v>
      </c>
      <c r="C2" s="30"/>
      <c r="D2" s="19"/>
      <c r="E2" s="19"/>
      <c r="F2" s="19"/>
      <c r="G2" s="19"/>
      <c r="H2" s="1"/>
    </row>
    <row r="3" spans="1:8">
      <c r="A3" s="18"/>
      <c r="C3" s="30"/>
      <c r="D3" s="19"/>
      <c r="E3" s="19"/>
      <c r="F3" s="19"/>
      <c r="G3" s="19"/>
      <c r="H3" s="1"/>
    </row>
    <row r="4" spans="1:8" ht="16.5" thickBot="1">
      <c r="A4" s="53" t="s">
        <v>328</v>
      </c>
      <c r="B4" s="186" t="s">
        <v>223</v>
      </c>
      <c r="C4" s="187"/>
      <c r="D4" s="188"/>
      <c r="E4" s="188"/>
      <c r="F4" s="188"/>
      <c r="G4" s="188"/>
      <c r="H4" s="1"/>
    </row>
    <row r="5" spans="1:8" ht="15">
      <c r="A5" s="228" t="s">
        <v>26</v>
      </c>
      <c r="B5" s="229"/>
      <c r="C5" s="368" t="str">
        <f>INT((MONTH($B$2))/3)&amp;"Q"&amp;"-"&amp;YEAR($B$2)</f>
        <v>1Q-2021</v>
      </c>
      <c r="D5" s="368" t="str">
        <f>IF(INT(MONTH($B$2))=3, "4"&amp;"Q"&amp;"-"&amp;YEAR($B$2)-1, IF(INT(MONTH($B$2))=6, "1"&amp;"Q"&amp;"-"&amp;YEAR($B$2), IF(INT(MONTH($B$2))=9, "2"&amp;"Q"&amp;"-"&amp;YEAR($B$2),IF(INT(MONTH($B$2))=12, "3"&amp;"Q"&amp;"-"&amp;YEAR($B$2), 0))))</f>
        <v>4Q-2020</v>
      </c>
      <c r="E5" s="368" t="str">
        <f>IF(INT(MONTH($B$2))=3, "3"&amp;"Q"&amp;"-"&amp;YEAR($B$2)-1, IF(INT(MONTH($B$2))=6, "4"&amp;"Q"&amp;"-"&amp;YEAR($B$2)-1, IF(INT(MONTH($B$2))=9, "1"&amp;"Q"&amp;"-"&amp;YEAR($B$2),IF(INT(MONTH($B$2))=12, "2"&amp;"Q"&amp;"-"&amp;YEAR($B$2), 0))))</f>
        <v>3Q-2020</v>
      </c>
      <c r="F5" s="368" t="str">
        <f>IF(INT(MONTH($B$2))=3, "2"&amp;"Q"&amp;"-"&amp;YEAR($B$2)-1, IF(INT(MONTH($B$2))=6, "3"&amp;"Q"&amp;"-"&amp;YEAR($B$2)-1, IF(INT(MONTH($B$2))=9, "4"&amp;"Q"&amp;"-"&amp;YEAR($B$2)-1,IF(INT(MONTH($B$2))=12, "1"&amp;"Q"&amp;"-"&amp;YEAR($B$2), 0))))</f>
        <v>2Q-2020</v>
      </c>
      <c r="G5" s="369" t="str">
        <f>IF(INT(MONTH($B$2))=3, "1"&amp;"Q"&amp;"-"&amp;YEAR($B$2)-1, IF(INT(MONTH($B$2))=6, "2"&amp;"Q"&amp;"-"&amp;YEAR($B$2)-1, IF(INT(MONTH($B$2))=9, "3"&amp;"Q"&amp;"-"&amp;YEAR($B$2)-1,IF(INT(MONTH($B$2))=12, "4"&amp;"Q"&amp;"-"&amp;YEAR($B$2)-1, 0))))</f>
        <v>1Q-2020</v>
      </c>
    </row>
    <row r="6" spans="1:8" ht="15">
      <c r="A6" s="352"/>
      <c r="B6" s="353" t="s">
        <v>186</v>
      </c>
      <c r="C6" s="230"/>
      <c r="D6" s="230"/>
      <c r="E6" s="230"/>
      <c r="F6" s="230"/>
      <c r="G6" s="231"/>
    </row>
    <row r="7" spans="1:8" ht="15">
      <c r="A7" s="352"/>
      <c r="B7" s="354" t="s">
        <v>190</v>
      </c>
      <c r="C7" s="230"/>
      <c r="D7" s="230"/>
      <c r="E7" s="230"/>
      <c r="F7" s="230"/>
      <c r="G7" s="231"/>
    </row>
    <row r="8" spans="1:8" ht="15">
      <c r="A8" s="341">
        <v>1</v>
      </c>
      <c r="B8" s="342" t="s">
        <v>23</v>
      </c>
      <c r="C8" s="370">
        <v>85490494.999593854</v>
      </c>
      <c r="D8" s="371">
        <v>82998445.377222285</v>
      </c>
      <c r="E8" s="371">
        <v>80832354.001519948</v>
      </c>
      <c r="F8" s="371">
        <v>78741796.282078221</v>
      </c>
      <c r="G8" s="372">
        <v>77838008.687568486</v>
      </c>
    </row>
    <row r="9" spans="1:8" ht="15">
      <c r="A9" s="341">
        <v>2</v>
      </c>
      <c r="B9" s="342" t="s">
        <v>89</v>
      </c>
      <c r="C9" s="370">
        <v>85490494.999593854</v>
      </c>
      <c r="D9" s="371">
        <v>82998445.377222285</v>
      </c>
      <c r="E9" s="371">
        <v>80832354.001519948</v>
      </c>
      <c r="F9" s="371">
        <v>78741796.282078221</v>
      </c>
      <c r="G9" s="372">
        <v>77838008.687568486</v>
      </c>
    </row>
    <row r="10" spans="1:8" ht="15">
      <c r="A10" s="341">
        <v>3</v>
      </c>
      <c r="B10" s="342" t="s">
        <v>88</v>
      </c>
      <c r="C10" s="370">
        <v>89949917.000006318</v>
      </c>
      <c r="D10" s="371">
        <v>87421568.189916149</v>
      </c>
      <c r="E10" s="371">
        <v>85018180.835527956</v>
      </c>
      <c r="F10" s="371">
        <v>82608280.762582079</v>
      </c>
      <c r="G10" s="372">
        <v>81870881.517205447</v>
      </c>
    </row>
    <row r="11" spans="1:8" ht="15">
      <c r="A11" s="341">
        <v>4</v>
      </c>
      <c r="B11" s="342" t="s">
        <v>488</v>
      </c>
      <c r="C11" s="370">
        <v>28213613.251565892</v>
      </c>
      <c r="D11" s="371">
        <v>23206699.440114107</v>
      </c>
      <c r="E11" s="371">
        <v>21814377.340147819</v>
      </c>
      <c r="F11" s="371">
        <v>20546617.304797877</v>
      </c>
      <c r="G11" s="372">
        <v>20793919.087857001</v>
      </c>
    </row>
    <row r="12" spans="1:8" ht="15">
      <c r="A12" s="341">
        <v>5</v>
      </c>
      <c r="B12" s="342" t="s">
        <v>489</v>
      </c>
      <c r="C12" s="370">
        <v>37626940.593956709</v>
      </c>
      <c r="D12" s="371">
        <v>30950900.884456571</v>
      </c>
      <c r="E12" s="371">
        <v>29094035.774560317</v>
      </c>
      <c r="F12" s="371">
        <v>27402997.458946902</v>
      </c>
      <c r="G12" s="372">
        <v>27732592.820014618</v>
      </c>
    </row>
    <row r="13" spans="1:8" ht="15">
      <c r="A13" s="341">
        <v>6</v>
      </c>
      <c r="B13" s="342" t="s">
        <v>490</v>
      </c>
      <c r="C13" s="370">
        <v>64636892.48206085</v>
      </c>
      <c r="D13" s="371">
        <v>63547118.157326348</v>
      </c>
      <c r="E13" s="371">
        <v>60103751.359989472</v>
      </c>
      <c r="F13" s="371">
        <v>57366536.180788107</v>
      </c>
      <c r="G13" s="372">
        <v>56718883.219465233</v>
      </c>
    </row>
    <row r="14" spans="1:8" ht="15">
      <c r="A14" s="352"/>
      <c r="B14" s="353" t="s">
        <v>492</v>
      </c>
      <c r="C14" s="373"/>
      <c r="D14" s="373"/>
      <c r="E14" s="373"/>
      <c r="F14" s="373"/>
      <c r="G14" s="374"/>
    </row>
    <row r="15" spans="1:8" ht="25.5">
      <c r="A15" s="341">
        <v>7</v>
      </c>
      <c r="B15" s="342" t="s">
        <v>491</v>
      </c>
      <c r="C15" s="375">
        <v>387474159.10370266</v>
      </c>
      <c r="D15" s="371">
        <v>382197912.33547288</v>
      </c>
      <c r="E15" s="371">
        <v>357281762.10522437</v>
      </c>
      <c r="F15" s="371">
        <v>333884467.09280181</v>
      </c>
      <c r="G15" s="372">
        <v>344845459.14202905</v>
      </c>
    </row>
    <row r="16" spans="1:8" ht="15">
      <c r="A16" s="352"/>
      <c r="B16" s="353" t="s">
        <v>496</v>
      </c>
      <c r="C16" s="373"/>
      <c r="D16" s="373"/>
      <c r="E16" s="373"/>
      <c r="F16" s="373"/>
      <c r="G16" s="374"/>
    </row>
    <row r="17" spans="1:7" s="3" customFormat="1" ht="15">
      <c r="A17" s="341"/>
      <c r="B17" s="354" t="s">
        <v>477</v>
      </c>
      <c r="C17" s="376"/>
      <c r="D17" s="371"/>
      <c r="E17" s="371"/>
      <c r="F17" s="371"/>
      <c r="G17" s="372"/>
    </row>
    <row r="18" spans="1:7" ht="15">
      <c r="A18" s="340">
        <v>8</v>
      </c>
      <c r="B18" s="355" t="s">
        <v>486</v>
      </c>
      <c r="C18" s="377">
        <v>0.22063534558626755</v>
      </c>
      <c r="D18" s="378">
        <v>0.21716090721178688</v>
      </c>
      <c r="E18" s="378">
        <v>0.22624259778956674</v>
      </c>
      <c r="F18" s="378">
        <v>0.23583545819815649</v>
      </c>
      <c r="G18" s="379">
        <v>0.22571852586149294</v>
      </c>
    </row>
    <row r="19" spans="1:7" ht="15" customHeight="1">
      <c r="A19" s="340">
        <v>9</v>
      </c>
      <c r="B19" s="355" t="s">
        <v>485</v>
      </c>
      <c r="C19" s="377">
        <v>0.22063534558626755</v>
      </c>
      <c r="D19" s="378">
        <v>0.21716090721178688</v>
      </c>
      <c r="E19" s="378">
        <v>0.22624259778956674</v>
      </c>
      <c r="F19" s="378">
        <v>0.23583545819815649</v>
      </c>
      <c r="G19" s="379">
        <v>0.22571852586149294</v>
      </c>
    </row>
    <row r="20" spans="1:7" ht="15">
      <c r="A20" s="340">
        <v>10</v>
      </c>
      <c r="B20" s="355" t="s">
        <v>487</v>
      </c>
      <c r="C20" s="377">
        <v>0.23214429888196064</v>
      </c>
      <c r="D20" s="378">
        <v>0.22873376690028116</v>
      </c>
      <c r="E20" s="378">
        <v>0.23795835626921516</v>
      </c>
      <c r="F20" s="378">
        <v>0.24741576474601751</v>
      </c>
      <c r="G20" s="379">
        <v>0.23741325091215967</v>
      </c>
    </row>
    <row r="21" spans="1:7" ht="15">
      <c r="A21" s="340">
        <v>11</v>
      </c>
      <c r="B21" s="342" t="s">
        <v>488</v>
      </c>
      <c r="C21" s="377">
        <v>7.2814180219989505E-2</v>
      </c>
      <c r="D21" s="378">
        <v>6.0719063843929395E-2</v>
      </c>
      <c r="E21" s="378">
        <v>6.1056509606340292E-2</v>
      </c>
      <c r="F21" s="378">
        <v>6.1538104733356851E-2</v>
      </c>
      <c r="G21" s="379">
        <v>6.0299239954013019E-2</v>
      </c>
    </row>
    <row r="22" spans="1:7" ht="15">
      <c r="A22" s="340">
        <v>12</v>
      </c>
      <c r="B22" s="342" t="s">
        <v>489</v>
      </c>
      <c r="C22" s="377">
        <v>9.7108257957110172E-2</v>
      </c>
      <c r="D22" s="378">
        <v>8.0981344705225722E-2</v>
      </c>
      <c r="E22" s="378">
        <v>8.1431628648292786E-2</v>
      </c>
      <c r="F22" s="378">
        <v>8.2073292290444744E-2</v>
      </c>
      <c r="G22" s="379">
        <v>8.0420350869670559E-2</v>
      </c>
    </row>
    <row r="23" spans="1:7" ht="15">
      <c r="A23" s="340">
        <v>13</v>
      </c>
      <c r="B23" s="342" t="s">
        <v>490</v>
      </c>
      <c r="C23" s="377">
        <v>0.16681600814768549</v>
      </c>
      <c r="D23" s="378">
        <v>0.16626757003724313</v>
      </c>
      <c r="E23" s="378">
        <v>0.16822507537423109</v>
      </c>
      <c r="F23" s="378">
        <v>0.17181552852784648</v>
      </c>
      <c r="G23" s="379">
        <v>0.16447623628445351</v>
      </c>
    </row>
    <row r="24" spans="1:7" ht="15">
      <c r="A24" s="352"/>
      <c r="B24" s="353" t="s">
        <v>6</v>
      </c>
      <c r="C24" s="373"/>
      <c r="D24" s="373"/>
      <c r="E24" s="373"/>
      <c r="F24" s="373"/>
      <c r="G24" s="374"/>
    </row>
    <row r="25" spans="1:7" ht="15" customHeight="1">
      <c r="A25" s="356">
        <v>14</v>
      </c>
      <c r="B25" s="357" t="s">
        <v>7</v>
      </c>
      <c r="C25" s="380">
        <v>6.2301324598304841E-2</v>
      </c>
      <c r="D25" s="381">
        <v>6.2678307165625252E-2</v>
      </c>
      <c r="E25" s="381">
        <v>6.0895610533041149E-2</v>
      </c>
      <c r="F25" s="381">
        <v>5.9499238245699825E-2</v>
      </c>
      <c r="G25" s="382">
        <v>6.0436632496437416E-2</v>
      </c>
    </row>
    <row r="26" spans="1:7" ht="15">
      <c r="A26" s="356">
        <v>15</v>
      </c>
      <c r="B26" s="357" t="s">
        <v>8</v>
      </c>
      <c r="C26" s="380">
        <v>1.2878466129301701E-2</v>
      </c>
      <c r="D26" s="381">
        <v>1.3953652316493299E-2</v>
      </c>
      <c r="E26" s="381">
        <v>1.3353384856617353E-2</v>
      </c>
      <c r="F26" s="381">
        <v>1.3490960006021712E-2</v>
      </c>
      <c r="G26" s="382">
        <v>1.3827458331122928E-2</v>
      </c>
    </row>
    <row r="27" spans="1:7" ht="15">
      <c r="A27" s="356">
        <v>16</v>
      </c>
      <c r="B27" s="357" t="s">
        <v>9</v>
      </c>
      <c r="C27" s="380">
        <v>4.1615299047287641E-2</v>
      </c>
      <c r="D27" s="381">
        <v>3.3316900024161211E-2</v>
      </c>
      <c r="E27" s="381">
        <v>3.3961160331048006E-2</v>
      </c>
      <c r="F27" s="381">
        <v>3.4592805936058221E-2</v>
      </c>
      <c r="G27" s="382">
        <v>4.1833152598745371E-2</v>
      </c>
    </row>
    <row r="28" spans="1:7" ht="15">
      <c r="A28" s="356">
        <v>17</v>
      </c>
      <c r="B28" s="357" t="s">
        <v>224</v>
      </c>
      <c r="C28" s="380">
        <v>4.9422858469003142E-2</v>
      </c>
      <c r="D28" s="381">
        <v>4.8724654849131958E-2</v>
      </c>
      <c r="E28" s="381">
        <v>4.7542225676423799E-2</v>
      </c>
      <c r="F28" s="381">
        <v>4.600827823967811E-2</v>
      </c>
      <c r="G28" s="382">
        <v>4.6609174165314481E-2</v>
      </c>
    </row>
    <row r="29" spans="1:7" ht="15">
      <c r="A29" s="356">
        <v>18</v>
      </c>
      <c r="B29" s="357" t="s">
        <v>10</v>
      </c>
      <c r="C29" s="380">
        <v>2.966813235393341E-2</v>
      </c>
      <c r="D29" s="381">
        <v>9.287435648257578E-3</v>
      </c>
      <c r="E29" s="381">
        <v>1.5755386468547254E-3</v>
      </c>
      <c r="F29" s="381">
        <v>-1.1947163560632836E-2</v>
      </c>
      <c r="G29" s="382">
        <v>-3.7859483277682335E-2</v>
      </c>
    </row>
    <row r="30" spans="1:7" ht="15">
      <c r="A30" s="356">
        <v>19</v>
      </c>
      <c r="B30" s="357" t="s">
        <v>11</v>
      </c>
      <c r="C30" s="380">
        <v>0.11668249968907442</v>
      </c>
      <c r="D30" s="381">
        <v>3.4822858160235177E-2</v>
      </c>
      <c r="E30" s="381">
        <v>5.8212213716841042E-3</v>
      </c>
      <c r="F30" s="381">
        <v>-4.3291617741475275E-2</v>
      </c>
      <c r="G30" s="382">
        <v>-0.129285057497418</v>
      </c>
    </row>
    <row r="31" spans="1:7" ht="15">
      <c r="A31" s="352"/>
      <c r="B31" s="353" t="s">
        <v>12</v>
      </c>
      <c r="C31" s="373"/>
      <c r="D31" s="373"/>
      <c r="E31" s="373"/>
      <c r="F31" s="373"/>
      <c r="G31" s="374"/>
    </row>
    <row r="32" spans="1:7" ht="15">
      <c r="A32" s="356">
        <v>20</v>
      </c>
      <c r="B32" s="357" t="s">
        <v>13</v>
      </c>
      <c r="C32" s="380">
        <v>2.4288689324131241E-2</v>
      </c>
      <c r="D32" s="381">
        <v>2.5770181222198065E-2</v>
      </c>
      <c r="E32" s="381">
        <v>3.370737443941884E-2</v>
      </c>
      <c r="F32" s="381">
        <v>3.0616721140784942E-2</v>
      </c>
      <c r="G32" s="382">
        <v>3.1383374383505025E-2</v>
      </c>
    </row>
    <row r="33" spans="1:7" ht="15" customHeight="1">
      <c r="A33" s="356">
        <v>21</v>
      </c>
      <c r="B33" s="357" t="s">
        <v>14</v>
      </c>
      <c r="C33" s="380">
        <v>4.9119335432412169E-2</v>
      </c>
      <c r="D33" s="381">
        <v>5.0592095799553052E-2</v>
      </c>
      <c r="E33" s="381">
        <v>5.6650073835639345E-2</v>
      </c>
      <c r="F33" s="381">
        <v>5.741334554602813E-2</v>
      </c>
      <c r="G33" s="382">
        <v>6.2850331653137831E-2</v>
      </c>
    </row>
    <row r="34" spans="1:7" ht="15">
      <c r="A34" s="356">
        <v>22</v>
      </c>
      <c r="B34" s="357" t="s">
        <v>15</v>
      </c>
      <c r="C34" s="380">
        <v>0.65405546702225548</v>
      </c>
      <c r="D34" s="381">
        <v>0.657176722753678</v>
      </c>
      <c r="E34" s="381">
        <v>0.66160590841796252</v>
      </c>
      <c r="F34" s="381">
        <v>0.63612756868169762</v>
      </c>
      <c r="G34" s="382">
        <v>0.681440704033342</v>
      </c>
    </row>
    <row r="35" spans="1:7" ht="15" customHeight="1">
      <c r="A35" s="356">
        <v>23</v>
      </c>
      <c r="B35" s="357" t="s">
        <v>16</v>
      </c>
      <c r="C35" s="380">
        <v>0.68770599689008849</v>
      </c>
      <c r="D35" s="381">
        <v>0.67963794973604752</v>
      </c>
      <c r="E35" s="381">
        <v>0.70552934161771308</v>
      </c>
      <c r="F35" s="381">
        <v>0.6626993169769303</v>
      </c>
      <c r="G35" s="382">
        <v>0.70432453975950704</v>
      </c>
    </row>
    <row r="36" spans="1:7" ht="15">
      <c r="A36" s="356">
        <v>24</v>
      </c>
      <c r="B36" s="357" t="s">
        <v>17</v>
      </c>
      <c r="C36" s="380">
        <v>3.1923069276090475E-2</v>
      </c>
      <c r="D36" s="381">
        <v>0.58021508905910535</v>
      </c>
      <c r="E36" s="381">
        <v>0.40924651967316528</v>
      </c>
      <c r="F36" s="381">
        <v>0.29152145101102278</v>
      </c>
      <c r="G36" s="382">
        <v>0.1913795627607382</v>
      </c>
    </row>
    <row r="37" spans="1:7" ht="15" customHeight="1">
      <c r="A37" s="352"/>
      <c r="B37" s="353" t="s">
        <v>18</v>
      </c>
      <c r="C37" s="373"/>
      <c r="D37" s="373"/>
      <c r="E37" s="373"/>
      <c r="F37" s="373"/>
      <c r="G37" s="374"/>
    </row>
    <row r="38" spans="1:7" ht="15" customHeight="1">
      <c r="A38" s="356">
        <v>25</v>
      </c>
      <c r="B38" s="357" t="s">
        <v>19</v>
      </c>
      <c r="C38" s="383">
        <v>0.16353057589555017</v>
      </c>
      <c r="D38" s="384">
        <v>0.14609430031048737</v>
      </c>
      <c r="E38" s="384">
        <v>0.13546550758790582</v>
      </c>
      <c r="F38" s="384">
        <v>0.11619907934660494</v>
      </c>
      <c r="G38" s="385">
        <v>0.20018169756447959</v>
      </c>
    </row>
    <row r="39" spans="1:7" ht="15" customHeight="1">
      <c r="A39" s="356">
        <v>26</v>
      </c>
      <c r="B39" s="357" t="s">
        <v>20</v>
      </c>
      <c r="C39" s="383">
        <v>0.94415990261980254</v>
      </c>
      <c r="D39" s="384">
        <v>0.93309149717162609</v>
      </c>
      <c r="E39" s="384">
        <v>0.95653191090846001</v>
      </c>
      <c r="F39" s="384">
        <v>0.9279008190264828</v>
      </c>
      <c r="G39" s="385">
        <v>0.93896164059451526</v>
      </c>
    </row>
    <row r="40" spans="1:7" ht="15" customHeight="1">
      <c r="A40" s="356">
        <v>27</v>
      </c>
      <c r="B40" s="358" t="s">
        <v>21</v>
      </c>
      <c r="C40" s="383">
        <v>0.11073415296759165</v>
      </c>
      <c r="D40" s="384">
        <v>0.11553619008863639</v>
      </c>
      <c r="E40" s="384">
        <v>7.8729493642624909E-2</v>
      </c>
      <c r="F40" s="384">
        <v>8.4790984849306916E-2</v>
      </c>
      <c r="G40" s="385">
        <v>6.9767994297117386E-2</v>
      </c>
    </row>
    <row r="41" spans="1:7" ht="15" customHeight="1">
      <c r="A41" s="359"/>
      <c r="B41" s="353" t="s">
        <v>398</v>
      </c>
      <c r="C41" s="373"/>
      <c r="D41" s="373"/>
      <c r="E41" s="373"/>
      <c r="F41" s="373"/>
      <c r="G41" s="374"/>
    </row>
    <row r="42" spans="1:7" ht="15" customHeight="1">
      <c r="A42" s="356">
        <v>28</v>
      </c>
      <c r="B42" s="362" t="s">
        <v>391</v>
      </c>
      <c r="C42" s="386">
        <v>97497588.980000004</v>
      </c>
      <c r="D42" s="387">
        <v>81903875.829999998</v>
      </c>
      <c r="E42" s="387">
        <v>110558868.91</v>
      </c>
      <c r="F42" s="387">
        <v>91227234.680000007</v>
      </c>
      <c r="G42" s="388">
        <v>120731826.71146001</v>
      </c>
    </row>
    <row r="43" spans="1:7" ht="15">
      <c r="A43" s="356">
        <v>29</v>
      </c>
      <c r="B43" s="357" t="s">
        <v>392</v>
      </c>
      <c r="C43" s="386">
        <v>45169081.551656671</v>
      </c>
      <c r="D43" s="387">
        <v>61860189.168520354</v>
      </c>
      <c r="E43" s="387">
        <v>84401756.030723333</v>
      </c>
      <c r="F43" s="387">
        <v>57196798.90373376</v>
      </c>
      <c r="G43" s="388">
        <v>81875012.410266101</v>
      </c>
    </row>
    <row r="44" spans="1:7" ht="15">
      <c r="A44" s="360">
        <v>30</v>
      </c>
      <c r="B44" s="361" t="s">
        <v>390</v>
      </c>
      <c r="C44" s="389">
        <v>2.1585027994979029</v>
      </c>
      <c r="D44" s="390">
        <v>1.3240159289988003</v>
      </c>
      <c r="E44" s="390">
        <v>1.3099119509996349</v>
      </c>
      <c r="F44" s="390">
        <v>1.5949709848892395</v>
      </c>
      <c r="G44" s="391">
        <v>1.4745869729641927</v>
      </c>
    </row>
    <row r="45" spans="1:7" ht="15">
      <c r="A45" s="360"/>
      <c r="B45" s="353" t="s">
        <v>497</v>
      </c>
      <c r="C45" s="392"/>
      <c r="D45" s="393"/>
      <c r="E45" s="393"/>
      <c r="F45" s="393"/>
      <c r="G45" s="394"/>
    </row>
    <row r="46" spans="1:7" ht="15">
      <c r="A46" s="360">
        <v>31</v>
      </c>
      <c r="B46" s="361" t="s">
        <v>498</v>
      </c>
      <c r="C46" s="392">
        <v>189450929.14609382</v>
      </c>
      <c r="D46" s="393">
        <v>165124245.27443027</v>
      </c>
      <c r="E46" s="393">
        <v>153877398.12251991</v>
      </c>
      <c r="F46" s="393">
        <v>152002098.65807822</v>
      </c>
      <c r="G46" s="394">
        <v>140350960.21556848</v>
      </c>
    </row>
    <row r="47" spans="1:7" ht="15">
      <c r="A47" s="360">
        <v>32</v>
      </c>
      <c r="B47" s="361" t="s">
        <v>499</v>
      </c>
      <c r="C47" s="392">
        <v>164581882.01660013</v>
      </c>
      <c r="D47" s="393">
        <v>162148906.19844285</v>
      </c>
      <c r="E47" s="393">
        <v>151388101.10997358</v>
      </c>
      <c r="F47" s="393">
        <v>146161614.00610271</v>
      </c>
      <c r="G47" s="394">
        <v>140142587.89641988</v>
      </c>
    </row>
    <row r="48" spans="1:7" thickBot="1">
      <c r="A48" s="105">
        <v>33</v>
      </c>
      <c r="B48" s="203" t="s">
        <v>500</v>
      </c>
      <c r="C48" s="395">
        <v>1.1511044036243634</v>
      </c>
      <c r="D48" s="396">
        <v>1.0183494242776212</v>
      </c>
      <c r="E48" s="396">
        <v>1.0164431484000054</v>
      </c>
      <c r="F48" s="396">
        <v>1.0399590870126245</v>
      </c>
      <c r="G48" s="397">
        <v>1.0014868593642827</v>
      </c>
    </row>
    <row r="49" spans="1:7">
      <c r="A49" s="21"/>
    </row>
    <row r="50" spans="1:7" ht="39.75">
      <c r="B50" s="24" t="s">
        <v>476</v>
      </c>
    </row>
    <row r="51" spans="1:7" ht="65.25">
      <c r="B51" s="272" t="s">
        <v>397</v>
      </c>
      <c r="D51" s="252"/>
      <c r="E51" s="252"/>
      <c r="F51" s="252"/>
      <c r="G51" s="25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65" t="s">
        <v>188</v>
      </c>
      <c r="B1" s="366" t="s">
        <v>501</v>
      </c>
    </row>
    <row r="2" spans="1:8" ht="15.75">
      <c r="A2" s="365" t="s">
        <v>189</v>
      </c>
      <c r="B2" s="367">
        <f>'1. key ratios'!B2</f>
        <v>44286</v>
      </c>
    </row>
    <row r="3" spans="1:8" ht="15.75">
      <c r="A3" s="18"/>
    </row>
    <row r="4" spans="1:8" ht="16.5" thickBot="1">
      <c r="A4" s="32" t="s">
        <v>329</v>
      </c>
      <c r="B4" s="54" t="s">
        <v>244</v>
      </c>
      <c r="C4" s="32"/>
      <c r="D4" s="33"/>
      <c r="E4" s="33"/>
      <c r="F4" s="34"/>
      <c r="G4" s="34"/>
      <c r="H4" s="35" t="s">
        <v>93</v>
      </c>
    </row>
    <row r="5" spans="1:8" ht="15.75">
      <c r="A5" s="36"/>
      <c r="B5" s="37"/>
      <c r="C5" s="550" t="s">
        <v>194</v>
      </c>
      <c r="D5" s="551"/>
      <c r="E5" s="552"/>
      <c r="F5" s="550" t="s">
        <v>195</v>
      </c>
      <c r="G5" s="551"/>
      <c r="H5" s="553"/>
    </row>
    <row r="6" spans="1:8" ht="15.75">
      <c r="A6" s="398" t="s">
        <v>26</v>
      </c>
      <c r="B6" s="399" t="s">
        <v>153</v>
      </c>
      <c r="C6" s="400" t="s">
        <v>27</v>
      </c>
      <c r="D6" s="400" t="s">
        <v>94</v>
      </c>
      <c r="E6" s="400" t="s">
        <v>68</v>
      </c>
      <c r="F6" s="400" t="s">
        <v>27</v>
      </c>
      <c r="G6" s="400" t="s">
        <v>94</v>
      </c>
      <c r="H6" s="401" t="s">
        <v>68</v>
      </c>
    </row>
    <row r="7" spans="1:8" ht="15.75">
      <c r="A7" s="398">
        <v>1</v>
      </c>
      <c r="B7" s="402" t="s">
        <v>154</v>
      </c>
      <c r="C7" s="403">
        <v>1165641</v>
      </c>
      <c r="D7" s="403">
        <v>3648815.16</v>
      </c>
      <c r="E7" s="404">
        <f>C7+D7</f>
        <v>4814456.16</v>
      </c>
      <c r="F7" s="405">
        <v>1245322.81</v>
      </c>
      <c r="G7" s="403">
        <v>2343811.98</v>
      </c>
      <c r="H7" s="406">
        <f>F7+G7</f>
        <v>3589134.79</v>
      </c>
    </row>
    <row r="8" spans="1:8" ht="15.75">
      <c r="A8" s="398">
        <v>2</v>
      </c>
      <c r="B8" s="402" t="s">
        <v>155</v>
      </c>
      <c r="C8" s="403">
        <v>490318.56</v>
      </c>
      <c r="D8" s="403">
        <v>35540566.140000001</v>
      </c>
      <c r="E8" s="404">
        <f t="shared" ref="E8:E20" si="0">C8+D8</f>
        <v>36030884.700000003</v>
      </c>
      <c r="F8" s="405">
        <v>4919700.5599999996</v>
      </c>
      <c r="G8" s="403">
        <v>66675562.629999995</v>
      </c>
      <c r="H8" s="406">
        <f t="shared" ref="H8:H40" si="1">F8+G8</f>
        <v>71595263.189999998</v>
      </c>
    </row>
    <row r="9" spans="1:8" ht="15.75">
      <c r="A9" s="398">
        <v>3</v>
      </c>
      <c r="B9" s="402" t="s">
        <v>156</v>
      </c>
      <c r="C9" s="403">
        <v>2093169.95</v>
      </c>
      <c r="D9" s="403">
        <v>35164366.416474</v>
      </c>
      <c r="E9" s="404">
        <f t="shared" si="0"/>
        <v>37257536.366474003</v>
      </c>
      <c r="F9" s="405">
        <v>25934.52</v>
      </c>
      <c r="G9" s="403">
        <v>19513454.860316988</v>
      </c>
      <c r="H9" s="406">
        <f t="shared" si="1"/>
        <v>19539389.380316988</v>
      </c>
    </row>
    <row r="10" spans="1:8" ht="15.75">
      <c r="A10" s="398">
        <v>4</v>
      </c>
      <c r="B10" s="402" t="s">
        <v>185</v>
      </c>
      <c r="C10" s="403">
        <v>0</v>
      </c>
      <c r="D10" s="403">
        <v>0</v>
      </c>
      <c r="E10" s="404">
        <f t="shared" si="0"/>
        <v>0</v>
      </c>
      <c r="F10" s="405">
        <v>0</v>
      </c>
      <c r="G10" s="403">
        <v>0</v>
      </c>
      <c r="H10" s="406">
        <f t="shared" si="1"/>
        <v>0</v>
      </c>
    </row>
    <row r="11" spans="1:8" ht="15.75">
      <c r="A11" s="398">
        <v>5</v>
      </c>
      <c r="B11" s="402" t="s">
        <v>157</v>
      </c>
      <c r="C11" s="403">
        <v>22638754.965574294</v>
      </c>
      <c r="D11" s="403">
        <v>10579376.329087004</v>
      </c>
      <c r="E11" s="404">
        <f t="shared" si="0"/>
        <v>33218131.294661298</v>
      </c>
      <c r="F11" s="405">
        <v>32924438.94051902</v>
      </c>
      <c r="G11" s="403">
        <v>10350932.08181168</v>
      </c>
      <c r="H11" s="406">
        <f t="shared" si="1"/>
        <v>43275371.022330701</v>
      </c>
    </row>
    <row r="12" spans="1:8" ht="15.75">
      <c r="A12" s="398">
        <v>6.1</v>
      </c>
      <c r="B12" s="407" t="s">
        <v>158</v>
      </c>
      <c r="C12" s="403">
        <v>82012688.319999993</v>
      </c>
      <c r="D12" s="403">
        <v>155056207.13</v>
      </c>
      <c r="E12" s="404">
        <f t="shared" si="0"/>
        <v>237068895.44999999</v>
      </c>
      <c r="F12" s="405">
        <v>58177614.890000001</v>
      </c>
      <c r="G12" s="403">
        <v>124449656.16</v>
      </c>
      <c r="H12" s="406">
        <f t="shared" si="1"/>
        <v>182627271.05000001</v>
      </c>
    </row>
    <row r="13" spans="1:8" ht="15.75">
      <c r="A13" s="398">
        <v>6.2</v>
      </c>
      <c r="B13" s="407" t="s">
        <v>159</v>
      </c>
      <c r="C13" s="408">
        <v>-7189440.9194000009</v>
      </c>
      <c r="D13" s="408">
        <v>-4455225.6767999986</v>
      </c>
      <c r="E13" s="409">
        <f t="shared" si="0"/>
        <v>-11644666.5962</v>
      </c>
      <c r="F13" s="410">
        <v>-7476036.1789999995</v>
      </c>
      <c r="G13" s="408">
        <v>-4002148.3753999993</v>
      </c>
      <c r="H13" s="411">
        <f t="shared" si="1"/>
        <v>-11478184.554399999</v>
      </c>
    </row>
    <row r="14" spans="1:8" ht="15.75">
      <c r="A14" s="398">
        <v>6</v>
      </c>
      <c r="B14" s="402" t="s">
        <v>160</v>
      </c>
      <c r="C14" s="404">
        <f>C12+C13</f>
        <v>74823247.400599986</v>
      </c>
      <c r="D14" s="404">
        <f>D12+D13</f>
        <v>150600981.45319998</v>
      </c>
      <c r="E14" s="404">
        <f t="shared" si="0"/>
        <v>225424228.85379997</v>
      </c>
      <c r="F14" s="404">
        <f>F12+F13</f>
        <v>50701578.711000003</v>
      </c>
      <c r="G14" s="404">
        <f>G12+G13</f>
        <v>120447507.78459999</v>
      </c>
      <c r="H14" s="406">
        <f t="shared" si="1"/>
        <v>171149086.49559999</v>
      </c>
    </row>
    <row r="15" spans="1:8" ht="15.75">
      <c r="A15" s="398">
        <v>7</v>
      </c>
      <c r="B15" s="402" t="s">
        <v>161</v>
      </c>
      <c r="C15" s="403">
        <v>1195676.7799999998</v>
      </c>
      <c r="D15" s="403">
        <v>1518272.2302560005</v>
      </c>
      <c r="E15" s="404">
        <f t="shared" si="0"/>
        <v>2713949.0102560003</v>
      </c>
      <c r="F15" s="405">
        <v>1302881.8100000005</v>
      </c>
      <c r="G15" s="403">
        <v>1016449.3910150002</v>
      </c>
      <c r="H15" s="406">
        <f t="shared" si="1"/>
        <v>2319331.2010150007</v>
      </c>
    </row>
    <row r="16" spans="1:8" ht="15.75">
      <c r="A16" s="398">
        <v>8</v>
      </c>
      <c r="B16" s="402" t="s">
        <v>162</v>
      </c>
      <c r="C16" s="403">
        <v>1102532.9100000001</v>
      </c>
      <c r="D16" s="403">
        <v>0</v>
      </c>
      <c r="E16" s="404">
        <f t="shared" si="0"/>
        <v>1102532.9100000001</v>
      </c>
      <c r="F16" s="405">
        <v>0</v>
      </c>
      <c r="G16" s="403">
        <v>0</v>
      </c>
      <c r="H16" s="406">
        <f t="shared" si="1"/>
        <v>0</v>
      </c>
    </row>
    <row r="17" spans="1:8" ht="15.75">
      <c r="A17" s="398">
        <v>9</v>
      </c>
      <c r="B17" s="402" t="s">
        <v>163</v>
      </c>
      <c r="C17" s="403">
        <v>0</v>
      </c>
      <c r="D17" s="403">
        <v>0</v>
      </c>
      <c r="E17" s="404">
        <f t="shared" si="0"/>
        <v>0</v>
      </c>
      <c r="F17" s="405">
        <v>0</v>
      </c>
      <c r="G17" s="403">
        <v>0</v>
      </c>
      <c r="H17" s="406">
        <f t="shared" si="1"/>
        <v>0</v>
      </c>
    </row>
    <row r="18" spans="1:8" ht="15.75">
      <c r="A18" s="398">
        <v>10</v>
      </c>
      <c r="B18" s="402" t="s">
        <v>164</v>
      </c>
      <c r="C18" s="403">
        <v>1325682.7200000007</v>
      </c>
      <c r="D18" s="403">
        <v>0</v>
      </c>
      <c r="E18" s="404">
        <f t="shared" si="0"/>
        <v>1325682.7200000007</v>
      </c>
      <c r="F18" s="405">
        <v>821953.47999999952</v>
      </c>
      <c r="G18" s="403">
        <v>0</v>
      </c>
      <c r="H18" s="406">
        <f t="shared" si="1"/>
        <v>821953.47999999952</v>
      </c>
    </row>
    <row r="19" spans="1:8" ht="15.75">
      <c r="A19" s="398">
        <v>11</v>
      </c>
      <c r="B19" s="402" t="s">
        <v>165</v>
      </c>
      <c r="C19" s="403">
        <v>2949155.7764666905</v>
      </c>
      <c r="D19" s="403">
        <v>300329.21000000002</v>
      </c>
      <c r="E19" s="404">
        <f t="shared" si="0"/>
        <v>3249484.9864666904</v>
      </c>
      <c r="F19" s="405">
        <v>720294.58385537867</v>
      </c>
      <c r="G19" s="403">
        <v>381437.14047300001</v>
      </c>
      <c r="H19" s="406">
        <f t="shared" si="1"/>
        <v>1101731.7243283787</v>
      </c>
    </row>
    <row r="20" spans="1:8" ht="15.75">
      <c r="A20" s="398">
        <v>12</v>
      </c>
      <c r="B20" s="412" t="s">
        <v>166</v>
      </c>
      <c r="C20" s="404">
        <f>SUM(C7:C11)+SUM(C14:C19)</f>
        <v>107784180.06264096</v>
      </c>
      <c r="D20" s="404">
        <f>SUM(D7:D11)+SUM(D14:D19)</f>
        <v>237352706.939017</v>
      </c>
      <c r="E20" s="404">
        <f t="shared" si="0"/>
        <v>345136887.00165796</v>
      </c>
      <c r="F20" s="404">
        <f>SUM(F7:F11)+SUM(F14:F19)</f>
        <v>92662105.415374398</v>
      </c>
      <c r="G20" s="404">
        <f>SUM(G7:G11)+SUM(G14:G19)</f>
        <v>220729155.86821663</v>
      </c>
      <c r="H20" s="406">
        <f t="shared" si="1"/>
        <v>313391261.28359103</v>
      </c>
    </row>
    <row r="21" spans="1:8" ht="15.75">
      <c r="A21" s="398"/>
      <c r="B21" s="399" t="s">
        <v>183</v>
      </c>
      <c r="C21" s="413"/>
      <c r="D21" s="413"/>
      <c r="E21" s="413"/>
      <c r="F21" s="414"/>
      <c r="G21" s="413"/>
      <c r="H21" s="415"/>
    </row>
    <row r="22" spans="1:8" ht="15.75">
      <c r="A22" s="398">
        <v>13</v>
      </c>
      <c r="B22" s="402" t="s">
        <v>167</v>
      </c>
      <c r="C22" s="403">
        <v>0</v>
      </c>
      <c r="D22" s="403">
        <v>123634608.40000001</v>
      </c>
      <c r="E22" s="404">
        <f>C22+D22</f>
        <v>123634608.40000001</v>
      </c>
      <c r="F22" s="405">
        <v>0</v>
      </c>
      <c r="G22" s="403">
        <v>168452870.48666501</v>
      </c>
      <c r="H22" s="406">
        <f t="shared" si="1"/>
        <v>168452870.48666501</v>
      </c>
    </row>
    <row r="23" spans="1:8" ht="15.75">
      <c r="A23" s="398">
        <v>14</v>
      </c>
      <c r="B23" s="402" t="s">
        <v>168</v>
      </c>
      <c r="C23" s="403">
        <v>7145622.5699999966</v>
      </c>
      <c r="D23" s="403">
        <v>31072818.269999988</v>
      </c>
      <c r="E23" s="404">
        <f t="shared" ref="E23:E40" si="2">C23+D23</f>
        <v>38218440.839999989</v>
      </c>
      <c r="F23" s="405">
        <v>10896532.139999999</v>
      </c>
      <c r="G23" s="403">
        <v>10968147.590000004</v>
      </c>
      <c r="H23" s="406">
        <f t="shared" si="1"/>
        <v>21864679.730000004</v>
      </c>
    </row>
    <row r="24" spans="1:8" ht="15.75">
      <c r="A24" s="398">
        <v>15</v>
      </c>
      <c r="B24" s="402" t="s">
        <v>169</v>
      </c>
      <c r="C24" s="403">
        <v>0</v>
      </c>
      <c r="D24" s="403">
        <v>0</v>
      </c>
      <c r="E24" s="404">
        <f t="shared" si="2"/>
        <v>0</v>
      </c>
      <c r="F24" s="405">
        <v>0</v>
      </c>
      <c r="G24" s="403">
        <v>0</v>
      </c>
      <c r="H24" s="406">
        <f t="shared" si="1"/>
        <v>0</v>
      </c>
    </row>
    <row r="25" spans="1:8" ht="15.75">
      <c r="A25" s="398">
        <v>16</v>
      </c>
      <c r="B25" s="402" t="s">
        <v>170</v>
      </c>
      <c r="C25" s="403">
        <v>3856928.1</v>
      </c>
      <c r="D25" s="403">
        <v>38765323.239999995</v>
      </c>
      <c r="E25" s="404">
        <f t="shared" si="2"/>
        <v>42622251.339999996</v>
      </c>
      <c r="F25" s="405">
        <v>113778.54000000001</v>
      </c>
      <c r="G25" s="403">
        <v>21659507.539999995</v>
      </c>
      <c r="H25" s="406">
        <f t="shared" si="1"/>
        <v>21773286.079999994</v>
      </c>
    </row>
    <row r="26" spans="1:8" ht="15.75">
      <c r="A26" s="398">
        <v>17</v>
      </c>
      <c r="B26" s="402" t="s">
        <v>171</v>
      </c>
      <c r="C26" s="413"/>
      <c r="D26" s="413"/>
      <c r="E26" s="404">
        <f t="shared" si="2"/>
        <v>0</v>
      </c>
      <c r="F26" s="414"/>
      <c r="G26" s="413"/>
      <c r="H26" s="406">
        <f t="shared" si="1"/>
        <v>0</v>
      </c>
    </row>
    <row r="27" spans="1:8" ht="15.75">
      <c r="A27" s="398">
        <v>18</v>
      </c>
      <c r="B27" s="402" t="s">
        <v>172</v>
      </c>
      <c r="C27" s="403">
        <v>2500000</v>
      </c>
      <c r="D27" s="403">
        <v>47386111.080784</v>
      </c>
      <c r="E27" s="404">
        <f t="shared" si="2"/>
        <v>49886111.080784</v>
      </c>
      <c r="F27" s="405">
        <v>3000000</v>
      </c>
      <c r="G27" s="403">
        <v>17882277.763180003</v>
      </c>
      <c r="H27" s="406">
        <f t="shared" si="1"/>
        <v>20882277.763180003</v>
      </c>
    </row>
    <row r="28" spans="1:8" ht="15.75">
      <c r="A28" s="398">
        <v>19</v>
      </c>
      <c r="B28" s="402" t="s">
        <v>173</v>
      </c>
      <c r="C28" s="403">
        <v>76863.45</v>
      </c>
      <c r="D28" s="403">
        <v>1480680.2864871458</v>
      </c>
      <c r="E28" s="404">
        <f t="shared" si="2"/>
        <v>1557543.7364871458</v>
      </c>
      <c r="F28" s="405">
        <v>13549.27</v>
      </c>
      <c r="G28" s="403">
        <v>1293672.7999999998</v>
      </c>
      <c r="H28" s="406">
        <f t="shared" si="1"/>
        <v>1307222.0699999998</v>
      </c>
    </row>
    <row r="29" spans="1:8" ht="15.75">
      <c r="A29" s="398">
        <v>20</v>
      </c>
      <c r="B29" s="402" t="s">
        <v>95</v>
      </c>
      <c r="C29" s="403">
        <v>903012.91819999996</v>
      </c>
      <c r="D29" s="403">
        <v>2533364.4589999998</v>
      </c>
      <c r="E29" s="404">
        <f t="shared" si="2"/>
        <v>3436377.3772</v>
      </c>
      <c r="F29" s="405">
        <v>348740.22</v>
      </c>
      <c r="G29" s="403">
        <v>839247.34019999986</v>
      </c>
      <c r="H29" s="406">
        <f t="shared" si="1"/>
        <v>1187987.5601999997</v>
      </c>
    </row>
    <row r="30" spans="1:8" ht="15.75">
      <c r="A30" s="398">
        <v>21</v>
      </c>
      <c r="B30" s="402" t="s">
        <v>174</v>
      </c>
      <c r="C30" s="403">
        <v>0</v>
      </c>
      <c r="D30" s="403">
        <v>0</v>
      </c>
      <c r="E30" s="404">
        <f t="shared" si="2"/>
        <v>0</v>
      </c>
      <c r="F30" s="405">
        <v>0</v>
      </c>
      <c r="G30" s="403">
        <v>0</v>
      </c>
      <c r="H30" s="406">
        <f t="shared" si="1"/>
        <v>0</v>
      </c>
    </row>
    <row r="31" spans="1:8" ht="15.75">
      <c r="A31" s="398">
        <v>22</v>
      </c>
      <c r="B31" s="412" t="s">
        <v>175</v>
      </c>
      <c r="C31" s="404">
        <f>SUM(C22:C30)</f>
        <v>14482427.038199995</v>
      </c>
      <c r="D31" s="404">
        <f>SUM(D22:D30)</f>
        <v>244872905.73627108</v>
      </c>
      <c r="E31" s="404">
        <f>C31+D31</f>
        <v>259355332.77447107</v>
      </c>
      <c r="F31" s="404">
        <f>SUM(F22:F30)</f>
        <v>14372600.169999998</v>
      </c>
      <c r="G31" s="404">
        <f>SUM(G22:G30)</f>
        <v>221095723.52004504</v>
      </c>
      <c r="H31" s="406">
        <f t="shared" si="1"/>
        <v>235468323.69004503</v>
      </c>
    </row>
    <row r="32" spans="1:8" ht="15.75">
      <c r="A32" s="398"/>
      <c r="B32" s="399" t="s">
        <v>184</v>
      </c>
      <c r="C32" s="413"/>
      <c r="D32" s="413"/>
      <c r="E32" s="403"/>
      <c r="F32" s="414"/>
      <c r="G32" s="413"/>
      <c r="H32" s="415"/>
    </row>
    <row r="33" spans="1:8" ht="15.75">
      <c r="A33" s="398">
        <v>23</v>
      </c>
      <c r="B33" s="402" t="s">
        <v>176</v>
      </c>
      <c r="C33" s="403">
        <v>69161600</v>
      </c>
      <c r="D33" s="413">
        <v>0</v>
      </c>
      <c r="E33" s="404">
        <f t="shared" si="2"/>
        <v>69161600</v>
      </c>
      <c r="F33" s="405">
        <v>69161600</v>
      </c>
      <c r="G33" s="413">
        <v>0</v>
      </c>
      <c r="H33" s="406">
        <f t="shared" si="1"/>
        <v>69161600</v>
      </c>
    </row>
    <row r="34" spans="1:8" ht="15.75">
      <c r="A34" s="398">
        <v>24</v>
      </c>
      <c r="B34" s="402" t="s">
        <v>177</v>
      </c>
      <c r="C34" s="403">
        <v>0</v>
      </c>
      <c r="D34" s="413">
        <v>0</v>
      </c>
      <c r="E34" s="404">
        <f t="shared" si="2"/>
        <v>0</v>
      </c>
      <c r="F34" s="405">
        <v>0</v>
      </c>
      <c r="G34" s="413">
        <v>0</v>
      </c>
      <c r="H34" s="406">
        <f t="shared" si="1"/>
        <v>0</v>
      </c>
    </row>
    <row r="35" spans="1:8" ht="15.75">
      <c r="A35" s="398">
        <v>25</v>
      </c>
      <c r="B35" s="407" t="s">
        <v>178</v>
      </c>
      <c r="C35" s="403">
        <v>0</v>
      </c>
      <c r="D35" s="413">
        <v>0</v>
      </c>
      <c r="E35" s="404">
        <f t="shared" si="2"/>
        <v>0</v>
      </c>
      <c r="F35" s="405">
        <v>0</v>
      </c>
      <c r="G35" s="413">
        <v>0</v>
      </c>
      <c r="H35" s="406">
        <f t="shared" si="1"/>
        <v>0</v>
      </c>
    </row>
    <row r="36" spans="1:8" ht="15.75">
      <c r="A36" s="398">
        <v>26</v>
      </c>
      <c r="B36" s="402" t="s">
        <v>179</v>
      </c>
      <c r="C36" s="403">
        <v>0</v>
      </c>
      <c r="D36" s="413">
        <v>0</v>
      </c>
      <c r="E36" s="404">
        <f t="shared" si="2"/>
        <v>0</v>
      </c>
      <c r="F36" s="405">
        <v>0</v>
      </c>
      <c r="G36" s="413">
        <v>0</v>
      </c>
      <c r="H36" s="406">
        <f t="shared" si="1"/>
        <v>0</v>
      </c>
    </row>
    <row r="37" spans="1:8" ht="15.75">
      <c r="A37" s="398">
        <v>27</v>
      </c>
      <c r="B37" s="402" t="s">
        <v>180</v>
      </c>
      <c r="C37" s="403">
        <v>0</v>
      </c>
      <c r="D37" s="413">
        <v>0</v>
      </c>
      <c r="E37" s="404">
        <f t="shared" si="2"/>
        <v>0</v>
      </c>
      <c r="F37" s="405">
        <v>0</v>
      </c>
      <c r="G37" s="413">
        <v>0</v>
      </c>
      <c r="H37" s="406">
        <f t="shared" si="1"/>
        <v>0</v>
      </c>
    </row>
    <row r="38" spans="1:8" ht="15.75">
      <c r="A38" s="398">
        <v>28</v>
      </c>
      <c r="B38" s="402" t="s">
        <v>181</v>
      </c>
      <c r="C38" s="403">
        <v>16619954.179593861</v>
      </c>
      <c r="D38" s="413">
        <v>0</v>
      </c>
      <c r="E38" s="404">
        <f t="shared" si="2"/>
        <v>16619954.179593861</v>
      </c>
      <c r="F38" s="405">
        <v>8761337.5775684863</v>
      </c>
      <c r="G38" s="413">
        <v>0</v>
      </c>
      <c r="H38" s="406">
        <f t="shared" si="1"/>
        <v>8761337.5775684863</v>
      </c>
    </row>
    <row r="39" spans="1:8" ht="15.75">
      <c r="A39" s="398">
        <v>29</v>
      </c>
      <c r="B39" s="402" t="s">
        <v>196</v>
      </c>
      <c r="C39" s="403">
        <v>0</v>
      </c>
      <c r="D39" s="413">
        <v>0</v>
      </c>
      <c r="E39" s="404">
        <f t="shared" si="2"/>
        <v>0</v>
      </c>
      <c r="F39" s="405">
        <v>0</v>
      </c>
      <c r="G39" s="413">
        <v>0</v>
      </c>
      <c r="H39" s="406">
        <f t="shared" si="1"/>
        <v>0</v>
      </c>
    </row>
    <row r="40" spans="1:8" ht="15.75">
      <c r="A40" s="398">
        <v>30</v>
      </c>
      <c r="B40" s="412" t="s">
        <v>182</v>
      </c>
      <c r="C40" s="416">
        <v>85781554.179593861</v>
      </c>
      <c r="D40" s="413">
        <v>0</v>
      </c>
      <c r="E40" s="404">
        <f t="shared" si="2"/>
        <v>85781554.179593861</v>
      </c>
      <c r="F40" s="417">
        <v>77922937.577568486</v>
      </c>
      <c r="G40" s="413">
        <v>0</v>
      </c>
      <c r="H40" s="406">
        <f t="shared" si="1"/>
        <v>77922937.577568486</v>
      </c>
    </row>
    <row r="41" spans="1:8" ht="16.5" thickBot="1">
      <c r="A41" s="38">
        <v>31</v>
      </c>
      <c r="B41" s="39" t="s">
        <v>197</v>
      </c>
      <c r="C41" s="418">
        <f>C31+C40</f>
        <v>100263981.21779385</v>
      </c>
      <c r="D41" s="418">
        <f>D31+D40</f>
        <v>244872905.73627108</v>
      </c>
      <c r="E41" s="418">
        <f>C41+D41</f>
        <v>345136886.95406497</v>
      </c>
      <c r="F41" s="418">
        <f>F31+F40</f>
        <v>92295537.747568488</v>
      </c>
      <c r="G41" s="418">
        <f>G31+G40</f>
        <v>221095723.52004504</v>
      </c>
      <c r="H41" s="419">
        <f>F41+G41</f>
        <v>313391261.26761353</v>
      </c>
    </row>
    <row r="43" spans="1:8">
      <c r="B43" s="40"/>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65" t="s">
        <v>188</v>
      </c>
      <c r="B1" s="366" t="s">
        <v>501</v>
      </c>
      <c r="C1" s="17"/>
    </row>
    <row r="2" spans="1:8" ht="15.75">
      <c r="A2" s="365" t="s">
        <v>189</v>
      </c>
      <c r="B2" s="367">
        <f>'1. key ratios'!B2</f>
        <v>44286</v>
      </c>
      <c r="C2" s="30"/>
      <c r="D2" s="19"/>
      <c r="E2" s="19"/>
      <c r="F2" s="19"/>
      <c r="G2" s="19"/>
      <c r="H2" s="19"/>
    </row>
    <row r="3" spans="1:8" ht="15.75">
      <c r="A3" s="18"/>
      <c r="B3" s="17"/>
      <c r="C3" s="30"/>
      <c r="D3" s="19"/>
      <c r="E3" s="19"/>
      <c r="F3" s="19"/>
      <c r="G3" s="19"/>
      <c r="H3" s="19"/>
    </row>
    <row r="4" spans="1:8" ht="16.5" thickBot="1">
      <c r="A4" s="41" t="s">
        <v>330</v>
      </c>
      <c r="B4" s="31" t="s">
        <v>222</v>
      </c>
      <c r="C4" s="34"/>
      <c r="D4" s="34"/>
      <c r="E4" s="34"/>
      <c r="F4" s="41"/>
      <c r="G4" s="41"/>
      <c r="H4" s="42" t="s">
        <v>93</v>
      </c>
    </row>
    <row r="5" spans="1:8" ht="15.75">
      <c r="A5" s="106"/>
      <c r="B5" s="107"/>
      <c r="C5" s="550" t="s">
        <v>194</v>
      </c>
      <c r="D5" s="551"/>
      <c r="E5" s="552"/>
      <c r="F5" s="550" t="s">
        <v>195</v>
      </c>
      <c r="G5" s="551"/>
      <c r="H5" s="553"/>
    </row>
    <row r="6" spans="1:8">
      <c r="A6" s="420" t="s">
        <v>26</v>
      </c>
      <c r="B6" s="421"/>
      <c r="C6" s="422" t="s">
        <v>27</v>
      </c>
      <c r="D6" s="422" t="s">
        <v>96</v>
      </c>
      <c r="E6" s="422" t="s">
        <v>68</v>
      </c>
      <c r="F6" s="422" t="s">
        <v>27</v>
      </c>
      <c r="G6" s="422" t="s">
        <v>96</v>
      </c>
      <c r="H6" s="423" t="s">
        <v>68</v>
      </c>
    </row>
    <row r="7" spans="1:8">
      <c r="A7" s="424"/>
      <c r="B7" s="425" t="s">
        <v>92</v>
      </c>
      <c r="C7" s="426"/>
      <c r="D7" s="426"/>
      <c r="E7" s="426"/>
      <c r="F7" s="426"/>
      <c r="G7" s="426"/>
      <c r="H7" s="427"/>
    </row>
    <row r="8" spans="1:8">
      <c r="A8" s="424">
        <v>1</v>
      </c>
      <c r="B8" s="428" t="s">
        <v>97</v>
      </c>
      <c r="C8" s="429">
        <v>76473.600000000006</v>
      </c>
      <c r="D8" s="429">
        <v>0</v>
      </c>
      <c r="E8" s="409">
        <f>C8+D8</f>
        <v>76473.600000000006</v>
      </c>
      <c r="F8" s="430">
        <v>184161.46000000002</v>
      </c>
      <c r="G8" s="430">
        <v>0</v>
      </c>
      <c r="H8" s="411">
        <f>F8+G8</f>
        <v>184161.46000000002</v>
      </c>
    </row>
    <row r="9" spans="1:8">
      <c r="A9" s="424">
        <v>2</v>
      </c>
      <c r="B9" s="428" t="s">
        <v>98</v>
      </c>
      <c r="C9" s="431">
        <f>SUM(C10:C18)</f>
        <v>4073920.6300000004</v>
      </c>
      <c r="D9" s="431">
        <f>SUM(D10:D18)</f>
        <v>319164.15999999997</v>
      </c>
      <c r="E9" s="409">
        <f t="shared" ref="E9:E67" si="0">C9+D9</f>
        <v>4393084.79</v>
      </c>
      <c r="F9" s="431">
        <f>SUM(F10:F18)</f>
        <v>2840766.2800000003</v>
      </c>
      <c r="G9" s="431">
        <f>SUM(G10:G18)</f>
        <v>179619.13</v>
      </c>
      <c r="H9" s="411">
        <f t="shared" ref="H9:H67" si="1">F9+G9</f>
        <v>3020385.41</v>
      </c>
    </row>
    <row r="10" spans="1:8">
      <c r="A10" s="424">
        <v>2.1</v>
      </c>
      <c r="B10" s="432" t="s">
        <v>99</v>
      </c>
      <c r="C10" s="430">
        <v>0</v>
      </c>
      <c r="D10" s="430">
        <v>51940.86</v>
      </c>
      <c r="E10" s="409">
        <f t="shared" si="0"/>
        <v>51940.86</v>
      </c>
      <c r="F10" s="430">
        <v>0</v>
      </c>
      <c r="G10" s="430">
        <v>32400.02</v>
      </c>
      <c r="H10" s="411">
        <f t="shared" si="1"/>
        <v>32400.02</v>
      </c>
    </row>
    <row r="11" spans="1:8">
      <c r="A11" s="424">
        <v>2.2000000000000002</v>
      </c>
      <c r="B11" s="432" t="s">
        <v>100</v>
      </c>
      <c r="C11" s="430">
        <v>3829406.93</v>
      </c>
      <c r="D11" s="430">
        <v>0</v>
      </c>
      <c r="E11" s="409">
        <f t="shared" si="0"/>
        <v>3829406.93</v>
      </c>
      <c r="F11" s="430">
        <v>2573070.9400000004</v>
      </c>
      <c r="G11" s="430">
        <v>0</v>
      </c>
      <c r="H11" s="411">
        <f t="shared" si="1"/>
        <v>2573070.9400000004</v>
      </c>
    </row>
    <row r="12" spans="1:8">
      <c r="A12" s="424">
        <v>2.2999999999999998</v>
      </c>
      <c r="B12" s="432" t="s">
        <v>101</v>
      </c>
      <c r="C12" s="430"/>
      <c r="D12" s="430"/>
      <c r="E12" s="409">
        <f t="shared" si="0"/>
        <v>0</v>
      </c>
      <c r="F12" s="430"/>
      <c r="G12" s="430"/>
      <c r="H12" s="411">
        <f t="shared" si="1"/>
        <v>0</v>
      </c>
    </row>
    <row r="13" spans="1:8">
      <c r="A13" s="424">
        <v>2.4</v>
      </c>
      <c r="B13" s="432" t="s">
        <v>102</v>
      </c>
      <c r="C13" s="430"/>
      <c r="D13" s="430"/>
      <c r="E13" s="409">
        <f t="shared" si="0"/>
        <v>0</v>
      </c>
      <c r="F13" s="430"/>
      <c r="G13" s="430"/>
      <c r="H13" s="411">
        <f t="shared" si="1"/>
        <v>0</v>
      </c>
    </row>
    <row r="14" spans="1:8">
      <c r="A14" s="424">
        <v>2.5</v>
      </c>
      <c r="B14" s="432" t="s">
        <v>103</v>
      </c>
      <c r="C14" s="430"/>
      <c r="D14" s="430"/>
      <c r="E14" s="409">
        <f t="shared" si="0"/>
        <v>0</v>
      </c>
      <c r="F14" s="430"/>
      <c r="G14" s="430"/>
      <c r="H14" s="411">
        <f t="shared" si="1"/>
        <v>0</v>
      </c>
    </row>
    <row r="15" spans="1:8">
      <c r="A15" s="424">
        <v>2.6</v>
      </c>
      <c r="B15" s="432" t="s">
        <v>104</v>
      </c>
      <c r="C15" s="430"/>
      <c r="D15" s="430"/>
      <c r="E15" s="409">
        <f t="shared" si="0"/>
        <v>0</v>
      </c>
      <c r="F15" s="430"/>
      <c r="G15" s="430"/>
      <c r="H15" s="411">
        <f t="shared" si="1"/>
        <v>0</v>
      </c>
    </row>
    <row r="16" spans="1:8">
      <c r="A16" s="424">
        <v>2.7</v>
      </c>
      <c r="B16" s="432" t="s">
        <v>105</v>
      </c>
      <c r="C16" s="430"/>
      <c r="D16" s="430"/>
      <c r="E16" s="409">
        <f t="shared" si="0"/>
        <v>0</v>
      </c>
      <c r="F16" s="430"/>
      <c r="G16" s="430"/>
      <c r="H16" s="411">
        <f t="shared" si="1"/>
        <v>0</v>
      </c>
    </row>
    <row r="17" spans="1:8">
      <c r="A17" s="424">
        <v>2.8</v>
      </c>
      <c r="B17" s="432" t="s">
        <v>106</v>
      </c>
      <c r="C17" s="430">
        <v>244513.70000000004</v>
      </c>
      <c r="D17" s="430">
        <v>267223.3</v>
      </c>
      <c r="E17" s="409">
        <f t="shared" si="0"/>
        <v>511737</v>
      </c>
      <c r="F17" s="430">
        <v>267695.33999999997</v>
      </c>
      <c r="G17" s="430">
        <v>147219.11000000002</v>
      </c>
      <c r="H17" s="411">
        <f t="shared" si="1"/>
        <v>414914.44999999995</v>
      </c>
    </row>
    <row r="18" spans="1:8">
      <c r="A18" s="424">
        <v>2.9</v>
      </c>
      <c r="B18" s="432" t="s">
        <v>107</v>
      </c>
      <c r="C18" s="430">
        <v>0</v>
      </c>
      <c r="D18" s="430">
        <v>0</v>
      </c>
      <c r="E18" s="409">
        <f t="shared" si="0"/>
        <v>0</v>
      </c>
      <c r="F18" s="430">
        <v>0</v>
      </c>
      <c r="G18" s="430">
        <v>0</v>
      </c>
      <c r="H18" s="411">
        <f t="shared" si="1"/>
        <v>0</v>
      </c>
    </row>
    <row r="19" spans="1:8">
      <c r="A19" s="424">
        <v>3</v>
      </c>
      <c r="B19" s="428" t="s">
        <v>108</v>
      </c>
      <c r="C19" s="430">
        <v>0</v>
      </c>
      <c r="D19" s="430">
        <v>0</v>
      </c>
      <c r="E19" s="409">
        <f t="shared" si="0"/>
        <v>0</v>
      </c>
      <c r="F19" s="430">
        <v>0</v>
      </c>
      <c r="G19" s="430">
        <v>0</v>
      </c>
      <c r="H19" s="411">
        <f t="shared" si="1"/>
        <v>0</v>
      </c>
    </row>
    <row r="20" spans="1:8">
      <c r="A20" s="424">
        <v>4</v>
      </c>
      <c r="B20" s="428" t="s">
        <v>109</v>
      </c>
      <c r="C20" s="430">
        <v>588180.05876364</v>
      </c>
      <c r="D20" s="430">
        <v>119722.27813428611</v>
      </c>
      <c r="E20" s="409">
        <f t="shared" si="0"/>
        <v>707902.33689792617</v>
      </c>
      <c r="F20" s="430">
        <v>804491.79390463512</v>
      </c>
      <c r="G20" s="430">
        <v>134008.80602704867</v>
      </c>
      <c r="H20" s="411">
        <f t="shared" si="1"/>
        <v>938500.59993168386</v>
      </c>
    </row>
    <row r="21" spans="1:8">
      <c r="A21" s="424">
        <v>5</v>
      </c>
      <c r="B21" s="428" t="s">
        <v>110</v>
      </c>
      <c r="C21" s="430">
        <v>0</v>
      </c>
      <c r="D21" s="430"/>
      <c r="E21" s="409">
        <f t="shared" si="0"/>
        <v>0</v>
      </c>
      <c r="F21" s="430">
        <v>0</v>
      </c>
      <c r="G21" s="430"/>
      <c r="H21" s="411">
        <f>F21+G21</f>
        <v>0</v>
      </c>
    </row>
    <row r="22" spans="1:8">
      <c r="A22" s="424">
        <v>6</v>
      </c>
      <c r="B22" s="433" t="s">
        <v>111</v>
      </c>
      <c r="C22" s="431">
        <f>C8+C9+C19+C20+C21</f>
        <v>4738574.2887636404</v>
      </c>
      <c r="D22" s="431">
        <f>D8+D9+D19+D20+D21</f>
        <v>438886.43813428609</v>
      </c>
      <c r="E22" s="409">
        <f>C22+D22</f>
        <v>5177460.726897927</v>
      </c>
      <c r="F22" s="431">
        <f>F8+F9+F19+F20+F21</f>
        <v>3829419.5339046353</v>
      </c>
      <c r="G22" s="431">
        <f>G8+G9+G19+G20+G21</f>
        <v>313627.93602704868</v>
      </c>
      <c r="H22" s="411">
        <f>F22+G22</f>
        <v>4143047.469931684</v>
      </c>
    </row>
    <row r="23" spans="1:8">
      <c r="A23" s="424"/>
      <c r="B23" s="425" t="s">
        <v>90</v>
      </c>
      <c r="C23" s="430"/>
      <c r="D23" s="430"/>
      <c r="E23" s="408"/>
      <c r="F23" s="430"/>
      <c r="G23" s="430"/>
      <c r="H23" s="434"/>
    </row>
    <row r="24" spans="1:8">
      <c r="A24" s="424">
        <v>7</v>
      </c>
      <c r="B24" s="428" t="s">
        <v>112</v>
      </c>
      <c r="C24" s="430">
        <v>107966.49</v>
      </c>
      <c r="D24" s="430">
        <v>0</v>
      </c>
      <c r="E24" s="409">
        <f t="shared" si="0"/>
        <v>107966.49</v>
      </c>
      <c r="F24" s="430">
        <v>33765.39</v>
      </c>
      <c r="G24" s="430">
        <v>0</v>
      </c>
      <c r="H24" s="411">
        <f t="shared" si="1"/>
        <v>33765.39</v>
      </c>
    </row>
    <row r="25" spans="1:8">
      <c r="A25" s="424">
        <v>8</v>
      </c>
      <c r="B25" s="428" t="s">
        <v>113</v>
      </c>
      <c r="C25" s="430">
        <v>174788.95142514582</v>
      </c>
      <c r="D25" s="430">
        <v>67962.135620000001</v>
      </c>
      <c r="E25" s="409">
        <f t="shared" si="0"/>
        <v>242751.0870451458</v>
      </c>
      <c r="F25" s="430">
        <v>175452.41000000006</v>
      </c>
      <c r="G25" s="430">
        <v>0</v>
      </c>
      <c r="H25" s="411">
        <f t="shared" si="1"/>
        <v>175452.41000000006</v>
      </c>
    </row>
    <row r="26" spans="1:8">
      <c r="A26" s="424">
        <v>9</v>
      </c>
      <c r="B26" s="428" t="s">
        <v>114</v>
      </c>
      <c r="C26" s="430">
        <v>9718.8100000000013</v>
      </c>
      <c r="D26" s="430">
        <v>333393.25</v>
      </c>
      <c r="E26" s="409">
        <f t="shared" si="0"/>
        <v>343112.06</v>
      </c>
      <c r="F26" s="430">
        <v>16479.14</v>
      </c>
      <c r="G26" s="430">
        <v>454977.70999999996</v>
      </c>
      <c r="H26" s="411">
        <f t="shared" si="1"/>
        <v>471456.85</v>
      </c>
    </row>
    <row r="27" spans="1:8">
      <c r="A27" s="424">
        <v>10</v>
      </c>
      <c r="B27" s="428" t="s">
        <v>115</v>
      </c>
      <c r="C27" s="430"/>
      <c r="D27" s="430"/>
      <c r="E27" s="409">
        <f t="shared" si="0"/>
        <v>0</v>
      </c>
      <c r="F27" s="430">
        <v>0</v>
      </c>
      <c r="G27" s="430">
        <v>0</v>
      </c>
      <c r="H27" s="411">
        <f t="shared" si="1"/>
        <v>0</v>
      </c>
    </row>
    <row r="28" spans="1:8">
      <c r="A28" s="424">
        <v>11</v>
      </c>
      <c r="B28" s="428" t="s">
        <v>116</v>
      </c>
      <c r="C28" s="430">
        <v>20732.54</v>
      </c>
      <c r="D28" s="430">
        <v>355683.97</v>
      </c>
      <c r="E28" s="409">
        <f t="shared" si="0"/>
        <v>376416.50999999995</v>
      </c>
      <c r="F28" s="430">
        <v>23696.16</v>
      </c>
      <c r="G28" s="430">
        <v>243528.07</v>
      </c>
      <c r="H28" s="411">
        <f t="shared" si="1"/>
        <v>267224.23</v>
      </c>
    </row>
    <row r="29" spans="1:8">
      <c r="A29" s="424">
        <v>12</v>
      </c>
      <c r="B29" s="428" t="s">
        <v>117</v>
      </c>
      <c r="C29" s="430"/>
      <c r="D29" s="430"/>
      <c r="E29" s="409">
        <f t="shared" si="0"/>
        <v>0</v>
      </c>
      <c r="F29" s="430"/>
      <c r="G29" s="430"/>
      <c r="H29" s="411">
        <f t="shared" si="1"/>
        <v>0</v>
      </c>
    </row>
    <row r="30" spans="1:8">
      <c r="A30" s="424">
        <v>13</v>
      </c>
      <c r="B30" s="435" t="s">
        <v>118</v>
      </c>
      <c r="C30" s="431">
        <f>SUM(C24:C29)</f>
        <v>313206.79142514581</v>
      </c>
      <c r="D30" s="431">
        <f>SUM(D24:D29)</f>
        <v>757039.35562000005</v>
      </c>
      <c r="E30" s="409">
        <f t="shared" si="0"/>
        <v>1070246.1470451457</v>
      </c>
      <c r="F30" s="431">
        <f>SUM(F24:F29)</f>
        <v>249393.10000000006</v>
      </c>
      <c r="G30" s="431">
        <f>SUM(G24:G29)</f>
        <v>698505.78</v>
      </c>
      <c r="H30" s="411">
        <f t="shared" si="1"/>
        <v>947898.88000000012</v>
      </c>
    </row>
    <row r="31" spans="1:8">
      <c r="A31" s="424">
        <v>14</v>
      </c>
      <c r="B31" s="435" t="s">
        <v>119</v>
      </c>
      <c r="C31" s="431">
        <f>C22-C30</f>
        <v>4425367.4973384943</v>
      </c>
      <c r="D31" s="431">
        <f>D22-D30</f>
        <v>-318152.91748571396</v>
      </c>
      <c r="E31" s="409">
        <f t="shared" si="0"/>
        <v>4107214.5798527803</v>
      </c>
      <c r="F31" s="431">
        <f>F22-F30</f>
        <v>3580026.4339046353</v>
      </c>
      <c r="G31" s="431">
        <f>G22-G30</f>
        <v>-384877.84397295135</v>
      </c>
      <c r="H31" s="411">
        <f t="shared" si="1"/>
        <v>3195148.5899316841</v>
      </c>
    </row>
    <row r="32" spans="1:8">
      <c r="A32" s="424"/>
      <c r="B32" s="425"/>
      <c r="C32" s="436"/>
      <c r="D32" s="436"/>
      <c r="E32" s="436"/>
      <c r="F32" s="436"/>
      <c r="G32" s="436"/>
      <c r="H32" s="437"/>
    </row>
    <row r="33" spans="1:8">
      <c r="A33" s="424"/>
      <c r="B33" s="425" t="s">
        <v>120</v>
      </c>
      <c r="C33" s="430"/>
      <c r="D33" s="430"/>
      <c r="E33" s="408"/>
      <c r="F33" s="430"/>
      <c r="G33" s="430"/>
      <c r="H33" s="434"/>
    </row>
    <row r="34" spans="1:8">
      <c r="A34" s="424">
        <v>15</v>
      </c>
      <c r="B34" s="438" t="s">
        <v>91</v>
      </c>
      <c r="C34" s="439">
        <f>C35-C36</f>
        <v>50319.6700000001</v>
      </c>
      <c r="D34" s="439">
        <f>D35-D36</f>
        <v>0</v>
      </c>
      <c r="E34" s="409">
        <f t="shared" si="0"/>
        <v>50319.6700000001</v>
      </c>
      <c r="F34" s="439">
        <f>F35-F36</f>
        <v>202142.55999999994</v>
      </c>
      <c r="G34" s="439">
        <f>G35-G36</f>
        <v>0</v>
      </c>
      <c r="H34" s="411">
        <f t="shared" si="1"/>
        <v>202142.55999999994</v>
      </c>
    </row>
    <row r="35" spans="1:8">
      <c r="A35" s="424">
        <v>15.1</v>
      </c>
      <c r="B35" s="432" t="s">
        <v>121</v>
      </c>
      <c r="C35" s="430">
        <v>281806.74000000005</v>
      </c>
      <c r="D35" s="430"/>
      <c r="E35" s="409">
        <f t="shared" si="0"/>
        <v>281806.74000000005</v>
      </c>
      <c r="F35" s="430">
        <v>358530.68999999994</v>
      </c>
      <c r="G35" s="430"/>
      <c r="H35" s="411">
        <f t="shared" si="1"/>
        <v>358530.68999999994</v>
      </c>
    </row>
    <row r="36" spans="1:8">
      <c r="A36" s="424">
        <v>15.2</v>
      </c>
      <c r="B36" s="432" t="s">
        <v>122</v>
      </c>
      <c r="C36" s="430">
        <v>231487.06999999995</v>
      </c>
      <c r="D36" s="430"/>
      <c r="E36" s="409">
        <f t="shared" si="0"/>
        <v>231487.06999999995</v>
      </c>
      <c r="F36" s="430">
        <v>156388.13</v>
      </c>
      <c r="G36" s="430"/>
      <c r="H36" s="411">
        <f t="shared" si="1"/>
        <v>156388.13</v>
      </c>
    </row>
    <row r="37" spans="1:8">
      <c r="A37" s="424">
        <v>16</v>
      </c>
      <c r="B37" s="428" t="s">
        <v>123</v>
      </c>
      <c r="C37" s="430">
        <v>0</v>
      </c>
      <c r="D37" s="430"/>
      <c r="E37" s="409">
        <f t="shared" si="0"/>
        <v>0</v>
      </c>
      <c r="F37" s="430">
        <v>0</v>
      </c>
      <c r="G37" s="430"/>
      <c r="H37" s="411">
        <f t="shared" si="1"/>
        <v>0</v>
      </c>
    </row>
    <row r="38" spans="1:8">
      <c r="A38" s="424">
        <v>17</v>
      </c>
      <c r="B38" s="428" t="s">
        <v>124</v>
      </c>
      <c r="C38" s="430">
        <v>0</v>
      </c>
      <c r="D38" s="430"/>
      <c r="E38" s="409">
        <f t="shared" si="0"/>
        <v>0</v>
      </c>
      <c r="F38" s="430">
        <v>0</v>
      </c>
      <c r="G38" s="430"/>
      <c r="H38" s="411">
        <f t="shared" si="1"/>
        <v>0</v>
      </c>
    </row>
    <row r="39" spans="1:8">
      <c r="A39" s="424">
        <v>18</v>
      </c>
      <c r="B39" s="428" t="s">
        <v>125</v>
      </c>
      <c r="C39" s="430">
        <v>0</v>
      </c>
      <c r="D39" s="430"/>
      <c r="E39" s="409">
        <f t="shared" si="0"/>
        <v>0</v>
      </c>
      <c r="F39" s="430">
        <v>0</v>
      </c>
      <c r="G39" s="430"/>
      <c r="H39" s="411">
        <f t="shared" si="1"/>
        <v>0</v>
      </c>
    </row>
    <row r="40" spans="1:8">
      <c r="A40" s="424">
        <v>19</v>
      </c>
      <c r="B40" s="428" t="s">
        <v>126</v>
      </c>
      <c r="C40" s="430">
        <v>564974.43999999994</v>
      </c>
      <c r="D40" s="430"/>
      <c r="E40" s="409">
        <f t="shared" si="0"/>
        <v>564974.43999999994</v>
      </c>
      <c r="F40" s="430">
        <v>548070.66999999993</v>
      </c>
      <c r="G40" s="430"/>
      <c r="H40" s="411">
        <f t="shared" si="1"/>
        <v>548070.66999999993</v>
      </c>
    </row>
    <row r="41" spans="1:8">
      <c r="A41" s="424">
        <v>20</v>
      </c>
      <c r="B41" s="428" t="s">
        <v>127</v>
      </c>
      <c r="C41" s="430">
        <v>-383234.83000000607</v>
      </c>
      <c r="D41" s="430"/>
      <c r="E41" s="409">
        <f t="shared" si="0"/>
        <v>-383234.83000000607</v>
      </c>
      <c r="F41" s="430">
        <v>99373.019999995828</v>
      </c>
      <c r="G41" s="430"/>
      <c r="H41" s="411">
        <f t="shared" si="1"/>
        <v>99373.019999995828</v>
      </c>
    </row>
    <row r="42" spans="1:8">
      <c r="A42" s="424">
        <v>21</v>
      </c>
      <c r="B42" s="428" t="s">
        <v>128</v>
      </c>
      <c r="C42" s="430">
        <v>0</v>
      </c>
      <c r="D42" s="430"/>
      <c r="E42" s="409">
        <f t="shared" si="0"/>
        <v>0</v>
      </c>
      <c r="F42" s="430">
        <v>0</v>
      </c>
      <c r="G42" s="430"/>
      <c r="H42" s="411">
        <f t="shared" si="1"/>
        <v>0</v>
      </c>
    </row>
    <row r="43" spans="1:8">
      <c r="A43" s="424">
        <v>22</v>
      </c>
      <c r="B43" s="428" t="s">
        <v>129</v>
      </c>
      <c r="C43" s="430">
        <v>542356.66999999993</v>
      </c>
      <c r="D43" s="430"/>
      <c r="E43" s="409">
        <f t="shared" si="0"/>
        <v>542356.66999999993</v>
      </c>
      <c r="F43" s="430">
        <v>545384.41</v>
      </c>
      <c r="G43" s="430"/>
      <c r="H43" s="411">
        <f t="shared" si="1"/>
        <v>545384.41</v>
      </c>
    </row>
    <row r="44" spans="1:8">
      <c r="A44" s="424">
        <v>23</v>
      </c>
      <c r="B44" s="428" t="s">
        <v>130</v>
      </c>
      <c r="C44" s="430">
        <v>0</v>
      </c>
      <c r="D44" s="430"/>
      <c r="E44" s="409">
        <f t="shared" si="0"/>
        <v>0</v>
      </c>
      <c r="F44" s="430">
        <v>0</v>
      </c>
      <c r="G44" s="430"/>
      <c r="H44" s="411">
        <f t="shared" si="1"/>
        <v>0</v>
      </c>
    </row>
    <row r="45" spans="1:8">
      <c r="A45" s="424">
        <v>24</v>
      </c>
      <c r="B45" s="435" t="s">
        <v>131</v>
      </c>
      <c r="C45" s="431">
        <f>C34+C37+C38+C39+C40+C41+C42+C43+C44</f>
        <v>774415.9499999939</v>
      </c>
      <c r="D45" s="431">
        <f>D34+D37+D38+D39+D40+D41+D42+D43+D44</f>
        <v>0</v>
      </c>
      <c r="E45" s="409">
        <f t="shared" si="0"/>
        <v>774415.9499999939</v>
      </c>
      <c r="F45" s="431">
        <f>F34+F37+F38+F39+F40+F41+F42+F43+F44</f>
        <v>1394970.6599999957</v>
      </c>
      <c r="G45" s="431">
        <f>G34+G37+G38+G39+G40+G41+G42+G43+G44</f>
        <v>0</v>
      </c>
      <c r="H45" s="411">
        <f t="shared" si="1"/>
        <v>1394970.6599999957</v>
      </c>
    </row>
    <row r="46" spans="1:8">
      <c r="A46" s="424"/>
      <c r="B46" s="425" t="s">
        <v>132</v>
      </c>
      <c r="C46" s="430"/>
      <c r="D46" s="430"/>
      <c r="E46" s="430"/>
      <c r="F46" s="430"/>
      <c r="G46" s="430"/>
      <c r="H46" s="440"/>
    </row>
    <row r="47" spans="1:8">
      <c r="A47" s="424">
        <v>25</v>
      </c>
      <c r="B47" s="428" t="s">
        <v>133</v>
      </c>
      <c r="C47" s="430">
        <v>0</v>
      </c>
      <c r="D47" s="430"/>
      <c r="E47" s="409">
        <f t="shared" si="0"/>
        <v>0</v>
      </c>
      <c r="F47" s="430">
        <v>0</v>
      </c>
      <c r="G47" s="430"/>
      <c r="H47" s="411">
        <f t="shared" si="1"/>
        <v>0</v>
      </c>
    </row>
    <row r="48" spans="1:8">
      <c r="A48" s="424">
        <v>26</v>
      </c>
      <c r="B48" s="428" t="s">
        <v>134</v>
      </c>
      <c r="C48" s="430">
        <v>26766.45</v>
      </c>
      <c r="D48" s="430"/>
      <c r="E48" s="409">
        <f t="shared" si="0"/>
        <v>26766.45</v>
      </c>
      <c r="F48" s="430">
        <v>16823.77</v>
      </c>
      <c r="G48" s="430"/>
      <c r="H48" s="411">
        <f t="shared" si="1"/>
        <v>16823.77</v>
      </c>
    </row>
    <row r="49" spans="1:9">
      <c r="A49" s="424">
        <v>27</v>
      </c>
      <c r="B49" s="428" t="s">
        <v>135</v>
      </c>
      <c r="C49" s="430">
        <v>1092960.67</v>
      </c>
      <c r="D49" s="430"/>
      <c r="E49" s="409">
        <f t="shared" si="0"/>
        <v>1092960.67</v>
      </c>
      <c r="F49" s="430">
        <v>1105618.75</v>
      </c>
      <c r="G49" s="430"/>
      <c r="H49" s="411">
        <f t="shared" si="1"/>
        <v>1105618.75</v>
      </c>
    </row>
    <row r="50" spans="1:9">
      <c r="A50" s="424">
        <v>28</v>
      </c>
      <c r="B50" s="428" t="s">
        <v>271</v>
      </c>
      <c r="C50" s="430">
        <v>3691.2799999999997</v>
      </c>
      <c r="D50" s="430"/>
      <c r="E50" s="409">
        <f t="shared" si="0"/>
        <v>3691.2799999999997</v>
      </c>
      <c r="F50" s="430">
        <v>6293.85</v>
      </c>
      <c r="G50" s="430"/>
      <c r="H50" s="411">
        <f t="shared" si="1"/>
        <v>6293.85</v>
      </c>
    </row>
    <row r="51" spans="1:9">
      <c r="A51" s="424">
        <v>29</v>
      </c>
      <c r="B51" s="428" t="s">
        <v>136</v>
      </c>
      <c r="C51" s="430">
        <v>171994.84</v>
      </c>
      <c r="D51" s="430"/>
      <c r="E51" s="409">
        <f t="shared" si="0"/>
        <v>171994.84</v>
      </c>
      <c r="F51" s="430">
        <v>111570.9</v>
      </c>
      <c r="G51" s="430"/>
      <c r="H51" s="411">
        <f t="shared" si="1"/>
        <v>111570.9</v>
      </c>
    </row>
    <row r="52" spans="1:9">
      <c r="A52" s="424">
        <v>30</v>
      </c>
      <c r="B52" s="428" t="s">
        <v>137</v>
      </c>
      <c r="C52" s="430">
        <v>511073.38</v>
      </c>
      <c r="D52" s="430"/>
      <c r="E52" s="409">
        <f t="shared" si="0"/>
        <v>511073.38</v>
      </c>
      <c r="F52" s="430">
        <v>382695.83999999997</v>
      </c>
      <c r="G52" s="430"/>
      <c r="H52" s="411">
        <f t="shared" si="1"/>
        <v>382695.83999999997</v>
      </c>
    </row>
    <row r="53" spans="1:9">
      <c r="A53" s="424">
        <v>31</v>
      </c>
      <c r="B53" s="435" t="s">
        <v>138</v>
      </c>
      <c r="C53" s="431">
        <f>C47+C48+C49+C50+C51+C52</f>
        <v>1806486.62</v>
      </c>
      <c r="D53" s="431">
        <f>D47+D48+D49+D50+D51+D52</f>
        <v>0</v>
      </c>
      <c r="E53" s="409">
        <f t="shared" si="0"/>
        <v>1806486.62</v>
      </c>
      <c r="F53" s="431">
        <f>F47+F48+F49+F50+F51+F52</f>
        <v>1623003.1099999999</v>
      </c>
      <c r="G53" s="431">
        <f>G47+G48+G49+G50+G51+G52</f>
        <v>0</v>
      </c>
      <c r="H53" s="411">
        <f t="shared" si="1"/>
        <v>1623003.1099999999</v>
      </c>
    </row>
    <row r="54" spans="1:9">
      <c r="A54" s="424">
        <v>32</v>
      </c>
      <c r="B54" s="435" t="s">
        <v>139</v>
      </c>
      <c r="C54" s="431">
        <f>C45-C53</f>
        <v>-1032070.6700000062</v>
      </c>
      <c r="D54" s="431">
        <f>D45-D53</f>
        <v>0</v>
      </c>
      <c r="E54" s="409">
        <f t="shared" si="0"/>
        <v>-1032070.6700000062</v>
      </c>
      <c r="F54" s="431">
        <f>F45-F53</f>
        <v>-228032.45000000414</v>
      </c>
      <c r="G54" s="431">
        <f>G45-G53</f>
        <v>0</v>
      </c>
      <c r="H54" s="411">
        <f t="shared" si="1"/>
        <v>-228032.45000000414</v>
      </c>
    </row>
    <row r="55" spans="1:9">
      <c r="A55" s="424"/>
      <c r="B55" s="425"/>
      <c r="C55" s="436"/>
      <c r="D55" s="436"/>
      <c r="E55" s="436"/>
      <c r="F55" s="436"/>
      <c r="G55" s="436"/>
      <c r="H55" s="437"/>
    </row>
    <row r="56" spans="1:9">
      <c r="A56" s="424">
        <v>33</v>
      </c>
      <c r="B56" s="435" t="s">
        <v>140</v>
      </c>
      <c r="C56" s="431">
        <f>C31+C54</f>
        <v>3393296.8273384878</v>
      </c>
      <c r="D56" s="431">
        <f>D31+D54</f>
        <v>-318152.91748571396</v>
      </c>
      <c r="E56" s="409">
        <f t="shared" si="0"/>
        <v>3075143.9098527739</v>
      </c>
      <c r="F56" s="431">
        <f>F31+F54</f>
        <v>3351993.9839046309</v>
      </c>
      <c r="G56" s="431">
        <f>G31+G54</f>
        <v>-384877.84397295135</v>
      </c>
      <c r="H56" s="411">
        <f t="shared" si="1"/>
        <v>2967116.1399316797</v>
      </c>
    </row>
    <row r="57" spans="1:9">
      <c r="A57" s="424"/>
      <c r="B57" s="425"/>
      <c r="C57" s="436"/>
      <c r="D57" s="436"/>
      <c r="E57" s="436"/>
      <c r="F57" s="436"/>
      <c r="G57" s="436"/>
      <c r="H57" s="437"/>
    </row>
    <row r="58" spans="1:9">
      <c r="A58" s="424">
        <v>34</v>
      </c>
      <c r="B58" s="428" t="s">
        <v>141</v>
      </c>
      <c r="C58" s="430">
        <v>21888.94450293302</v>
      </c>
      <c r="D58" s="430"/>
      <c r="E58" s="409">
        <f t="shared" si="0"/>
        <v>21888.94450293302</v>
      </c>
      <c r="F58" s="430">
        <v>5683892.6506327381</v>
      </c>
      <c r="G58" s="430"/>
      <c r="H58" s="411">
        <f t="shared" si="1"/>
        <v>5683892.6506327381</v>
      </c>
    </row>
    <row r="59" spans="1:9" s="185" customFormat="1">
      <c r="A59" s="424">
        <v>35</v>
      </c>
      <c r="B59" s="438" t="s">
        <v>142</v>
      </c>
      <c r="C59" s="430">
        <v>6022.2036891067983</v>
      </c>
      <c r="D59" s="430"/>
      <c r="E59" s="441">
        <f t="shared" si="0"/>
        <v>6022.2036891067983</v>
      </c>
      <c r="F59" s="442">
        <v>-31147.196199181781</v>
      </c>
      <c r="G59" s="442"/>
      <c r="H59" s="443">
        <f t="shared" si="1"/>
        <v>-31147.196199181781</v>
      </c>
      <c r="I59" s="184"/>
    </row>
    <row r="60" spans="1:9">
      <c r="A60" s="424">
        <v>36</v>
      </c>
      <c r="B60" s="428" t="s">
        <v>143</v>
      </c>
      <c r="C60" s="430">
        <v>155075.34734000001</v>
      </c>
      <c r="D60" s="430"/>
      <c r="E60" s="409">
        <f t="shared" si="0"/>
        <v>155075.34734000001</v>
      </c>
      <c r="F60" s="430">
        <v>-90288.873987280036</v>
      </c>
      <c r="G60" s="430"/>
      <c r="H60" s="411">
        <f t="shared" si="1"/>
        <v>-90288.873987280036</v>
      </c>
    </row>
    <row r="61" spans="1:9">
      <c r="A61" s="424">
        <v>37</v>
      </c>
      <c r="B61" s="435" t="s">
        <v>144</v>
      </c>
      <c r="C61" s="431">
        <f>C58+C59+C60</f>
        <v>182986.49553203981</v>
      </c>
      <c r="D61" s="431">
        <f>D58+D59+D60</f>
        <v>0</v>
      </c>
      <c r="E61" s="409">
        <f t="shared" si="0"/>
        <v>182986.49553203981</v>
      </c>
      <c r="F61" s="431">
        <f>F58+F59+F60</f>
        <v>5562456.5804462768</v>
      </c>
      <c r="G61" s="431">
        <f>G58+G59+G60</f>
        <v>0</v>
      </c>
      <c r="H61" s="411">
        <f t="shared" si="1"/>
        <v>5562456.5804462768</v>
      </c>
    </row>
    <row r="62" spans="1:9">
      <c r="A62" s="424"/>
      <c r="B62" s="444"/>
      <c r="C62" s="430"/>
      <c r="D62" s="430"/>
      <c r="E62" s="430"/>
      <c r="F62" s="430"/>
      <c r="G62" s="430"/>
      <c r="H62" s="440"/>
    </row>
    <row r="63" spans="1:9">
      <c r="A63" s="424">
        <v>38</v>
      </c>
      <c r="B63" s="445" t="s">
        <v>272</v>
      </c>
      <c r="C63" s="431">
        <f>C56-C61</f>
        <v>3210310.3318064478</v>
      </c>
      <c r="D63" s="431">
        <f>D56-D61</f>
        <v>-318152.91748571396</v>
      </c>
      <c r="E63" s="409">
        <f t="shared" si="0"/>
        <v>2892157.4143207339</v>
      </c>
      <c r="F63" s="431">
        <f>F56-F61</f>
        <v>-2210462.5965416459</v>
      </c>
      <c r="G63" s="431">
        <f>G56-G61</f>
        <v>-384877.84397295135</v>
      </c>
      <c r="H63" s="411">
        <f t="shared" si="1"/>
        <v>-2595340.4405145971</v>
      </c>
    </row>
    <row r="64" spans="1:9">
      <c r="A64" s="420">
        <v>39</v>
      </c>
      <c r="B64" s="428" t="s">
        <v>145</v>
      </c>
      <c r="C64" s="446">
        <v>426630.54</v>
      </c>
      <c r="D64" s="446"/>
      <c r="E64" s="409">
        <f t="shared" si="0"/>
        <v>426630.54</v>
      </c>
      <c r="F64" s="446"/>
      <c r="G64" s="446"/>
      <c r="H64" s="411">
        <f t="shared" si="1"/>
        <v>0</v>
      </c>
    </row>
    <row r="65" spans="1:8">
      <c r="A65" s="424">
        <v>40</v>
      </c>
      <c r="B65" s="435" t="s">
        <v>146</v>
      </c>
      <c r="C65" s="431">
        <f>C63-C64</f>
        <v>2783679.7918064478</v>
      </c>
      <c r="D65" s="431">
        <f>D63-D64</f>
        <v>-318152.91748571396</v>
      </c>
      <c r="E65" s="409">
        <f t="shared" si="0"/>
        <v>2465526.8743207338</v>
      </c>
      <c r="F65" s="431">
        <f>F63-F64</f>
        <v>-2210462.5965416459</v>
      </c>
      <c r="G65" s="431">
        <f>G63-G64</f>
        <v>-384877.84397295135</v>
      </c>
      <c r="H65" s="411">
        <f t="shared" si="1"/>
        <v>-2595340.4405145971</v>
      </c>
    </row>
    <row r="66" spans="1:8">
      <c r="A66" s="420">
        <v>41</v>
      </c>
      <c r="B66" s="428" t="s">
        <v>147</v>
      </c>
      <c r="C66" s="446"/>
      <c r="D66" s="446"/>
      <c r="E66" s="409">
        <f t="shared" si="0"/>
        <v>0</v>
      </c>
      <c r="F66" s="446"/>
      <c r="G66" s="446"/>
      <c r="H66" s="411">
        <f t="shared" si="1"/>
        <v>0</v>
      </c>
    </row>
    <row r="67" spans="1:8" ht="15.75" thickBot="1">
      <c r="A67" s="108">
        <v>42</v>
      </c>
      <c r="B67" s="109" t="s">
        <v>148</v>
      </c>
      <c r="C67" s="447">
        <f>C65+C66</f>
        <v>2783679.7918064478</v>
      </c>
      <c r="D67" s="447">
        <f>D65+D66</f>
        <v>-318152.91748571396</v>
      </c>
      <c r="E67" s="448">
        <f t="shared" si="0"/>
        <v>2465526.8743207338</v>
      </c>
      <c r="F67" s="447">
        <f>F65+F66</f>
        <v>-2210462.5965416459</v>
      </c>
      <c r="G67" s="447">
        <f>G65+G66</f>
        <v>-384877.84397295135</v>
      </c>
      <c r="H67" s="449">
        <f t="shared" si="1"/>
        <v>-2595340.4405145971</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365" t="s">
        <v>188</v>
      </c>
      <c r="B1" s="366" t="s">
        <v>501</v>
      </c>
    </row>
    <row r="2" spans="1:8" ht="15.75">
      <c r="A2" s="365" t="s">
        <v>189</v>
      </c>
      <c r="B2" s="367">
        <f>'1. key ratios'!B2</f>
        <v>44286</v>
      </c>
    </row>
    <row r="3" spans="1:8">
      <c r="A3" s="2"/>
    </row>
    <row r="4" spans="1:8" ht="16.5" thickBot="1">
      <c r="A4" s="252" t="s">
        <v>331</v>
      </c>
      <c r="B4" s="252"/>
      <c r="C4" s="193"/>
      <c r="D4" s="193"/>
      <c r="E4" s="193"/>
      <c r="F4" s="194"/>
      <c r="G4" s="194"/>
      <c r="H4" s="195" t="s">
        <v>93</v>
      </c>
    </row>
    <row r="5" spans="1:8" ht="15.75">
      <c r="A5" s="554" t="s">
        <v>26</v>
      </c>
      <c r="B5" s="556" t="s">
        <v>245</v>
      </c>
      <c r="C5" s="558" t="s">
        <v>194</v>
      </c>
      <c r="D5" s="558"/>
      <c r="E5" s="558"/>
      <c r="F5" s="558" t="s">
        <v>195</v>
      </c>
      <c r="G5" s="558"/>
      <c r="H5" s="559"/>
    </row>
    <row r="6" spans="1:8">
      <c r="A6" s="555"/>
      <c r="B6" s="557"/>
      <c r="C6" s="400" t="s">
        <v>27</v>
      </c>
      <c r="D6" s="400" t="s">
        <v>94</v>
      </c>
      <c r="E6" s="400" t="s">
        <v>68</v>
      </c>
      <c r="F6" s="400" t="s">
        <v>27</v>
      </c>
      <c r="G6" s="400" t="s">
        <v>94</v>
      </c>
      <c r="H6" s="401" t="s">
        <v>68</v>
      </c>
    </row>
    <row r="7" spans="1:8" s="3" customFormat="1">
      <c r="A7" s="258">
        <v>1</v>
      </c>
      <c r="B7" s="450" t="s">
        <v>367</v>
      </c>
      <c r="C7" s="439">
        <f>SUM(C8:C11)</f>
        <v>26994893.149999999</v>
      </c>
      <c r="D7" s="439">
        <f>SUM(D8:D11)</f>
        <v>43739814.810000002</v>
      </c>
      <c r="E7" s="439">
        <f>C7+D7</f>
        <v>70734707.960000008</v>
      </c>
      <c r="F7" s="439">
        <f>SUM(F8:F11)</f>
        <v>30329148.349999998</v>
      </c>
      <c r="G7" s="439">
        <f>SUM(G8:G11)</f>
        <v>47741216.719999999</v>
      </c>
      <c r="H7" s="411">
        <f t="shared" ref="H7:H53" si="0">F7+G7</f>
        <v>78070365.069999993</v>
      </c>
    </row>
    <row r="8" spans="1:8" s="3" customFormat="1">
      <c r="A8" s="258">
        <v>1.1000000000000001</v>
      </c>
      <c r="B8" s="451" t="s">
        <v>276</v>
      </c>
      <c r="C8" s="452">
        <v>26948275.719999999</v>
      </c>
      <c r="D8" s="452">
        <v>43722755.810000002</v>
      </c>
      <c r="E8" s="439">
        <f t="shared" ref="E8:E53" si="1">C8+D8</f>
        <v>70671031.530000001</v>
      </c>
      <c r="F8" s="452">
        <v>30268225.559999999</v>
      </c>
      <c r="G8" s="452">
        <v>47724794.219999999</v>
      </c>
      <c r="H8" s="411">
        <f t="shared" si="0"/>
        <v>77993019.780000001</v>
      </c>
    </row>
    <row r="9" spans="1:8" s="3" customFormat="1">
      <c r="A9" s="258">
        <v>1.2</v>
      </c>
      <c r="B9" s="451" t="s">
        <v>277</v>
      </c>
      <c r="C9" s="452"/>
      <c r="D9" s="452"/>
      <c r="E9" s="439">
        <f t="shared" si="1"/>
        <v>0</v>
      </c>
      <c r="F9" s="452"/>
      <c r="G9" s="452"/>
      <c r="H9" s="411">
        <f t="shared" si="0"/>
        <v>0</v>
      </c>
    </row>
    <row r="10" spans="1:8" s="3" customFormat="1">
      <c r="A10" s="258">
        <v>1.3</v>
      </c>
      <c r="B10" s="451" t="s">
        <v>278</v>
      </c>
      <c r="C10" s="452">
        <v>46617.429999999993</v>
      </c>
      <c r="D10" s="452">
        <v>17059</v>
      </c>
      <c r="E10" s="439">
        <f t="shared" si="1"/>
        <v>63676.429999999993</v>
      </c>
      <c r="F10" s="452">
        <v>60922.789999999986</v>
      </c>
      <c r="G10" s="452">
        <v>16422.5</v>
      </c>
      <c r="H10" s="411">
        <f t="shared" si="0"/>
        <v>77345.289999999979</v>
      </c>
    </row>
    <row r="11" spans="1:8" s="3" customFormat="1">
      <c r="A11" s="258">
        <v>1.4</v>
      </c>
      <c r="B11" s="451" t="s">
        <v>279</v>
      </c>
      <c r="C11" s="452"/>
      <c r="D11" s="452"/>
      <c r="E11" s="439">
        <f t="shared" si="1"/>
        <v>0</v>
      </c>
      <c r="F11" s="452"/>
      <c r="G11" s="452"/>
      <c r="H11" s="411">
        <f t="shared" si="0"/>
        <v>0</v>
      </c>
    </row>
    <row r="12" spans="1:8" s="3" customFormat="1" ht="29.25" customHeight="1">
      <c r="A12" s="258">
        <v>2</v>
      </c>
      <c r="B12" s="450" t="s">
        <v>280</v>
      </c>
      <c r="C12" s="439"/>
      <c r="D12" s="439"/>
      <c r="E12" s="439">
        <f t="shared" si="1"/>
        <v>0</v>
      </c>
      <c r="F12" s="439"/>
      <c r="G12" s="439"/>
      <c r="H12" s="411">
        <f t="shared" si="0"/>
        <v>0</v>
      </c>
    </row>
    <row r="13" spans="1:8" s="3" customFormat="1" ht="25.5">
      <c r="A13" s="258">
        <v>3</v>
      </c>
      <c r="B13" s="450" t="s">
        <v>281</v>
      </c>
      <c r="C13" s="439">
        <f>SUM(C14:C15)</f>
        <v>2636000</v>
      </c>
      <c r="D13" s="439">
        <f>SUM(D14:D15)</f>
        <v>0</v>
      </c>
      <c r="E13" s="439">
        <f t="shared" si="1"/>
        <v>2636000</v>
      </c>
      <c r="F13" s="439">
        <f>SUM(F14:F15)</f>
        <v>0</v>
      </c>
      <c r="G13" s="439">
        <f>SUM(G14:G15)</f>
        <v>0</v>
      </c>
      <c r="H13" s="411">
        <f t="shared" si="0"/>
        <v>0</v>
      </c>
    </row>
    <row r="14" spans="1:8" s="3" customFormat="1">
      <c r="A14" s="258">
        <v>3.1</v>
      </c>
      <c r="B14" s="451" t="s">
        <v>282</v>
      </c>
      <c r="C14" s="452">
        <v>2636000</v>
      </c>
      <c r="D14" s="452"/>
      <c r="E14" s="439">
        <f t="shared" si="1"/>
        <v>2636000</v>
      </c>
      <c r="F14" s="452"/>
      <c r="G14" s="452"/>
      <c r="H14" s="411">
        <f t="shared" si="0"/>
        <v>0</v>
      </c>
    </row>
    <row r="15" spans="1:8" s="3" customFormat="1">
      <c r="A15" s="258">
        <v>3.2</v>
      </c>
      <c r="B15" s="451" t="s">
        <v>283</v>
      </c>
      <c r="C15" s="452"/>
      <c r="D15" s="452"/>
      <c r="E15" s="439">
        <f t="shared" si="1"/>
        <v>0</v>
      </c>
      <c r="F15" s="452"/>
      <c r="G15" s="452"/>
      <c r="H15" s="411">
        <f t="shared" si="0"/>
        <v>0</v>
      </c>
    </row>
    <row r="16" spans="1:8" s="3" customFormat="1">
      <c r="A16" s="258">
        <v>4</v>
      </c>
      <c r="B16" s="450" t="s">
        <v>284</v>
      </c>
      <c r="C16" s="439">
        <f>SUM(C17:C18)</f>
        <v>64160154.99000001</v>
      </c>
      <c r="D16" s="439">
        <f>SUM(D17:D18)</f>
        <v>76677496.975483999</v>
      </c>
      <c r="E16" s="439">
        <f t="shared" si="1"/>
        <v>140837651.96548402</v>
      </c>
      <c r="F16" s="439">
        <f>SUM(F17:F18)</f>
        <v>22963425.559999999</v>
      </c>
      <c r="G16" s="439">
        <f>SUM(G17:G18)</f>
        <v>112161883.36635399</v>
      </c>
      <c r="H16" s="411">
        <f t="shared" si="0"/>
        <v>135125308.92635399</v>
      </c>
    </row>
    <row r="17" spans="1:8" s="3" customFormat="1">
      <c r="A17" s="258">
        <v>4.0999999999999996</v>
      </c>
      <c r="B17" s="451" t="s">
        <v>285</v>
      </c>
      <c r="C17" s="452">
        <v>41015564.180000007</v>
      </c>
      <c r="D17" s="452">
        <v>62179300.109999999</v>
      </c>
      <c r="E17" s="439">
        <f t="shared" si="1"/>
        <v>103194864.29000001</v>
      </c>
      <c r="F17" s="452"/>
      <c r="G17" s="452">
        <v>84651042.159999996</v>
      </c>
      <c r="H17" s="411">
        <f t="shared" si="0"/>
        <v>84651042.159999996</v>
      </c>
    </row>
    <row r="18" spans="1:8" s="3" customFormat="1">
      <c r="A18" s="258">
        <v>4.2</v>
      </c>
      <c r="B18" s="451" t="s">
        <v>286</v>
      </c>
      <c r="C18" s="452">
        <v>23144590.809999999</v>
      </c>
      <c r="D18" s="452">
        <v>14498196.865484001</v>
      </c>
      <c r="E18" s="439">
        <f t="shared" si="1"/>
        <v>37642787.675484002</v>
      </c>
      <c r="F18" s="452">
        <v>22963425.559999999</v>
      </c>
      <c r="G18" s="452">
        <v>27510841.206354</v>
      </c>
      <c r="H18" s="411">
        <f t="shared" si="0"/>
        <v>50474266.766353995</v>
      </c>
    </row>
    <row r="19" spans="1:8" s="3" customFormat="1" ht="25.5">
      <c r="A19" s="258">
        <v>5</v>
      </c>
      <c r="B19" s="450" t="s">
        <v>287</v>
      </c>
      <c r="C19" s="439">
        <f>C20+C21+C22+SUM(C28:C31)</f>
        <v>128726</v>
      </c>
      <c r="D19" s="439">
        <f>D20+D21+D22+SUM(D28:D31)</f>
        <v>295675010.18874228</v>
      </c>
      <c r="E19" s="439">
        <f t="shared" si="1"/>
        <v>295803736.18874228</v>
      </c>
      <c r="F19" s="439">
        <f>F20+F21+F22+SUM(F28:F31)</f>
        <v>24800</v>
      </c>
      <c r="G19" s="439">
        <f>G20+G21+G22+SUM(G28:G31)</f>
        <v>309656395.07098401</v>
      </c>
      <c r="H19" s="411">
        <f t="shared" si="0"/>
        <v>309681195.07098401</v>
      </c>
    </row>
    <row r="20" spans="1:8" s="3" customFormat="1">
      <c r="A20" s="258">
        <v>5.0999999999999996</v>
      </c>
      <c r="B20" s="451" t="s">
        <v>288</v>
      </c>
      <c r="C20" s="452">
        <v>128726</v>
      </c>
      <c r="D20" s="452">
        <v>1515888.8691580002</v>
      </c>
      <c r="E20" s="439">
        <f t="shared" si="1"/>
        <v>1644614.8691580002</v>
      </c>
      <c r="F20" s="452">
        <v>24800</v>
      </c>
      <c r="G20" s="452">
        <v>893743.88266500004</v>
      </c>
      <c r="H20" s="411">
        <f t="shared" si="0"/>
        <v>918543.88266500004</v>
      </c>
    </row>
    <row r="21" spans="1:8" s="3" customFormat="1">
      <c r="A21" s="258">
        <v>5.2</v>
      </c>
      <c r="B21" s="451" t="s">
        <v>289</v>
      </c>
      <c r="C21" s="452"/>
      <c r="D21" s="452"/>
      <c r="E21" s="439">
        <f t="shared" si="1"/>
        <v>0</v>
      </c>
      <c r="F21" s="452"/>
      <c r="G21" s="452"/>
      <c r="H21" s="411">
        <f t="shared" si="0"/>
        <v>0</v>
      </c>
    </row>
    <row r="22" spans="1:8" s="3" customFormat="1">
      <c r="A22" s="258">
        <v>5.3</v>
      </c>
      <c r="B22" s="451" t="s">
        <v>290</v>
      </c>
      <c r="C22" s="453">
        <f>SUM(C23:C27)</f>
        <v>0</v>
      </c>
      <c r="D22" s="453">
        <f>SUM(D23:D27)</f>
        <v>230300700.87609798</v>
      </c>
      <c r="E22" s="439">
        <f t="shared" si="1"/>
        <v>230300700.87609798</v>
      </c>
      <c r="F22" s="453">
        <f>SUM(F23:F27)</f>
        <v>0</v>
      </c>
      <c r="G22" s="453">
        <f>SUM(G23:G27)</f>
        <v>256790054.17043251</v>
      </c>
      <c r="H22" s="411">
        <f t="shared" si="0"/>
        <v>256790054.17043251</v>
      </c>
    </row>
    <row r="23" spans="1:8" s="3" customFormat="1">
      <c r="A23" s="258" t="s">
        <v>291</v>
      </c>
      <c r="B23" s="454" t="s">
        <v>292</v>
      </c>
      <c r="C23" s="452"/>
      <c r="D23" s="452">
        <v>33614582.035110779</v>
      </c>
      <c r="E23" s="439">
        <f t="shared" si="1"/>
        <v>33614582.035110779</v>
      </c>
      <c r="F23" s="452"/>
      <c r="G23" s="452">
        <v>37480955.589260295</v>
      </c>
      <c r="H23" s="411">
        <f t="shared" si="0"/>
        <v>37480955.589260295</v>
      </c>
    </row>
    <row r="24" spans="1:8" s="3" customFormat="1">
      <c r="A24" s="258" t="s">
        <v>293</v>
      </c>
      <c r="B24" s="454" t="s">
        <v>294</v>
      </c>
      <c r="C24" s="452"/>
      <c r="D24" s="452">
        <v>166204232.08920905</v>
      </c>
      <c r="E24" s="439">
        <f t="shared" si="1"/>
        <v>166204232.08920905</v>
      </c>
      <c r="F24" s="452"/>
      <c r="G24" s="452">
        <v>185321163.15401399</v>
      </c>
      <c r="H24" s="411">
        <f t="shared" si="0"/>
        <v>185321163.15401399</v>
      </c>
    </row>
    <row r="25" spans="1:8" s="3" customFormat="1">
      <c r="A25" s="258" t="s">
        <v>295</v>
      </c>
      <c r="B25" s="455" t="s">
        <v>296</v>
      </c>
      <c r="C25" s="452"/>
      <c r="D25" s="452">
        <v>165877.37276657703</v>
      </c>
      <c r="E25" s="439">
        <f t="shared" si="1"/>
        <v>165877.37276657703</v>
      </c>
      <c r="F25" s="452"/>
      <c r="G25" s="452">
        <v>184956.70823552928</v>
      </c>
      <c r="H25" s="411">
        <f t="shared" si="0"/>
        <v>184956.70823552928</v>
      </c>
    </row>
    <row r="26" spans="1:8" s="3" customFormat="1">
      <c r="A26" s="258" t="s">
        <v>297</v>
      </c>
      <c r="B26" s="454" t="s">
        <v>298</v>
      </c>
      <c r="C26" s="452"/>
      <c r="D26" s="452">
        <v>30316009.379011557</v>
      </c>
      <c r="E26" s="439">
        <f t="shared" si="1"/>
        <v>30316009.379011557</v>
      </c>
      <c r="F26" s="452"/>
      <c r="G26" s="452">
        <v>33802978.718922697</v>
      </c>
      <c r="H26" s="411">
        <f t="shared" si="0"/>
        <v>33802978.718922697</v>
      </c>
    </row>
    <row r="27" spans="1:8" s="3" customFormat="1">
      <c r="A27" s="258" t="s">
        <v>299</v>
      </c>
      <c r="B27" s="454" t="s">
        <v>300</v>
      </c>
      <c r="C27" s="452"/>
      <c r="D27" s="452">
        <v>0</v>
      </c>
      <c r="E27" s="439">
        <f t="shared" si="1"/>
        <v>0</v>
      </c>
      <c r="F27" s="452"/>
      <c r="G27" s="452">
        <v>0</v>
      </c>
      <c r="H27" s="411">
        <f t="shared" si="0"/>
        <v>0</v>
      </c>
    </row>
    <row r="28" spans="1:8" s="3" customFormat="1">
      <c r="A28" s="258">
        <v>5.4</v>
      </c>
      <c r="B28" s="451" t="s">
        <v>301</v>
      </c>
      <c r="C28" s="452"/>
      <c r="D28" s="452">
        <v>8694210.611893747</v>
      </c>
      <c r="E28" s="439">
        <f t="shared" si="1"/>
        <v>8694210.611893747</v>
      </c>
      <c r="F28" s="452"/>
      <c r="G28" s="452">
        <v>7370533.5684153931</v>
      </c>
      <c r="H28" s="411">
        <f t="shared" si="0"/>
        <v>7370533.5684153931</v>
      </c>
    </row>
    <row r="29" spans="1:8" s="3" customFormat="1">
      <c r="A29" s="258">
        <v>5.5</v>
      </c>
      <c r="B29" s="451" t="s">
        <v>302</v>
      </c>
      <c r="C29" s="452"/>
      <c r="D29" s="452">
        <v>0</v>
      </c>
      <c r="E29" s="439">
        <f t="shared" si="1"/>
        <v>0</v>
      </c>
      <c r="F29" s="452"/>
      <c r="G29" s="452">
        <v>0</v>
      </c>
      <c r="H29" s="411">
        <f t="shared" si="0"/>
        <v>0</v>
      </c>
    </row>
    <row r="30" spans="1:8" s="3" customFormat="1">
      <c r="A30" s="258">
        <v>5.6</v>
      </c>
      <c r="B30" s="451" t="s">
        <v>303</v>
      </c>
      <c r="C30" s="452"/>
      <c r="D30" s="452">
        <v>0</v>
      </c>
      <c r="E30" s="439">
        <f t="shared" si="1"/>
        <v>0</v>
      </c>
      <c r="F30" s="452"/>
      <c r="G30" s="452">
        <v>0</v>
      </c>
      <c r="H30" s="411">
        <f t="shared" si="0"/>
        <v>0</v>
      </c>
    </row>
    <row r="31" spans="1:8" s="3" customFormat="1">
      <c r="A31" s="258">
        <v>5.7</v>
      </c>
      <c r="B31" s="451" t="s">
        <v>304</v>
      </c>
      <c r="C31" s="452"/>
      <c r="D31" s="452">
        <v>55164209.831592523</v>
      </c>
      <c r="E31" s="439">
        <f t="shared" si="1"/>
        <v>55164209.831592523</v>
      </c>
      <c r="F31" s="452"/>
      <c r="G31" s="452">
        <v>44602063.449471116</v>
      </c>
      <c r="H31" s="411">
        <f t="shared" si="0"/>
        <v>44602063.449471116</v>
      </c>
    </row>
    <row r="32" spans="1:8" s="3" customFormat="1">
      <c r="A32" s="258">
        <v>6</v>
      </c>
      <c r="B32" s="450" t="s">
        <v>305</v>
      </c>
      <c r="C32" s="439">
        <f>SUM(C33:C39)</f>
        <v>0</v>
      </c>
      <c r="D32" s="439">
        <f>SUM(D33:D39)</f>
        <v>0</v>
      </c>
      <c r="E32" s="439">
        <f t="shared" si="1"/>
        <v>0</v>
      </c>
      <c r="F32" s="439">
        <f>SUM(F33:F39)</f>
        <v>0</v>
      </c>
      <c r="G32" s="439">
        <f>SUM(G33:G39)</f>
        <v>3612950</v>
      </c>
      <c r="H32" s="411">
        <f t="shared" si="0"/>
        <v>3612950</v>
      </c>
    </row>
    <row r="33" spans="1:8" s="3" customFormat="1" ht="25.5">
      <c r="A33" s="258">
        <v>6.1</v>
      </c>
      <c r="B33" s="451" t="s">
        <v>368</v>
      </c>
      <c r="C33" s="452"/>
      <c r="D33" s="452"/>
      <c r="E33" s="439">
        <f t="shared" si="1"/>
        <v>0</v>
      </c>
      <c r="F33" s="452"/>
      <c r="G33" s="452"/>
      <c r="H33" s="411">
        <f t="shared" si="0"/>
        <v>0</v>
      </c>
    </row>
    <row r="34" spans="1:8" s="3" customFormat="1" ht="25.5">
      <c r="A34" s="258">
        <v>6.2</v>
      </c>
      <c r="B34" s="451" t="s">
        <v>306</v>
      </c>
      <c r="C34" s="452"/>
      <c r="D34" s="452"/>
      <c r="E34" s="439">
        <f t="shared" si="1"/>
        <v>0</v>
      </c>
      <c r="F34" s="452"/>
      <c r="G34" s="452">
        <v>3612950</v>
      </c>
      <c r="H34" s="411">
        <f t="shared" si="0"/>
        <v>3612950</v>
      </c>
    </row>
    <row r="35" spans="1:8" s="3" customFormat="1" ht="25.5">
      <c r="A35" s="258">
        <v>6.3</v>
      </c>
      <c r="B35" s="451" t="s">
        <v>307</v>
      </c>
      <c r="C35" s="452"/>
      <c r="D35" s="452"/>
      <c r="E35" s="439">
        <f t="shared" si="1"/>
        <v>0</v>
      </c>
      <c r="F35" s="452"/>
      <c r="G35" s="452"/>
      <c r="H35" s="411">
        <f t="shared" si="0"/>
        <v>0</v>
      </c>
    </row>
    <row r="36" spans="1:8" s="3" customFormat="1">
      <c r="A36" s="258">
        <v>6.4</v>
      </c>
      <c r="B36" s="451" t="s">
        <v>308</v>
      </c>
      <c r="C36" s="452"/>
      <c r="D36" s="452"/>
      <c r="E36" s="439">
        <f t="shared" si="1"/>
        <v>0</v>
      </c>
      <c r="F36" s="452"/>
      <c r="G36" s="452"/>
      <c r="H36" s="411">
        <f t="shared" si="0"/>
        <v>0</v>
      </c>
    </row>
    <row r="37" spans="1:8" s="3" customFormat="1">
      <c r="A37" s="258">
        <v>6.5</v>
      </c>
      <c r="B37" s="451" t="s">
        <v>309</v>
      </c>
      <c r="C37" s="452"/>
      <c r="D37" s="452"/>
      <c r="E37" s="439">
        <f t="shared" si="1"/>
        <v>0</v>
      </c>
      <c r="F37" s="452"/>
      <c r="G37" s="452"/>
      <c r="H37" s="411">
        <f t="shared" si="0"/>
        <v>0</v>
      </c>
    </row>
    <row r="38" spans="1:8" s="3" customFormat="1" ht="25.5">
      <c r="A38" s="258">
        <v>6.6</v>
      </c>
      <c r="B38" s="451" t="s">
        <v>310</v>
      </c>
      <c r="C38" s="452"/>
      <c r="D38" s="452"/>
      <c r="E38" s="439">
        <f t="shared" si="1"/>
        <v>0</v>
      </c>
      <c r="F38" s="452"/>
      <c r="G38" s="452"/>
      <c r="H38" s="411">
        <f t="shared" si="0"/>
        <v>0</v>
      </c>
    </row>
    <row r="39" spans="1:8" s="3" customFormat="1" ht="25.5">
      <c r="A39" s="258">
        <v>6.7</v>
      </c>
      <c r="B39" s="451" t="s">
        <v>311</v>
      </c>
      <c r="C39" s="452"/>
      <c r="D39" s="452"/>
      <c r="E39" s="439">
        <f t="shared" si="1"/>
        <v>0</v>
      </c>
      <c r="F39" s="452"/>
      <c r="G39" s="452"/>
      <c r="H39" s="411">
        <f t="shared" si="0"/>
        <v>0</v>
      </c>
    </row>
    <row r="40" spans="1:8" s="3" customFormat="1">
      <c r="A40" s="258">
        <v>7</v>
      </c>
      <c r="B40" s="450" t="s">
        <v>312</v>
      </c>
      <c r="C40" s="439">
        <f>SUM(C41:C44)</f>
        <v>99742.899999999936</v>
      </c>
      <c r="D40" s="439">
        <f>SUM(D41:D44)</f>
        <v>9080.9599999999991</v>
      </c>
      <c r="E40" s="439">
        <f t="shared" si="1"/>
        <v>108823.85999999993</v>
      </c>
      <c r="F40" s="439">
        <f>SUM(F41:F44)</f>
        <v>113413.7</v>
      </c>
      <c r="G40" s="439">
        <f>SUM(G41:G44)</f>
        <v>8049.98</v>
      </c>
      <c r="H40" s="411">
        <f t="shared" si="0"/>
        <v>121463.67999999999</v>
      </c>
    </row>
    <row r="41" spans="1:8" s="3" customFormat="1" ht="25.5">
      <c r="A41" s="258">
        <v>7.1</v>
      </c>
      <c r="B41" s="451" t="s">
        <v>313</v>
      </c>
      <c r="C41" s="452"/>
      <c r="D41" s="452"/>
      <c r="E41" s="439">
        <f t="shared" si="1"/>
        <v>0</v>
      </c>
      <c r="F41" s="452"/>
      <c r="G41" s="452"/>
      <c r="H41" s="411">
        <f t="shared" si="0"/>
        <v>0</v>
      </c>
    </row>
    <row r="42" spans="1:8" s="3" customFormat="1" ht="25.5">
      <c r="A42" s="258">
        <v>7.2</v>
      </c>
      <c r="B42" s="451" t="s">
        <v>314</v>
      </c>
      <c r="C42" s="452"/>
      <c r="D42" s="452"/>
      <c r="E42" s="439">
        <f t="shared" si="1"/>
        <v>0</v>
      </c>
      <c r="F42" s="452"/>
      <c r="G42" s="452"/>
      <c r="H42" s="411">
        <f t="shared" si="0"/>
        <v>0</v>
      </c>
    </row>
    <row r="43" spans="1:8" s="3" customFormat="1" ht="25.5">
      <c r="A43" s="258">
        <v>7.3</v>
      </c>
      <c r="B43" s="451" t="s">
        <v>315</v>
      </c>
      <c r="C43" s="452"/>
      <c r="D43" s="452"/>
      <c r="E43" s="439">
        <f t="shared" si="1"/>
        <v>0</v>
      </c>
      <c r="F43" s="452"/>
      <c r="G43" s="452"/>
      <c r="H43" s="411">
        <f t="shared" si="0"/>
        <v>0</v>
      </c>
    </row>
    <row r="44" spans="1:8" s="3" customFormat="1" ht="25.5">
      <c r="A44" s="258">
        <v>7.4</v>
      </c>
      <c r="B44" s="451" t="s">
        <v>316</v>
      </c>
      <c r="C44" s="452">
        <v>99742.899999999936</v>
      </c>
      <c r="D44" s="452">
        <v>9080.9599999999991</v>
      </c>
      <c r="E44" s="439">
        <f t="shared" si="1"/>
        <v>108823.85999999993</v>
      </c>
      <c r="F44" s="452">
        <v>113413.7</v>
      </c>
      <c r="G44" s="452">
        <v>8049.98</v>
      </c>
      <c r="H44" s="411">
        <f t="shared" si="0"/>
        <v>121463.67999999999</v>
      </c>
    </row>
    <row r="45" spans="1:8" s="3" customFormat="1">
      <c r="A45" s="258">
        <v>8</v>
      </c>
      <c r="B45" s="450" t="s">
        <v>317</v>
      </c>
      <c r="C45" s="439">
        <f>SUM(C46:C52)</f>
        <v>585074.4</v>
      </c>
      <c r="D45" s="439">
        <f>SUM(D46:D52)</f>
        <v>293306.7</v>
      </c>
      <c r="E45" s="439">
        <f t="shared" si="1"/>
        <v>878381.10000000009</v>
      </c>
      <c r="F45" s="439">
        <f>SUM(F46:F52)</f>
        <v>1382973.6</v>
      </c>
      <c r="G45" s="439">
        <f>SUM(G46:G52)</f>
        <v>466223.30999999994</v>
      </c>
      <c r="H45" s="411">
        <f t="shared" si="0"/>
        <v>1849196.9100000001</v>
      </c>
    </row>
    <row r="46" spans="1:8" s="3" customFormat="1">
      <c r="A46" s="258">
        <v>8.1</v>
      </c>
      <c r="B46" s="451" t="s">
        <v>318</v>
      </c>
      <c r="C46" s="452"/>
      <c r="D46" s="452"/>
      <c r="E46" s="439">
        <f t="shared" si="1"/>
        <v>0</v>
      </c>
      <c r="F46" s="452"/>
      <c r="G46" s="452"/>
      <c r="H46" s="411">
        <f t="shared" si="0"/>
        <v>0</v>
      </c>
    </row>
    <row r="47" spans="1:8" s="3" customFormat="1">
      <c r="A47" s="258">
        <v>8.1999999999999993</v>
      </c>
      <c r="B47" s="451" t="s">
        <v>319</v>
      </c>
      <c r="C47" s="452">
        <v>585074.4</v>
      </c>
      <c r="D47" s="452">
        <v>234645.36000000002</v>
      </c>
      <c r="E47" s="439">
        <f t="shared" si="1"/>
        <v>819719.76</v>
      </c>
      <c r="F47" s="452">
        <v>793999.20000000007</v>
      </c>
      <c r="G47" s="452">
        <v>207210.36</v>
      </c>
      <c r="H47" s="411">
        <f t="shared" si="0"/>
        <v>1001209.56</v>
      </c>
    </row>
    <row r="48" spans="1:8" s="3" customFormat="1">
      <c r="A48" s="258">
        <v>8.3000000000000007</v>
      </c>
      <c r="B48" s="451" t="s">
        <v>320</v>
      </c>
      <c r="C48" s="452"/>
      <c r="D48" s="452">
        <v>58661.340000000004</v>
      </c>
      <c r="E48" s="439">
        <f t="shared" si="1"/>
        <v>58661.340000000004</v>
      </c>
      <c r="F48" s="452">
        <v>588974.4</v>
      </c>
      <c r="G48" s="452">
        <v>207210.36</v>
      </c>
      <c r="H48" s="411">
        <f t="shared" si="0"/>
        <v>796184.76</v>
      </c>
    </row>
    <row r="49" spans="1:8" s="3" customFormat="1">
      <c r="A49" s="258">
        <v>8.4</v>
      </c>
      <c r="B49" s="451" t="s">
        <v>321</v>
      </c>
      <c r="C49" s="452"/>
      <c r="D49" s="452"/>
      <c r="E49" s="439">
        <f t="shared" si="1"/>
        <v>0</v>
      </c>
      <c r="F49" s="452"/>
      <c r="G49" s="452">
        <v>51802.59</v>
      </c>
      <c r="H49" s="411">
        <f t="shared" si="0"/>
        <v>51802.59</v>
      </c>
    </row>
    <row r="50" spans="1:8" s="3" customFormat="1">
      <c r="A50" s="258">
        <v>8.5</v>
      </c>
      <c r="B50" s="451" t="s">
        <v>322</v>
      </c>
      <c r="C50" s="452"/>
      <c r="D50" s="452"/>
      <c r="E50" s="439">
        <f t="shared" si="1"/>
        <v>0</v>
      </c>
      <c r="F50" s="452"/>
      <c r="G50" s="452"/>
      <c r="H50" s="411">
        <f t="shared" si="0"/>
        <v>0</v>
      </c>
    </row>
    <row r="51" spans="1:8" s="3" customFormat="1">
      <c r="A51" s="258">
        <v>8.6</v>
      </c>
      <c r="B51" s="451" t="s">
        <v>323</v>
      </c>
      <c r="C51" s="452"/>
      <c r="D51" s="452"/>
      <c r="E51" s="439">
        <f t="shared" si="1"/>
        <v>0</v>
      </c>
      <c r="F51" s="452"/>
      <c r="G51" s="452"/>
      <c r="H51" s="411">
        <f t="shared" si="0"/>
        <v>0</v>
      </c>
    </row>
    <row r="52" spans="1:8" s="3" customFormat="1">
      <c r="A52" s="258">
        <v>8.6999999999999993</v>
      </c>
      <c r="B52" s="451" t="s">
        <v>324</v>
      </c>
      <c r="C52" s="452"/>
      <c r="D52" s="452"/>
      <c r="E52" s="439">
        <f t="shared" si="1"/>
        <v>0</v>
      </c>
      <c r="F52" s="452"/>
      <c r="G52" s="452"/>
      <c r="H52" s="411">
        <f t="shared" si="0"/>
        <v>0</v>
      </c>
    </row>
    <row r="53" spans="1:8" s="3" customFormat="1" ht="26.25" thickBot="1">
      <c r="A53" s="196">
        <v>9</v>
      </c>
      <c r="B53" s="456" t="s">
        <v>325</v>
      </c>
      <c r="C53" s="457"/>
      <c r="D53" s="457"/>
      <c r="E53" s="457">
        <f t="shared" si="1"/>
        <v>0</v>
      </c>
      <c r="F53" s="457"/>
      <c r="G53" s="457"/>
      <c r="H53" s="44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365" t="s">
        <v>188</v>
      </c>
      <c r="B1" s="366" t="s">
        <v>501</v>
      </c>
      <c r="C1" s="17"/>
      <c r="D1" s="252"/>
    </row>
    <row r="2" spans="1:8" ht="15">
      <c r="A2" s="365" t="s">
        <v>189</v>
      </c>
      <c r="B2" s="367">
        <f>'1. key ratios'!B2</f>
        <v>44286</v>
      </c>
      <c r="C2" s="30"/>
      <c r="D2" s="19"/>
      <c r="E2" s="12"/>
      <c r="F2" s="12"/>
      <c r="G2" s="12"/>
      <c r="H2" s="12"/>
    </row>
    <row r="3" spans="1:8" ht="15">
      <c r="A3" s="18"/>
      <c r="B3" s="17"/>
      <c r="C3" s="30"/>
      <c r="D3" s="19"/>
      <c r="E3" s="12"/>
      <c r="F3" s="12"/>
      <c r="G3" s="12"/>
      <c r="H3" s="12"/>
    </row>
    <row r="4" spans="1:8" ht="15" customHeight="1" thickBot="1">
      <c r="A4" s="191" t="s">
        <v>332</v>
      </c>
      <c r="B4" s="192" t="s">
        <v>187</v>
      </c>
      <c r="C4" s="466" t="s">
        <v>93</v>
      </c>
    </row>
    <row r="5" spans="1:8" ht="15" customHeight="1">
      <c r="A5" s="189" t="s">
        <v>26</v>
      </c>
      <c r="B5" s="190"/>
      <c r="C5" s="368" t="str">
        <f>INT((MONTH($B$2))/3)&amp;"Q"&amp;"-"&amp;YEAR($B$2)</f>
        <v>1Q-2021</v>
      </c>
      <c r="D5" s="368" t="str">
        <f>IF(INT(MONTH($B$2))=3, "4"&amp;"Q"&amp;"-"&amp;YEAR($B$2)-1, IF(INT(MONTH($B$2))=6, "1"&amp;"Q"&amp;"-"&amp;YEAR($B$2), IF(INT(MONTH($B$2))=9, "2"&amp;"Q"&amp;"-"&amp;YEAR($B$2),IF(INT(MONTH($B$2))=12, "3"&amp;"Q"&amp;"-"&amp;YEAR($B$2), 0))))</f>
        <v>4Q-2020</v>
      </c>
      <c r="E5" s="368" t="str">
        <f>IF(INT(MONTH($B$2))=3, "3"&amp;"Q"&amp;"-"&amp;YEAR($B$2)-1, IF(INT(MONTH($B$2))=6, "4"&amp;"Q"&amp;"-"&amp;YEAR($B$2)-1, IF(INT(MONTH($B$2))=9, "1"&amp;"Q"&amp;"-"&amp;YEAR($B$2),IF(INT(MONTH($B$2))=12, "2"&amp;"Q"&amp;"-"&amp;YEAR($B$2), 0))))</f>
        <v>3Q-2020</v>
      </c>
      <c r="F5" s="368" t="str">
        <f>IF(INT(MONTH($B$2))=3, "2"&amp;"Q"&amp;"-"&amp;YEAR($B$2)-1, IF(INT(MONTH($B$2))=6, "3"&amp;"Q"&amp;"-"&amp;YEAR($B$2)-1, IF(INT(MONTH($B$2))=9, "4"&amp;"Q"&amp;"-"&amp;YEAR($B$2)-1,IF(INT(MONTH($B$2))=12, "1"&amp;"Q"&amp;"-"&amp;YEAR($B$2), 0))))</f>
        <v>2Q-2020</v>
      </c>
      <c r="G5" s="368" t="str">
        <f>IF(INT(MONTH($B$2))=3, "1"&amp;"Q"&amp;"-"&amp;YEAR($B$2)-1, IF(INT(MONTH($B$2))=6, "2"&amp;"Q"&amp;"-"&amp;YEAR($B$2)-1, IF(INT(MONTH($B$2))=9, "3"&amp;"Q"&amp;"-"&amp;YEAR($B$2)-1,IF(INT(MONTH($B$2))=12, "4"&amp;"Q"&amp;"-"&amp;YEAR($B$2)-1, 0))))</f>
        <v>1Q-2020</v>
      </c>
    </row>
    <row r="6" spans="1:8" ht="15" customHeight="1">
      <c r="A6" s="289">
        <v>1</v>
      </c>
      <c r="B6" s="343" t="s">
        <v>192</v>
      </c>
      <c r="C6" s="458">
        <f>C7+C9+C10</f>
        <v>356753760.03299773</v>
      </c>
      <c r="D6" s="458">
        <f>D7+D9+D10</f>
        <v>353849825.01550949</v>
      </c>
      <c r="E6" s="458">
        <f t="shared" ref="E6:G6" si="0">E7+E9+E10</f>
        <v>334866146.72064102</v>
      </c>
      <c r="F6" s="458">
        <f t="shared" si="0"/>
        <v>309318758.44030887</v>
      </c>
      <c r="G6" s="459">
        <f t="shared" si="0"/>
        <v>322629826.37095749</v>
      </c>
    </row>
    <row r="7" spans="1:8" ht="15" customHeight="1">
      <c r="A7" s="289">
        <v>1.1000000000000001</v>
      </c>
      <c r="B7" s="290" t="s">
        <v>478</v>
      </c>
      <c r="C7" s="460">
        <v>312081819.75799775</v>
      </c>
      <c r="D7" s="460">
        <v>309116063.40300947</v>
      </c>
      <c r="E7" s="460">
        <v>287914598.33314103</v>
      </c>
      <c r="F7" s="460">
        <v>266347115.07530886</v>
      </c>
      <c r="G7" s="461">
        <v>276115990.82595748</v>
      </c>
    </row>
    <row r="8" spans="1:8" ht="25.5">
      <c r="A8" s="289" t="s">
        <v>252</v>
      </c>
      <c r="B8" s="291" t="s">
        <v>326</v>
      </c>
      <c r="C8" s="460"/>
      <c r="D8" s="460"/>
      <c r="E8" s="460"/>
      <c r="F8" s="460"/>
      <c r="G8" s="461"/>
    </row>
    <row r="9" spans="1:8" ht="15" customHeight="1">
      <c r="A9" s="289">
        <v>1.2</v>
      </c>
      <c r="B9" s="290" t="s">
        <v>22</v>
      </c>
      <c r="C9" s="460">
        <v>44671940.274999999</v>
      </c>
      <c r="D9" s="460">
        <v>44733761.612499997</v>
      </c>
      <c r="E9" s="460">
        <v>46951548.387499973</v>
      </c>
      <c r="F9" s="460">
        <v>42971643.36500001</v>
      </c>
      <c r="G9" s="461">
        <v>46441576.545000002</v>
      </c>
    </row>
    <row r="10" spans="1:8" ht="15" customHeight="1">
      <c r="A10" s="289">
        <v>1.3</v>
      </c>
      <c r="B10" s="344" t="s">
        <v>77</v>
      </c>
      <c r="C10" s="460">
        <v>0</v>
      </c>
      <c r="D10" s="460">
        <v>0</v>
      </c>
      <c r="E10" s="460">
        <v>0</v>
      </c>
      <c r="F10" s="460">
        <v>0</v>
      </c>
      <c r="G10" s="461">
        <v>72259</v>
      </c>
    </row>
    <row r="11" spans="1:8" ht="15" customHeight="1">
      <c r="A11" s="289">
        <v>2</v>
      </c>
      <c r="B11" s="343" t="s">
        <v>193</v>
      </c>
      <c r="C11" s="462">
        <v>3836489.7190561523</v>
      </c>
      <c r="D11" s="462">
        <v>1464177.9683145941</v>
      </c>
      <c r="E11" s="462">
        <v>254931.44905463999</v>
      </c>
      <c r="F11" s="462">
        <v>2405024.7169642635</v>
      </c>
      <c r="G11" s="463">
        <v>54948.835542868728</v>
      </c>
    </row>
    <row r="12" spans="1:8" ht="15" customHeight="1">
      <c r="A12" s="302">
        <v>3</v>
      </c>
      <c r="B12" s="345" t="s">
        <v>191</v>
      </c>
      <c r="C12" s="460">
        <v>26883909.351648834</v>
      </c>
      <c r="D12" s="460">
        <v>26883909.351648834</v>
      </c>
      <c r="E12" s="460">
        <v>22160683.935528707</v>
      </c>
      <c r="F12" s="460">
        <v>22160683.935528707</v>
      </c>
      <c r="G12" s="461">
        <v>22160683.935528707</v>
      </c>
    </row>
    <row r="13" spans="1:8" ht="15" customHeight="1" thickBot="1">
      <c r="A13" s="111">
        <v>4</v>
      </c>
      <c r="B13" s="346" t="s">
        <v>253</v>
      </c>
      <c r="C13" s="464">
        <f>C6+C11+C12</f>
        <v>387474159.10370266</v>
      </c>
      <c r="D13" s="464">
        <f>D6+D11+D12</f>
        <v>382197912.33547288</v>
      </c>
      <c r="E13" s="464">
        <f t="shared" ref="E13:G13" si="1">E6+E11+E12</f>
        <v>357281762.10522437</v>
      </c>
      <c r="F13" s="464">
        <f t="shared" si="1"/>
        <v>333884467.09280181</v>
      </c>
      <c r="G13" s="465">
        <f t="shared" si="1"/>
        <v>344845459.14202905</v>
      </c>
    </row>
    <row r="14" spans="1:8">
      <c r="B14" s="24"/>
    </row>
    <row r="15" spans="1:8" ht="25.5">
      <c r="B15" s="88" t="s">
        <v>479</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365" t="s">
        <v>188</v>
      </c>
      <c r="B1" s="366" t="s">
        <v>501</v>
      </c>
    </row>
    <row r="2" spans="1:8" ht="15.75">
      <c r="A2" s="365" t="s">
        <v>189</v>
      </c>
      <c r="B2" s="367">
        <f>'1. key ratios'!B2</f>
        <v>44286</v>
      </c>
    </row>
    <row r="4" spans="1:8" ht="30.75" thickBot="1">
      <c r="A4" s="197" t="s">
        <v>333</v>
      </c>
      <c r="B4" s="44" t="s">
        <v>149</v>
      </c>
      <c r="C4" s="14"/>
    </row>
    <row r="5" spans="1:8" ht="15.75">
      <c r="A5" s="11"/>
      <c r="B5" s="338" t="s">
        <v>150</v>
      </c>
      <c r="C5" s="350" t="s">
        <v>493</v>
      </c>
    </row>
    <row r="6" spans="1:8">
      <c r="A6" s="15">
        <v>1</v>
      </c>
      <c r="B6" s="45" t="s">
        <v>502</v>
      </c>
      <c r="C6" s="347" t="s">
        <v>513</v>
      </c>
    </row>
    <row r="7" spans="1:8">
      <c r="A7" s="15">
        <v>2</v>
      </c>
      <c r="B7" s="45" t="s">
        <v>505</v>
      </c>
      <c r="C7" s="347" t="s">
        <v>514</v>
      </c>
    </row>
    <row r="8" spans="1:8">
      <c r="A8" s="15">
        <v>3</v>
      </c>
      <c r="B8" s="45" t="s">
        <v>506</v>
      </c>
      <c r="C8" s="347" t="s">
        <v>515</v>
      </c>
    </row>
    <row r="9" spans="1:8">
      <c r="A9" s="15">
        <v>4</v>
      </c>
      <c r="B9" s="45" t="s">
        <v>507</v>
      </c>
      <c r="C9" s="347" t="s">
        <v>515</v>
      </c>
    </row>
    <row r="10" spans="1:8">
      <c r="A10" s="15">
        <v>5</v>
      </c>
      <c r="B10" s="45" t="s">
        <v>508</v>
      </c>
      <c r="C10" s="347" t="s">
        <v>514</v>
      </c>
    </row>
    <row r="11" spans="1:8">
      <c r="A11" s="15">
        <v>6</v>
      </c>
      <c r="B11" s="45" t="s">
        <v>509</v>
      </c>
      <c r="C11" s="347" t="s">
        <v>514</v>
      </c>
    </row>
    <row r="12" spans="1:8">
      <c r="A12" s="15">
        <v>7</v>
      </c>
      <c r="B12" s="45"/>
      <c r="C12" s="347"/>
      <c r="H12" s="4"/>
    </row>
    <row r="13" spans="1:8">
      <c r="A13" s="15">
        <v>8</v>
      </c>
      <c r="B13" s="45"/>
      <c r="C13" s="347"/>
    </row>
    <row r="14" spans="1:8">
      <c r="A14" s="15">
        <v>9</v>
      </c>
      <c r="B14" s="45"/>
      <c r="C14" s="347"/>
    </row>
    <row r="15" spans="1:8">
      <c r="A15" s="15">
        <v>10</v>
      </c>
      <c r="B15" s="45"/>
      <c r="C15" s="347"/>
    </row>
    <row r="16" spans="1:8">
      <c r="A16" s="15"/>
      <c r="B16" s="560"/>
      <c r="C16" s="561"/>
    </row>
    <row r="17" spans="1:3" ht="60">
      <c r="A17" s="15"/>
      <c r="B17" s="339" t="s">
        <v>151</v>
      </c>
      <c r="C17" s="351" t="s">
        <v>494</v>
      </c>
    </row>
    <row r="18" spans="1:3" ht="15.75">
      <c r="A18" s="15">
        <v>1</v>
      </c>
      <c r="B18" s="28" t="s">
        <v>510</v>
      </c>
      <c r="C18" s="348" t="s">
        <v>516</v>
      </c>
    </row>
    <row r="19" spans="1:3" ht="15.75">
      <c r="A19" s="15">
        <v>2</v>
      </c>
      <c r="B19" s="28" t="s">
        <v>511</v>
      </c>
      <c r="C19" s="348" t="s">
        <v>517</v>
      </c>
    </row>
    <row r="20" spans="1:3" ht="15.75">
      <c r="A20" s="15">
        <v>3</v>
      </c>
      <c r="B20" s="28" t="s">
        <v>512</v>
      </c>
      <c r="C20" s="348" t="s">
        <v>518</v>
      </c>
    </row>
    <row r="21" spans="1:3" ht="15.75">
      <c r="A21" s="15">
        <v>4</v>
      </c>
      <c r="B21" s="28"/>
      <c r="C21" s="348"/>
    </row>
    <row r="22" spans="1:3" ht="15.75">
      <c r="A22" s="15">
        <v>5</v>
      </c>
      <c r="B22" s="28"/>
      <c r="C22" s="348"/>
    </row>
    <row r="23" spans="1:3" ht="15.75">
      <c r="A23" s="15">
        <v>6</v>
      </c>
      <c r="B23" s="28"/>
      <c r="C23" s="348"/>
    </row>
    <row r="24" spans="1:3" ht="15.75">
      <c r="A24" s="15">
        <v>7</v>
      </c>
      <c r="B24" s="28"/>
      <c r="C24" s="348"/>
    </row>
    <row r="25" spans="1:3" ht="15.75">
      <c r="A25" s="15">
        <v>8</v>
      </c>
      <c r="B25" s="28"/>
      <c r="C25" s="348"/>
    </row>
    <row r="26" spans="1:3" ht="15.75">
      <c r="A26" s="15">
        <v>9</v>
      </c>
      <c r="B26" s="28"/>
      <c r="C26" s="348"/>
    </row>
    <row r="27" spans="1:3" ht="15.75" customHeight="1">
      <c r="A27" s="15">
        <v>10</v>
      </c>
      <c r="B27" s="28"/>
      <c r="C27" s="349"/>
    </row>
    <row r="28" spans="1:3" ht="15.75" customHeight="1">
      <c r="A28" s="15"/>
      <c r="B28" s="28"/>
      <c r="C28" s="29"/>
    </row>
    <row r="29" spans="1:3" ht="30" customHeight="1">
      <c r="A29" s="15"/>
      <c r="B29" s="562" t="s">
        <v>152</v>
      </c>
      <c r="C29" s="563"/>
    </row>
    <row r="30" spans="1:3">
      <c r="A30" s="15">
        <v>1</v>
      </c>
      <c r="B30" s="467" t="s">
        <v>519</v>
      </c>
      <c r="C30" s="468">
        <v>1</v>
      </c>
    </row>
    <row r="31" spans="1:3" ht="15.75" customHeight="1">
      <c r="A31" s="15"/>
      <c r="B31" s="45"/>
      <c r="C31" s="46"/>
    </row>
    <row r="32" spans="1:3" ht="29.25" customHeight="1">
      <c r="A32" s="15"/>
      <c r="B32" s="562" t="s">
        <v>273</v>
      </c>
      <c r="C32" s="563"/>
    </row>
    <row r="33" spans="1:3">
      <c r="A33" s="469">
        <v>1</v>
      </c>
      <c r="B33" s="467" t="s">
        <v>520</v>
      </c>
      <c r="C33" s="470">
        <v>0.37080000000000002</v>
      </c>
    </row>
    <row r="34" spans="1:3" ht="16.5" thickBot="1">
      <c r="A34" s="16">
        <v>2</v>
      </c>
      <c r="B34" s="47" t="s">
        <v>521</v>
      </c>
      <c r="C34" s="471">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65" t="s">
        <v>188</v>
      </c>
      <c r="B1" s="366" t="s">
        <v>501</v>
      </c>
    </row>
    <row r="2" spans="1:7" s="22" customFormat="1" ht="15.75" customHeight="1">
      <c r="A2" s="365" t="s">
        <v>189</v>
      </c>
      <c r="B2" s="367">
        <f>'1. key ratios'!B2</f>
        <v>44286</v>
      </c>
    </row>
    <row r="3" spans="1:7" s="22" customFormat="1" ht="15.75" customHeight="1"/>
    <row r="4" spans="1:7" s="22" customFormat="1" ht="15.75" customHeight="1" thickBot="1">
      <c r="A4" s="198" t="s">
        <v>334</v>
      </c>
      <c r="B4" s="199" t="s">
        <v>263</v>
      </c>
      <c r="C4" s="168"/>
      <c r="D4" s="168"/>
      <c r="E4" s="169" t="s">
        <v>93</v>
      </c>
    </row>
    <row r="5" spans="1:7" s="103" customFormat="1" ht="17.45" customHeight="1">
      <c r="A5" s="263"/>
      <c r="B5" s="264"/>
      <c r="C5" s="167" t="s">
        <v>0</v>
      </c>
      <c r="D5" s="167" t="s">
        <v>1</v>
      </c>
      <c r="E5" s="265" t="s">
        <v>2</v>
      </c>
    </row>
    <row r="6" spans="1:7" s="134" customFormat="1" ht="14.45" customHeight="1">
      <c r="A6" s="266"/>
      <c r="B6" s="564" t="s">
        <v>231</v>
      </c>
      <c r="C6" s="564" t="s">
        <v>230</v>
      </c>
      <c r="D6" s="565" t="s">
        <v>229</v>
      </c>
      <c r="E6" s="566"/>
      <c r="G6"/>
    </row>
    <row r="7" spans="1:7" s="134" customFormat="1" ht="99.6" customHeight="1">
      <c r="A7" s="266"/>
      <c r="B7" s="564"/>
      <c r="C7" s="564"/>
      <c r="D7" s="261" t="s">
        <v>228</v>
      </c>
      <c r="E7" s="262" t="s">
        <v>396</v>
      </c>
      <c r="G7"/>
    </row>
    <row r="8" spans="1:7">
      <c r="A8" s="267">
        <v>1</v>
      </c>
      <c r="B8" s="268" t="s">
        <v>154</v>
      </c>
      <c r="C8" s="474">
        <f>'2. RC'!E7</f>
        <v>4814456.16</v>
      </c>
      <c r="D8" s="474"/>
      <c r="E8" s="472">
        <f>C8-D8</f>
        <v>4814456.16</v>
      </c>
    </row>
    <row r="9" spans="1:7">
      <c r="A9" s="267">
        <v>2</v>
      </c>
      <c r="B9" s="268" t="s">
        <v>155</v>
      </c>
      <c r="C9" s="474">
        <f>'2. RC'!E8</f>
        <v>36030884.700000003</v>
      </c>
      <c r="D9" s="474"/>
      <c r="E9" s="472">
        <f t="shared" ref="E9:E20" si="0">C9-D9</f>
        <v>36030884.700000003</v>
      </c>
    </row>
    <row r="10" spans="1:7">
      <c r="A10" s="267">
        <v>3</v>
      </c>
      <c r="B10" s="268" t="s">
        <v>227</v>
      </c>
      <c r="C10" s="474">
        <f>'2. RC'!E9</f>
        <v>37257536.366474003</v>
      </c>
      <c r="D10" s="474"/>
      <c r="E10" s="472">
        <f t="shared" si="0"/>
        <v>37257536.366474003</v>
      </c>
    </row>
    <row r="11" spans="1:7" ht="25.5">
      <c r="A11" s="267">
        <v>4</v>
      </c>
      <c r="B11" s="268" t="s">
        <v>185</v>
      </c>
      <c r="C11" s="474">
        <f>'2. RC'!E10</f>
        <v>0</v>
      </c>
      <c r="D11" s="474"/>
      <c r="E11" s="472">
        <f t="shared" si="0"/>
        <v>0</v>
      </c>
    </row>
    <row r="12" spans="1:7">
      <c r="A12" s="267">
        <v>5</v>
      </c>
      <c r="B12" s="268" t="s">
        <v>157</v>
      </c>
      <c r="C12" s="474">
        <f>'2. RC'!E11</f>
        <v>33218131.294661298</v>
      </c>
      <c r="D12" s="474"/>
      <c r="E12" s="472">
        <f t="shared" si="0"/>
        <v>33218131.294661298</v>
      </c>
    </row>
    <row r="13" spans="1:7">
      <c r="A13" s="267">
        <v>6.1</v>
      </c>
      <c r="B13" s="268" t="s">
        <v>158</v>
      </c>
      <c r="C13" s="475">
        <f>'2. RC'!E12</f>
        <v>237068895.44999999</v>
      </c>
      <c r="D13" s="474"/>
      <c r="E13" s="472">
        <f t="shared" si="0"/>
        <v>237068895.44999999</v>
      </c>
    </row>
    <row r="14" spans="1:7">
      <c r="A14" s="267">
        <v>6.2</v>
      </c>
      <c r="B14" s="269" t="s">
        <v>159</v>
      </c>
      <c r="C14" s="475">
        <f>'2. RC'!E13</f>
        <v>-11644666.5962</v>
      </c>
      <c r="D14" s="474"/>
      <c r="E14" s="472">
        <f t="shared" si="0"/>
        <v>-11644666.5962</v>
      </c>
    </row>
    <row r="15" spans="1:7">
      <c r="A15" s="267">
        <v>6</v>
      </c>
      <c r="B15" s="268" t="s">
        <v>226</v>
      </c>
      <c r="C15" s="474">
        <f>'2. RC'!E14</f>
        <v>225424228.85379997</v>
      </c>
      <c r="D15" s="474"/>
      <c r="E15" s="472">
        <f t="shared" si="0"/>
        <v>225424228.85379997</v>
      </c>
    </row>
    <row r="16" spans="1:7" ht="25.5">
      <c r="A16" s="267">
        <v>7</v>
      </c>
      <c r="B16" s="268" t="s">
        <v>161</v>
      </c>
      <c r="C16" s="474">
        <f>'2. RC'!E15</f>
        <v>2713949.0102560003</v>
      </c>
      <c r="D16" s="474"/>
      <c r="E16" s="472">
        <f t="shared" si="0"/>
        <v>2713949.0102560003</v>
      </c>
    </row>
    <row r="17" spans="1:7">
      <c r="A17" s="267">
        <v>8</v>
      </c>
      <c r="B17" s="268" t="s">
        <v>162</v>
      </c>
      <c r="C17" s="474">
        <f>'2. RC'!E16</f>
        <v>1102532.9100000001</v>
      </c>
      <c r="D17" s="474"/>
      <c r="E17" s="472">
        <f t="shared" si="0"/>
        <v>1102532.9100000001</v>
      </c>
      <c r="F17" s="6"/>
      <c r="G17" s="6"/>
    </row>
    <row r="18" spans="1:7">
      <c r="A18" s="267">
        <v>9</v>
      </c>
      <c r="B18" s="268" t="s">
        <v>163</v>
      </c>
      <c r="C18" s="474">
        <f>'2. RC'!E17</f>
        <v>0</v>
      </c>
      <c r="D18" s="474"/>
      <c r="E18" s="472">
        <f t="shared" si="0"/>
        <v>0</v>
      </c>
      <c r="G18" s="6"/>
    </row>
    <row r="19" spans="1:7" ht="25.5">
      <c r="A19" s="267">
        <v>10</v>
      </c>
      <c r="B19" s="268" t="s">
        <v>164</v>
      </c>
      <c r="C19" s="474">
        <f>'2. RC'!E18</f>
        <v>1325682.7200000007</v>
      </c>
      <c r="D19" s="474">
        <v>291059.17999999993</v>
      </c>
      <c r="E19" s="472">
        <f t="shared" si="0"/>
        <v>1034623.5400000007</v>
      </c>
      <c r="G19" s="6"/>
    </row>
    <row r="20" spans="1:7">
      <c r="A20" s="267">
        <v>11</v>
      </c>
      <c r="B20" s="268" t="s">
        <v>165</v>
      </c>
      <c r="C20" s="474">
        <f>'2. RC'!E19</f>
        <v>3249484.9864666904</v>
      </c>
      <c r="D20" s="474"/>
      <c r="E20" s="472">
        <f t="shared" si="0"/>
        <v>3249484.9864666904</v>
      </c>
    </row>
    <row r="21" spans="1:7" ht="51.75" thickBot="1">
      <c r="A21" s="270"/>
      <c r="B21" s="271" t="s">
        <v>369</v>
      </c>
      <c r="C21" s="476">
        <f>SUM(C8:C12, C15:C20)</f>
        <v>345136887.00165802</v>
      </c>
      <c r="D21" s="476">
        <f>SUM(D8:D12, D15:D20)</f>
        <v>291059.17999999993</v>
      </c>
      <c r="E21" s="473">
        <f>SUM(E8:E12, E15:E20)</f>
        <v>344845827.82165802</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65" t="s">
        <v>188</v>
      </c>
      <c r="B1" s="366" t="s">
        <v>501</v>
      </c>
    </row>
    <row r="2" spans="1:6" s="22" customFormat="1" ht="15.75" customHeight="1">
      <c r="A2" s="365" t="s">
        <v>189</v>
      </c>
      <c r="B2" s="367">
        <f>'1. key ratios'!B2</f>
        <v>44286</v>
      </c>
      <c r="C2"/>
      <c r="D2"/>
      <c r="E2"/>
      <c r="F2"/>
    </row>
    <row r="3" spans="1:6" s="22" customFormat="1" ht="15.75" customHeight="1">
      <c r="C3"/>
      <c r="D3"/>
      <c r="E3"/>
      <c r="F3"/>
    </row>
    <row r="4" spans="1:6" s="22" customFormat="1" ht="26.25" thickBot="1">
      <c r="A4" s="22" t="s">
        <v>335</v>
      </c>
      <c r="B4" s="175" t="s">
        <v>266</v>
      </c>
      <c r="C4" s="169" t="s">
        <v>93</v>
      </c>
      <c r="D4"/>
      <c r="E4"/>
      <c r="F4"/>
    </row>
    <row r="5" spans="1:6" ht="26.25">
      <c r="A5" s="170">
        <v>1</v>
      </c>
      <c r="B5" s="171" t="s">
        <v>342</v>
      </c>
      <c r="C5" s="477">
        <f>'7. LI1'!E21</f>
        <v>344845827.82165802</v>
      </c>
    </row>
    <row r="6" spans="1:6" s="160" customFormat="1">
      <c r="A6" s="102">
        <v>2.1</v>
      </c>
      <c r="B6" s="177" t="s">
        <v>267</v>
      </c>
      <c r="C6" s="478">
        <f>'4. Off-Balance'!E8+'4. Off-Balance'!E10</f>
        <v>70734707.960000008</v>
      </c>
    </row>
    <row r="7" spans="1:6" s="4" customFormat="1" ht="25.5" outlineLevel="1">
      <c r="A7" s="176">
        <v>2.2000000000000002</v>
      </c>
      <c r="B7" s="172" t="s">
        <v>268</v>
      </c>
      <c r="C7" s="479"/>
    </row>
    <row r="8" spans="1:6" s="4" customFormat="1" ht="26.25">
      <c r="A8" s="176">
        <v>3</v>
      </c>
      <c r="B8" s="173" t="s">
        <v>343</v>
      </c>
      <c r="C8" s="480">
        <f>SUM(C5:C7)</f>
        <v>415580535.78165805</v>
      </c>
    </row>
    <row r="9" spans="1:6" s="160" customFormat="1">
      <c r="A9" s="102">
        <v>4</v>
      </c>
      <c r="B9" s="180" t="s">
        <v>264</v>
      </c>
      <c r="C9" s="478">
        <v>4459422.0004124716</v>
      </c>
    </row>
    <row r="10" spans="1:6" s="4" customFormat="1" ht="25.5" outlineLevel="1">
      <c r="A10" s="176">
        <v>5.0999999999999996</v>
      </c>
      <c r="B10" s="172" t="s">
        <v>274</v>
      </c>
      <c r="C10" s="481">
        <v>-25277113.684999999</v>
      </c>
    </row>
    <row r="11" spans="1:6" s="4" customFormat="1" ht="25.5" outlineLevel="1">
      <c r="A11" s="176">
        <v>5.2</v>
      </c>
      <c r="B11" s="172" t="s">
        <v>275</v>
      </c>
      <c r="C11" s="479"/>
    </row>
    <row r="12" spans="1:6" s="4" customFormat="1">
      <c r="A12" s="176">
        <v>6</v>
      </c>
      <c r="B12" s="178" t="s">
        <v>480</v>
      </c>
      <c r="C12" s="479">
        <v>3402357</v>
      </c>
    </row>
    <row r="13" spans="1:6" s="4" customFormat="1" ht="15.75" thickBot="1">
      <c r="A13" s="179">
        <v>7</v>
      </c>
      <c r="B13" s="174" t="s">
        <v>265</v>
      </c>
      <c r="C13" s="482">
        <f>SUM(C8:C12)</f>
        <v>398165201.09707052</v>
      </c>
    </row>
    <row r="15" spans="1:6" ht="26.25">
      <c r="B15" s="24" t="s">
        <v>481</v>
      </c>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yK38RQg0QmZPNvpum/npa8MbiZM=</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vzDsQZ3gBzbUj8oO1HlOWYRFXdE=</DigestValue>
    </Reference>
  </SignedInfo>
  <SignatureValue>ZMP3lqqiZ33quDMAIjOJcPN6U4ZsDtiCJVqIFseHBDy1bhkkABdtQc6wgsXOnJRfPE2AVxh931uA
aXShJ9ziwtPM/9z2vGQ1jqzzz7QSz4Li4ex9QDW2RLk6+ejnQxP4frzqnuhQNP+C6wKqONA4rfR7
A4ltpV7rgRLlAn4MvFJN0DUJNw5Ki1Tv8QoaVRW0uOizU8p2T5qgu1iJQZ3qVKZwR6dVieITItof
ABQz/4vuBzkvUhAHCzYvkkKRVBWtbr/kRnaNcVjZaT3bhblbPc9NUXjhHUCChtydvJgmg6aweeGF
W/wreI4zY7glUddNCYN0vpuYjAVzo3424wlZsQ==</SignatureValue>
  <KeyInfo>
    <X509Data>
      <X509Certificate>MIIGODCCBSCgAwIBAgIKOCPUKwACAAFq+zANBgkqhkiG9w0BAQsFADBKMRIwEAYKCZImiZPyLGQB
GRYCZ2UxEzARBgoJkiaJk/IsZAEZFgNuYmcxHzAdBgNVBAMTFk5CRyBDbGFzcyAyIElOVCBTdWIg
Q0EwHhcNMjAwMjE0MTAzNDE1WhcNMjExMjIyMDk0NjU2WjA2MRswGQYDVQQKExJKU0MgSXNiYW5r
IEdlb3JnaWExFzAVBgNVBAMTDkJJUyAtIE96YW4gR3VyMIIBIjANBgkqhkiG9w0BAQEFAAOCAQ8A
MIIBCgKCAQEA5AaKV/Q4021K/K7TS/Rxv91ukAAKvgKT9KBzgfRok5LbPbM/oa5Kgk7bnpCCByJ3
EmT8YSHQoCs4A9+iHfxywV7+kuyL5DPmPMH7u1hNZRuSq8YUPHytgdotqgvxVeTmvlaZkU7grvb4
e5ezbWwQj9T9dxVjqphFtAx0y5ipQsBTBbnUYLN6cTBZWOEhO6uZCOy8a7q7Q/XWVho4e3MbORqL
DWyZU9Mw04ha+015krYzNo3QU0RD9u2DVHQQdc6yhjS0N+ln5RQTSCnnOiuQNrsN0Ww15TNsstQm
ROmknAcVXJTUIY52QyuWtTzmmaBfE2spuAdSeA1KjmzTVQivMwIDAQABo4IDMjCCAy4wPAYJKwYB
BAGCNxUHBC8wLQYlKwYBBAGCNxUI5rJgg431RIaBmQmDuKFKg76EcQSDxJEzhIOIXQIBZAIBIzAd
BgNVHSUEFjAUBggrBgEFBQcDAgYIKwYBBQUHAwQwCwYDVR0PBAQDAgeAMCcGCSsGAQQBgjcVCgQa
MBgwCgYIKwYBBQUHAwIwCgYIKwYBBQUHAwQwHQYDVR0OBBYEFAAhotqKxsfCcotgI5UDu2FDuGFB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Q0EoMikuY3J0MA0GCSqGSIb3DQEBCwUAA4IBAQAv0gxZI1NAfSOrNjeffn9Xk2dvV07qVJ79j6sH
Ow/5qO0asgLt1ArVjKHqSrYLXnU9G09WjXIY6FWltb0uh0VzQN/qJGsDTMsIGYowaVCz5C+cIRPF
Tyat2/P7OrBzvQOrpYOCXdoq4j2EN9zzoAZ29ZI4P1JUP/KokkFFxNeHFJcCN838s4SbsDL3fzvW
dD6kDgEJVnxkTs/kfSmGvPahXzlQqt/cYDAS48dV44sqruABqeS+9xpcbCk0JbRWSpoaeNcD+tny
ZVAoRKbCBJ2oWnvfi/nR42f7tCLMqy2hS1DpLt4/0sJGer3Q+fRc5o2Oym/rKKiTfzWk4XXMGlNg
</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5INcEJ1eQDgw22QA4kay85oIaqo=</DigestValue>
      </Reference>
      <Reference URI="/xl/printerSettings/printerSettings4.bin?ContentType=application/vnd.openxmlformats-officedocument.spreadsheetml.printerSettings">
        <DigestMethod Algorithm="http://www.w3.org/2000/09/xmldsig#sha1"/>
        <DigestValue>ZjYF1rngT8+3SuHmWZ9lPAE7NMg=</DigestValue>
      </Reference>
      <Reference URI="/xl/worksheets/sheet7.xml?ContentType=application/vnd.openxmlformats-officedocument.spreadsheetml.worksheet+xml">
        <DigestMethod Algorithm="http://www.w3.org/2000/09/xmldsig#sha1"/>
        <DigestValue>3TIogrDV/rqd/5hETTF3hTRhj+g=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HIMZiJWkQPyZArxdirg9JNh4eLc=</DigestValue>
      </Reference>
      <Reference URI="/xl/printerSettings/printerSettings2.bin?ContentType=application/vnd.openxmlformats-officedocument.spreadsheetml.printerSettings">
        <DigestMethod Algorithm="http://www.w3.org/2000/09/xmldsig#sha1"/>
        <DigestValue>vqRdO7MJjeQtZLdkg59HTiQ4Wzo=</DigestValue>
      </Reference>
      <Reference URI="/xl/worksheets/sheet16.xml?ContentType=application/vnd.openxmlformats-officedocument.spreadsheetml.worksheet+xml">
        <DigestMethod Algorithm="http://www.w3.org/2000/09/xmldsig#sha1"/>
        <DigestValue>Qvr83Mc+KzVXHCXgWyNMjvBkHXI=</DigestValue>
      </Reference>
      <Reference URI="/xl/printerSettings/printerSettings9.bin?ContentType=application/vnd.openxmlformats-officedocument.spreadsheetml.printerSettings">
        <DigestMethod Algorithm="http://www.w3.org/2000/09/xmldsig#sha1"/>
        <DigestValue>VbYQLSfWkJUSAVYpaQXZ1AdRGaQ=</DigestValue>
      </Reference>
      <Reference URI="/xl/worksheets/sheet14.xml?ContentType=application/vnd.openxmlformats-officedocument.spreadsheetml.worksheet+xml">
        <DigestMethod Algorithm="http://www.w3.org/2000/09/xmldsig#sha1"/>
        <DigestValue>Hsq3VOZaLjqU+lPnVHgcEHNND48=</DigestValue>
      </Reference>
      <Reference URI="/xl/styles.xml?ContentType=application/vnd.openxmlformats-officedocument.spreadsheetml.styles+xml">
        <DigestMethod Algorithm="http://www.w3.org/2000/09/xmldsig#sha1"/>
        <DigestValue>xg8b0Yu83B4Gk1AcDVpqZIt8cYo=</DigestValue>
      </Reference>
      <Reference URI="/xl/worksheets/sheet18.xml?ContentType=application/vnd.openxmlformats-officedocument.spreadsheetml.worksheet+xml">
        <DigestMethod Algorithm="http://www.w3.org/2000/09/xmldsig#sha1"/>
        <DigestValue>B4R0BmylWLmBruly7Lgj1qUeyBE=</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1.bin?ContentType=application/vnd.openxmlformats-officedocument.spreadsheetml.printerSettings">
        <DigestMethod Algorithm="http://www.w3.org/2000/09/xmldsig#sha1"/>
        <DigestValue>yR5KEOq64d7KaTHktW4P8v7cLMA=</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8.xml?ContentType=application/vnd.openxmlformats-officedocument.spreadsheetml.worksheet+xml">
        <DigestMethod Algorithm="http://www.w3.org/2000/09/xmldsig#sha1"/>
        <DigestValue>6egr6zy5kpL1n62Lv2e02S8Uzf8=</DigestValue>
      </Reference>
      <Reference URI="/xl/printerSettings/printerSettings7.bin?ContentType=application/vnd.openxmlformats-officedocument.spreadsheetml.printerSettings">
        <DigestMethod Algorithm="http://www.w3.org/2000/09/xmldsig#sha1"/>
        <DigestValue>MGCLY15IEbgb8wmZ+lmUlxuO3pA=</DigestValue>
      </Reference>
      <Reference URI="/xl/worksheets/sheet6.xml?ContentType=application/vnd.openxmlformats-officedocument.spreadsheetml.worksheet+xml">
        <DigestMethod Algorithm="http://www.w3.org/2000/09/xmldsig#sha1"/>
        <DigestValue>9x0mr10NQOrZaQSyGgqVs0DBw0Q=</DigestValue>
      </Reference>
      <Reference URI="/xl/printerSettings/printerSettings6.bin?ContentType=application/vnd.openxmlformats-officedocument.spreadsheetml.printerSettings">
        <DigestMethod Algorithm="http://www.w3.org/2000/09/xmldsig#sha1"/>
        <DigestValue>rIQkecewHJmKQmPeTxaMM8kcco0=</DigestValue>
      </Reference>
      <Reference URI="/xl/worksheets/sheet5.xml?ContentType=application/vnd.openxmlformats-officedocument.spreadsheetml.worksheet+xml">
        <DigestMethod Algorithm="http://www.w3.org/2000/09/xmldsig#sha1"/>
        <DigestValue>47n+GglUyTjitmvl0bW+SKiulaw=</DigestValue>
      </Reference>
      <Reference URI="/xl/worksheets/sheet17.xml?ContentType=application/vnd.openxmlformats-officedocument.spreadsheetml.worksheet+xml">
        <DigestMethod Algorithm="http://www.w3.org/2000/09/xmldsig#sha1"/>
        <DigestValue>wPUX+c1CC5MumcnfEXYFretvC3A=</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0.bin?ContentType=application/vnd.openxmlformats-officedocument.spreadsheetml.printerSettings">
        <DigestMethod Algorithm="http://www.w3.org/2000/09/xmldsig#sha1"/>
        <DigestValue>iOUdri0DrHYIo5Tw3Wqktoik9TI=</DigestValue>
      </Reference>
      <Reference URI="/xl/theme/theme1.xml?ContentType=application/vnd.openxmlformats-officedocument.theme+xml">
        <DigestMethod Algorithm="http://www.w3.org/2000/09/xmldsig#sha1"/>
        <DigestValue>ws0gcdu2aM8dJ36PXh4TC2naUx4=</DigestValue>
      </Reference>
      <Reference URI="/xl/printerSettings/printerSettings14.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19zTHCwJesErM0aDE90WaOHkJ7w=</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2.xml?ContentType=application/vnd.openxmlformats-officedocument.spreadsheetml.worksheet+xml">
        <DigestMethod Algorithm="http://www.w3.org/2000/09/xmldsig#sha1"/>
        <DigestValue>PJIGj0uwfAvAeuWc717fpyZKlMc=</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Hl8v+ubzgcfZm2Co3wFjKymKqp4=</DigestValue>
      </Reference>
      <Reference URI="/xl/externalLinks/externalLink2.xml?ContentType=application/vnd.openxmlformats-officedocument.spreadsheetml.externalLink+xml">
        <DigestMethod Algorithm="http://www.w3.org/2000/09/xmldsig#sha1"/>
        <DigestValue>EJ4keYMLGZCzSM6wBritpaGwMRc=</DigestValue>
      </Reference>
      <Reference URI="/xl/workbook.xml?ContentType=application/vnd.openxmlformats-officedocument.spreadsheetml.sheet.main+xml">
        <DigestMethod Algorithm="http://www.w3.org/2000/09/xmldsig#sha1"/>
        <DigestValue>MELiAW/4fIrnOr3c3TaPrIy4a/4=</DigestValue>
      </Reference>
      <Reference URI="/xl/worksheets/sheet13.xml?ContentType=application/vnd.openxmlformats-officedocument.spreadsheetml.worksheet+xml">
        <DigestMethod Algorithm="http://www.w3.org/2000/09/xmldsig#sha1"/>
        <DigestValue>KNNjzYpvUsZZTm66iY7yPxhb2v0=</DigestValue>
      </Reference>
      <Reference URI="/xl/drawings/drawing1.xml?ContentType=application/vnd.openxmlformats-officedocument.drawing+xml">
        <DigestMethod Algorithm="http://www.w3.org/2000/09/xmldsig#sha1"/>
        <DigestValue>9jgpVdHzFAt7WN87Eb8UjCRV7yA=</DigestValue>
      </Reference>
      <Reference URI="/xl/worksheets/sheet1.xml?ContentType=application/vnd.openxmlformats-officedocument.spreadsheetml.worksheet+xml">
        <DigestMethod Algorithm="http://www.w3.org/2000/09/xmldsig#sha1"/>
        <DigestValue>lsrGtiZ92p5f7ZiIwzRopVw5vAw=</DigestValue>
      </Reference>
      <Reference URI="/xl/printerSettings/printerSettings11.bin?ContentType=application/vnd.openxmlformats-officedocument.spreadsheetml.printerSettings">
        <DigestMethod Algorithm="http://www.w3.org/2000/09/xmldsig#sha1"/>
        <DigestValue>1Y15VPl6Khmx471QSwyGSBqfKYs=</DigestValue>
      </Reference>
      <Reference URI="/xl/worksheets/sheet12.xml?ContentType=application/vnd.openxmlformats-officedocument.spreadsheetml.worksheet+xml">
        <DigestMethod Algorithm="http://www.w3.org/2000/09/xmldsig#sha1"/>
        <DigestValue>GgHsGZI/uyUsoiwVn16Nj6HSoyY=</DigestValue>
      </Reference>
      <Reference URI="/xl/sharedStrings.xml?ContentType=application/vnd.openxmlformats-officedocument.spreadsheetml.sharedStrings+xml">
        <DigestMethod Algorithm="http://www.w3.org/2000/09/xmldsig#sha1"/>
        <DigestValue>BQqrskdA1tXzJx7k2dIYLum1LZY=</DigestValue>
      </Reference>
      <Reference URI="/xl/calcChain.xml?ContentType=application/vnd.openxmlformats-officedocument.spreadsheetml.calcChain+xml">
        <DigestMethod Algorithm="http://www.w3.org/2000/09/xmldsig#sha1"/>
        <DigestValue>OhSLHJewyB7Z41HoDmHsOzf8cCo=</DigestValue>
      </Reference>
      <Reference URI="/xl/worksheets/sheet10.xml?ContentType=application/vnd.openxmlformats-officedocument.spreadsheetml.worksheet+xml">
        <DigestMethod Algorithm="http://www.w3.org/2000/09/xmldsig#sha1"/>
        <DigestValue>mDdEgxu+smU8NDg+DoUMHtlOpYU=</DigestValue>
      </Reference>
      <Reference URI="/xl/worksheets/sheet11.xml?ContentType=application/vnd.openxmlformats-officedocument.spreadsheetml.worksheet+xml">
        <DigestMethod Algorithm="http://www.w3.org/2000/09/xmldsig#sha1"/>
        <DigestValue>cZpUq1gCmPaYUbAbcGFOgHlpXY0=</DigestValue>
      </Reference>
      <Reference URI="/xl/printerSettings/printerSettings15.bin?ContentType=application/vnd.openxmlformats-officedocument.spreadsheetml.printerSettings">
        <DigestMethod Algorithm="http://www.w3.org/2000/09/xmldsig#sha1"/>
        <DigestValue>iOUdri0DrHYIo5Tw3Wqktoik9TI=</DigestValue>
      </Reference>
      <Reference URI="/xl/worksheets/sheet15.xml?ContentType=application/vnd.openxmlformats-officedocument.spreadsheetml.worksheet+xml">
        <DigestMethod Algorithm="http://www.w3.org/2000/09/xmldsig#sha1"/>
        <DigestValue>HxtTgZai7oQsEbVhFlnLiqHAyCs=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eyTrzjpw7YWzXzr/JkpCtsq2078=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2021-05-06T09:08:29Z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2021-05-06T09:08:29Z</xd:SigningTime>
          <xd:SigningCertificate>
            <xd:Cert>
              <xd:CertDigest>
                <DigestMethod Algorithm="http://www.w3.org/2000/09/xmldsig#sha1"/>
                <DigestValue>tsV2QztD7rksdxd/FqbKeF94fDc=</DigestValue>
              </xd:CertDigest>
              <xd:IssuerSerial>
                <X509IssuerName>CN=NBG Class 2 INT Sub CA, DC=nbg, DC=ge</X509IssuerName>
                <X509SerialNumber>265113447396648595581691</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eFaIgLiz9s54lk5t9D9FQaYx4fk=</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eRb8dhmwjJu/uByERIMCHnfUKj0=</DigestValue>
    </Reference>
  </SignedInfo>
  <SignatureValue>CQrO9WrhwcZAitQNCLySEZz7CUet0kW/h/TJ2d0Fd385dAKOdEN15kjiRwEblFCkUF16W6Ou5riY
ohLdaZK5TbhMnwmXFNUYxZzCda8JgwVZ/EqwHyS3mSKOrRegJ29MY27brY8VgaiF88mCA5ptpqgP
2tnigD5jE6jeKq8dWe7W/iY2EyUFTIZcrstsdkeKA76XoYWwHrGpbKrz1G5sxzW2TpbvpMtvhAbR
AJ8r8xLXI9qTtJLo82+OVu9UsyBY7JE88YPaWqlHqlI2cqzypt6/lb6NPRVdY8cJkBvh7oSGG0NI
pldQMfAGp/Sk2mlKv+5dOcfxk+VdL/4xj7P9+w==</SignatureValue>
  <KeyInfo>
    <X509Data>
      <X509Certificate>MIIGPjCCBSagAwIBAgIKN+cNcgACAAFq9jANBgkqhkiG9w0BAQsFADBKMRIwEAYKCZImiZPyLGQB
GRYCZ2UxEzARBgoJkiaJk/IsZAEZFgNuYmcxHzAdBgNVBAMTFk5CRyBDbGFzcyAyIElOVCBTdWIg
Q0EwHhcNMjAwMjE0MDkyNzUyWhcNMjExMjIyMDk0NjU2WjA8MRswGQYDVQQKExJKU0MgSXNiYW5r
IEdlb3JnaWExHTAbBgNVBAMTFEJJUyAtIFVjaGEgU2FyYWxpZHplMIIBIjANBgkqhkiG9w0BAQEF
AAOCAQ8AMIIBCgKCAQEA0D4bqdqp/9ipmgmoZKySYvP1OzaVfG2jMLfjnryApDA0+E4gZV5v8sr4
u4hthhIghbW0pqyHfI3MUJuzLTIAD1I9rrf5EQ196OfiQJ/WODkcx3kPQu1RIIyo35etA436eayL
1XZu8wa2BV9yVrXmUqS94s1L4ahl5RxiXjGGAl2iUrL6d15Q46+2tCgAk/X4mJtGQfU9V8k/t/jJ
KdoLGLVZrE6awz55dKTkhl4cb7VLByPcccT3eIPDLzbtL/TrLIs7L9hnHn4phQaqZElFU4vyCfFN
r/w/2IQ1PSI7i5tKnFCJrk85X08TQRbaVoYDIW0SXPRVgOuGvcoFxHx3OQIDAQABo4IDMjCCAy4w
PAYJKwYBBAGCNxUHBC8wLQYlKwYBBAGCNxUI5rJgg431RIaBmQmDuKFKg76EcQSDxJEzhIOIXQIB
ZAIBIzAdBgNVHSUEFjAUBggrBgEFBQcDAgYIKwYBBQUHAwQwCwYDVR0PBAQDAgeAMCcGCSsGAQQB
gjcVCgQaMBgwCgYIKwYBBQUHAwIwCgYIKwYBBQUHAwQwHQYDVR0OBBYEFNyLub/t3TZbR0K2Y1XZ
byM0oR26MB8GA1UdIwQYMBaAFMMu0i/wTC8ZwieC/PYurGqwSc/BMIIBJQYDVR0fBIIBHDCCARgw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U3ViJTIwQ0EoMikuY3J0MA0GCSqGSIb3DQEBCwUAA4IBAQBzJkDHFPFcCz1veNJp0X5jjGf3KPGp
EIwlmWjH6OidxOLKl9SlLHzlKGNkc/FgrNaPQedQjwlG2r8ACQFp6VsEKyagRnu5achg7OJk8CTT
WYTbW4yfQxFCE7cXMlrhs0KnE8EMi8f3mnDRzzqv33d+aBT+HZTkr7H58FBWih9q3qgIHT1EpikW
SeGuPd9/Fi7c2aofrydiwe3+uRqrchrUPvrH5t5/jwaKqz0DuMJ6h8aLZhRyLlJHyjUbLpEEoiru
SqxW70YM9+wDWUmf909JrvVbAAJQqDrJFLyn/aD0RVRhOjecNWjSptTzBw+OiSq35E+dA2trghaE
8ZkyOtTC</X509Certificate>
    </X509Data>
  </KeyInfo>
  <Object xmlns:mdssi="http://schemas.openxmlformats.org/package/2006/digital-signature" Id="idPackageObject">
    <Manifest>
      <Reference URI="/xl/externalLinks/externalLink1.xml?ContentType=application/vnd.openxmlformats-officedocument.spreadsheetml.externalLink+xml">
        <DigestMethod Algorithm="http://www.w3.org/2000/09/xmldsig#sha1"/>
        <DigestValue>5INcEJ1eQDgw22QA4kay85oIaqo=</DigestValue>
      </Reference>
      <Reference URI="/xl/printerSettings/printerSettings4.bin?ContentType=application/vnd.openxmlformats-officedocument.spreadsheetml.printerSettings">
        <DigestMethod Algorithm="http://www.w3.org/2000/09/xmldsig#sha1"/>
        <DigestValue>ZjYF1rngT8+3SuHmWZ9lPAE7NMg=</DigestValue>
      </Reference>
      <Reference URI="/xl/worksheets/sheet7.xml?ContentType=application/vnd.openxmlformats-officedocument.spreadsheetml.worksheet+xml">
        <DigestMethod Algorithm="http://www.w3.org/2000/09/xmldsig#sha1"/>
        <DigestValue>3TIogrDV/rqd/5hETTF3hTRhj+g=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HIMZiJWkQPyZArxdirg9JNh4eLc=</DigestValue>
      </Reference>
      <Reference URI="/xl/printerSettings/printerSettings2.bin?ContentType=application/vnd.openxmlformats-officedocument.spreadsheetml.printerSettings">
        <DigestMethod Algorithm="http://www.w3.org/2000/09/xmldsig#sha1"/>
        <DigestValue>vqRdO7MJjeQtZLdkg59HTiQ4Wzo=</DigestValue>
      </Reference>
      <Reference URI="/xl/worksheets/sheet16.xml?ContentType=application/vnd.openxmlformats-officedocument.spreadsheetml.worksheet+xml">
        <DigestMethod Algorithm="http://www.w3.org/2000/09/xmldsig#sha1"/>
        <DigestValue>Qvr83Mc+KzVXHCXgWyNMjvBkHXI=</DigestValue>
      </Reference>
      <Reference URI="/xl/printerSettings/printerSettings9.bin?ContentType=application/vnd.openxmlformats-officedocument.spreadsheetml.printerSettings">
        <DigestMethod Algorithm="http://www.w3.org/2000/09/xmldsig#sha1"/>
        <DigestValue>VbYQLSfWkJUSAVYpaQXZ1AdRGaQ=</DigestValue>
      </Reference>
      <Reference URI="/xl/worksheets/sheet14.xml?ContentType=application/vnd.openxmlformats-officedocument.spreadsheetml.worksheet+xml">
        <DigestMethod Algorithm="http://www.w3.org/2000/09/xmldsig#sha1"/>
        <DigestValue>Hsq3VOZaLjqU+lPnVHgcEHNND48=</DigestValue>
      </Reference>
      <Reference URI="/xl/styles.xml?ContentType=application/vnd.openxmlformats-officedocument.spreadsheetml.styles+xml">
        <DigestMethod Algorithm="http://www.w3.org/2000/09/xmldsig#sha1"/>
        <DigestValue>xg8b0Yu83B4Gk1AcDVpqZIt8cYo=</DigestValue>
      </Reference>
      <Reference URI="/xl/worksheets/sheet18.xml?ContentType=application/vnd.openxmlformats-officedocument.spreadsheetml.worksheet+xml">
        <DigestMethod Algorithm="http://www.w3.org/2000/09/xmldsig#sha1"/>
        <DigestValue>B4R0BmylWLmBruly7Lgj1qUeyBE=</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1.bin?ContentType=application/vnd.openxmlformats-officedocument.spreadsheetml.printerSettings">
        <DigestMethod Algorithm="http://www.w3.org/2000/09/xmldsig#sha1"/>
        <DigestValue>yR5KEOq64d7KaTHktW4P8v7cLMA=</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8.xml?ContentType=application/vnd.openxmlformats-officedocument.spreadsheetml.worksheet+xml">
        <DigestMethod Algorithm="http://www.w3.org/2000/09/xmldsig#sha1"/>
        <DigestValue>6egr6zy5kpL1n62Lv2e02S8Uzf8=</DigestValue>
      </Reference>
      <Reference URI="/xl/printerSettings/printerSettings7.bin?ContentType=application/vnd.openxmlformats-officedocument.spreadsheetml.printerSettings">
        <DigestMethod Algorithm="http://www.w3.org/2000/09/xmldsig#sha1"/>
        <DigestValue>MGCLY15IEbgb8wmZ+lmUlxuO3pA=</DigestValue>
      </Reference>
      <Reference URI="/xl/worksheets/sheet6.xml?ContentType=application/vnd.openxmlformats-officedocument.spreadsheetml.worksheet+xml">
        <DigestMethod Algorithm="http://www.w3.org/2000/09/xmldsig#sha1"/>
        <DigestValue>9x0mr10NQOrZaQSyGgqVs0DBw0Q=</DigestValue>
      </Reference>
      <Reference URI="/xl/printerSettings/printerSettings6.bin?ContentType=application/vnd.openxmlformats-officedocument.spreadsheetml.printerSettings">
        <DigestMethod Algorithm="http://www.w3.org/2000/09/xmldsig#sha1"/>
        <DigestValue>rIQkecewHJmKQmPeTxaMM8kcco0=</DigestValue>
      </Reference>
      <Reference URI="/xl/worksheets/sheet5.xml?ContentType=application/vnd.openxmlformats-officedocument.spreadsheetml.worksheet+xml">
        <DigestMethod Algorithm="http://www.w3.org/2000/09/xmldsig#sha1"/>
        <DigestValue>47n+GglUyTjitmvl0bW+SKiulaw=</DigestValue>
      </Reference>
      <Reference URI="/xl/worksheets/sheet17.xml?ContentType=application/vnd.openxmlformats-officedocument.spreadsheetml.worksheet+xml">
        <DigestMethod Algorithm="http://www.w3.org/2000/09/xmldsig#sha1"/>
        <DigestValue>wPUX+c1CC5MumcnfEXYFretvC3A=</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0.bin?ContentType=application/vnd.openxmlformats-officedocument.spreadsheetml.printerSettings">
        <DigestMethod Algorithm="http://www.w3.org/2000/09/xmldsig#sha1"/>
        <DigestValue>iOUdri0DrHYIo5Tw3Wqktoik9TI=</DigestValue>
      </Reference>
      <Reference URI="/xl/theme/theme1.xml?ContentType=application/vnd.openxmlformats-officedocument.theme+xml">
        <DigestMethod Algorithm="http://www.w3.org/2000/09/xmldsig#sha1"/>
        <DigestValue>ws0gcdu2aM8dJ36PXh4TC2naUx4=</DigestValue>
      </Reference>
      <Reference URI="/xl/printerSettings/printerSettings14.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19zTHCwJesErM0aDE90WaOHkJ7w=</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2.xml?ContentType=application/vnd.openxmlformats-officedocument.spreadsheetml.worksheet+xml">
        <DigestMethod Algorithm="http://www.w3.org/2000/09/xmldsig#sha1"/>
        <DigestValue>PJIGj0uwfAvAeuWc717fpyZKlMc=</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Hl8v+ubzgcfZm2Co3wFjKymKqp4=</DigestValue>
      </Reference>
      <Reference URI="/xl/externalLinks/externalLink2.xml?ContentType=application/vnd.openxmlformats-officedocument.spreadsheetml.externalLink+xml">
        <DigestMethod Algorithm="http://www.w3.org/2000/09/xmldsig#sha1"/>
        <DigestValue>EJ4keYMLGZCzSM6wBritpaGwMRc=</DigestValue>
      </Reference>
      <Reference URI="/xl/workbook.xml?ContentType=application/vnd.openxmlformats-officedocument.spreadsheetml.sheet.main+xml">
        <DigestMethod Algorithm="http://www.w3.org/2000/09/xmldsig#sha1"/>
        <DigestValue>MELiAW/4fIrnOr3c3TaPrIy4a/4=</DigestValue>
      </Reference>
      <Reference URI="/xl/worksheets/sheet13.xml?ContentType=application/vnd.openxmlformats-officedocument.spreadsheetml.worksheet+xml">
        <DigestMethod Algorithm="http://www.w3.org/2000/09/xmldsig#sha1"/>
        <DigestValue>KNNjzYpvUsZZTm66iY7yPxhb2v0=</DigestValue>
      </Reference>
      <Reference URI="/xl/drawings/drawing1.xml?ContentType=application/vnd.openxmlformats-officedocument.drawing+xml">
        <DigestMethod Algorithm="http://www.w3.org/2000/09/xmldsig#sha1"/>
        <DigestValue>9jgpVdHzFAt7WN87Eb8UjCRV7yA=</DigestValue>
      </Reference>
      <Reference URI="/xl/worksheets/sheet1.xml?ContentType=application/vnd.openxmlformats-officedocument.spreadsheetml.worksheet+xml">
        <DigestMethod Algorithm="http://www.w3.org/2000/09/xmldsig#sha1"/>
        <DigestValue>lsrGtiZ92p5f7ZiIwzRopVw5vAw=</DigestValue>
      </Reference>
      <Reference URI="/xl/printerSettings/printerSettings11.bin?ContentType=application/vnd.openxmlformats-officedocument.spreadsheetml.printerSettings">
        <DigestMethod Algorithm="http://www.w3.org/2000/09/xmldsig#sha1"/>
        <DigestValue>1Y15VPl6Khmx471QSwyGSBqfKYs=</DigestValue>
      </Reference>
      <Reference URI="/xl/worksheets/sheet12.xml?ContentType=application/vnd.openxmlformats-officedocument.spreadsheetml.worksheet+xml">
        <DigestMethod Algorithm="http://www.w3.org/2000/09/xmldsig#sha1"/>
        <DigestValue>GgHsGZI/uyUsoiwVn16Nj6HSoyY=</DigestValue>
      </Reference>
      <Reference URI="/xl/sharedStrings.xml?ContentType=application/vnd.openxmlformats-officedocument.spreadsheetml.sharedStrings+xml">
        <DigestMethod Algorithm="http://www.w3.org/2000/09/xmldsig#sha1"/>
        <DigestValue>BQqrskdA1tXzJx7k2dIYLum1LZY=</DigestValue>
      </Reference>
      <Reference URI="/xl/calcChain.xml?ContentType=application/vnd.openxmlformats-officedocument.spreadsheetml.calcChain+xml">
        <DigestMethod Algorithm="http://www.w3.org/2000/09/xmldsig#sha1"/>
        <DigestValue>OhSLHJewyB7Z41HoDmHsOzf8cCo=</DigestValue>
      </Reference>
      <Reference URI="/xl/worksheets/sheet10.xml?ContentType=application/vnd.openxmlformats-officedocument.spreadsheetml.worksheet+xml">
        <DigestMethod Algorithm="http://www.w3.org/2000/09/xmldsig#sha1"/>
        <DigestValue>mDdEgxu+smU8NDg+DoUMHtlOpYU=</DigestValue>
      </Reference>
      <Reference URI="/xl/worksheets/sheet11.xml?ContentType=application/vnd.openxmlformats-officedocument.spreadsheetml.worksheet+xml">
        <DigestMethod Algorithm="http://www.w3.org/2000/09/xmldsig#sha1"/>
        <DigestValue>cZpUq1gCmPaYUbAbcGFOgHlpXY0=</DigestValue>
      </Reference>
      <Reference URI="/xl/printerSettings/printerSettings15.bin?ContentType=application/vnd.openxmlformats-officedocument.spreadsheetml.printerSettings">
        <DigestMethod Algorithm="http://www.w3.org/2000/09/xmldsig#sha1"/>
        <DigestValue>iOUdri0DrHYIo5Tw3Wqktoik9TI=</DigestValue>
      </Reference>
      <Reference URI="/xl/worksheets/sheet15.xml?ContentType=application/vnd.openxmlformats-officedocument.spreadsheetml.worksheet+xml">
        <DigestMethod Algorithm="http://www.w3.org/2000/09/xmldsig#sha1"/>
        <DigestValue>HxtTgZai7oQsEbVhFlnLiqHAyCs=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eyTrzjpw7YWzXzr/JkpCtsq2078=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2021-05-06T09:08:55Z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2021-05-06T09:08:55Z</xd:SigningTime>
          <xd:SigningCertificate>
            <xd:Cert>
              <xd:CertDigest>
                <DigestMethod Algorithm="http://www.w3.org/2000/09/xmldsig#sha1"/>
                <DigestValue>5WpQYAgbzOF+m7lYDHeLczacZFQ=</DigestValue>
              </xd:CertDigest>
              <xd:IssuerSerial>
                <X509IssuerName>CN=NBG Class 2 INT Sub CA, DC=nbg, DC=ge</X509IssuerName>
                <X509SerialNumber>263992323275735821282038</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2021-05-06T09:00:42Z</dcterms:modified>
</cp:coreProperties>
</file>