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26.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7.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2.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65" tabRatio="768" activeTab="1"/>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81" r:id="rId20"/>
    <sheet name="18. Assets by Exposure classes" sheetId="82" r:id="rId21"/>
    <sheet name="19. Assets by Risk Sectors" sheetId="83" r:id="rId22"/>
    <sheet name="20. Reserves" sheetId="84" r:id="rId23"/>
    <sheet name="21. NPL" sheetId="85" r:id="rId24"/>
    <sheet name="22. Quality" sheetId="86" r:id="rId25"/>
    <sheet name="23. LTV" sheetId="87" r:id="rId26"/>
    <sheet name="24. Risk Sector" sheetId="88" r:id="rId27"/>
    <sheet name="25. Collateral" sheetId="89" r:id="rId28"/>
    <sheet name="Instruction" sheetId="90" r:id="rId29"/>
  </sheets>
  <externalReferences>
    <externalReference r:id="rId30"/>
    <externalReference r:id="rId31"/>
    <externalReference r:id="rId32"/>
  </externalReferences>
  <definedNames>
    <definedName name="_cur1">'[1]Appl (2)'!$F$2:$F$7200</definedName>
    <definedName name="_cur2">'[1]Appl (2)'!$H$2:$H$7200</definedName>
    <definedName name="_xlnm._FilterDatabase" localSheetId="4" hidden="1">'4. Off-Balance'!$B$6:$H$53</definedName>
    <definedName name="_xlnm._FilterDatabase" localSheetId="28" hidden="1">Instruction!$A$107:$C$111</definedName>
    <definedName name="_sum1">'[1]Appl (2)'!$E$2:$E$7200</definedName>
    <definedName name="_sum2">'[1]Appl (2)'!$G$2:$G$7200</definedName>
    <definedName name="ACC_BALACC" localSheetId="19">#REF!</definedName>
    <definedName name="ACC_BALACC" localSheetId="23">#REF!</definedName>
    <definedName name="ACC_BALACC" localSheetId="24">#REF!</definedName>
    <definedName name="ACC_BALACC" localSheetId="25">#REF!</definedName>
    <definedName name="ACC_BALACC" localSheetId="26">#REF!</definedName>
    <definedName name="ACC_BALACC" localSheetId="10">#REF!</definedName>
    <definedName name="ACC_BALACC">#REF!</definedName>
    <definedName name="ACC_CRS" localSheetId="19">#REF!</definedName>
    <definedName name="ACC_CRS" localSheetId="23">#REF!</definedName>
    <definedName name="ACC_CRS" localSheetId="24">#REF!</definedName>
    <definedName name="ACC_CRS" localSheetId="25">#REF!</definedName>
    <definedName name="ACC_CRS" localSheetId="26">#REF!</definedName>
    <definedName name="ACC_CRS" localSheetId="4">#REF!</definedName>
    <definedName name="ACC_CRS" localSheetId="10">#REF!</definedName>
    <definedName name="ACC_CRS">#REF!</definedName>
    <definedName name="ACC_DBS" localSheetId="19">#REF!</definedName>
    <definedName name="ACC_DBS" localSheetId="23">#REF!</definedName>
    <definedName name="ACC_DBS" localSheetId="24">#REF!</definedName>
    <definedName name="ACC_DBS" localSheetId="25">#REF!</definedName>
    <definedName name="ACC_DBS" localSheetId="26">#REF!</definedName>
    <definedName name="ACC_DBS" localSheetId="4">#REF!</definedName>
    <definedName name="ACC_DBS" localSheetId="10">#REF!</definedName>
    <definedName name="ACC_DBS">#REF!</definedName>
    <definedName name="ACC_ISO" localSheetId="19">#REF!</definedName>
    <definedName name="ACC_ISO" localSheetId="23">#REF!</definedName>
    <definedName name="ACC_ISO" localSheetId="24">#REF!</definedName>
    <definedName name="ACC_ISO" localSheetId="25">#REF!</definedName>
    <definedName name="ACC_ISO" localSheetId="26">#REF!</definedName>
    <definedName name="ACC_ISO" localSheetId="4">#REF!</definedName>
    <definedName name="ACC_ISO" localSheetId="10">#REF!</definedName>
    <definedName name="ACC_ISO">#REF!</definedName>
    <definedName name="ACC_SALDO" localSheetId="19">#REF!</definedName>
    <definedName name="ACC_SALDO" localSheetId="23">#REF!</definedName>
    <definedName name="ACC_SALDO" localSheetId="24">#REF!</definedName>
    <definedName name="ACC_SALDO" localSheetId="25">#REF!</definedName>
    <definedName name="ACC_SALDO" localSheetId="26">#REF!</definedName>
    <definedName name="ACC_SALDO" localSheetId="4">#REF!</definedName>
    <definedName name="ACC_SALDO" localSheetId="10">#REF!</definedName>
    <definedName name="ACC_SALDO">#REF!</definedName>
    <definedName name="BS_BALACC" localSheetId="19">#REF!</definedName>
    <definedName name="BS_BALACC" localSheetId="23">#REF!</definedName>
    <definedName name="BS_BALACC" localSheetId="24">#REF!</definedName>
    <definedName name="BS_BALACC" localSheetId="25">#REF!</definedName>
    <definedName name="BS_BALACC" localSheetId="26">#REF!</definedName>
    <definedName name="BS_BALACC" localSheetId="4">#REF!</definedName>
    <definedName name="BS_BALACC" localSheetId="10">#REF!</definedName>
    <definedName name="BS_BALACC">#REF!</definedName>
    <definedName name="BS_BALANCE" localSheetId="19">#REF!</definedName>
    <definedName name="BS_BALANCE" localSheetId="23">#REF!</definedName>
    <definedName name="BS_BALANCE" localSheetId="24">#REF!</definedName>
    <definedName name="BS_BALANCE" localSheetId="25">#REF!</definedName>
    <definedName name="BS_BALANCE" localSheetId="26">#REF!</definedName>
    <definedName name="BS_BALANCE" localSheetId="4">#REF!</definedName>
    <definedName name="BS_BALANCE" localSheetId="10">#REF!</definedName>
    <definedName name="BS_BALANCE">#REF!</definedName>
    <definedName name="BS_CR" localSheetId="19">#REF!</definedName>
    <definedName name="BS_CR" localSheetId="23">#REF!</definedName>
    <definedName name="BS_CR" localSheetId="24">#REF!</definedName>
    <definedName name="BS_CR" localSheetId="25">#REF!</definedName>
    <definedName name="BS_CR" localSheetId="26">#REF!</definedName>
    <definedName name="BS_CR" localSheetId="4">#REF!</definedName>
    <definedName name="BS_CR" localSheetId="10">#REF!</definedName>
    <definedName name="BS_CR">#REF!</definedName>
    <definedName name="BS_CR_EQU" localSheetId="19">#REF!</definedName>
    <definedName name="BS_CR_EQU" localSheetId="23">#REF!</definedName>
    <definedName name="BS_CR_EQU" localSheetId="24">#REF!</definedName>
    <definedName name="BS_CR_EQU" localSheetId="25">#REF!</definedName>
    <definedName name="BS_CR_EQU" localSheetId="26">#REF!</definedName>
    <definedName name="BS_CR_EQU" localSheetId="4">#REF!</definedName>
    <definedName name="BS_CR_EQU" localSheetId="10">#REF!</definedName>
    <definedName name="BS_CR_EQU">#REF!</definedName>
    <definedName name="BS_DB" localSheetId="19">#REF!</definedName>
    <definedName name="BS_DB" localSheetId="23">#REF!</definedName>
    <definedName name="BS_DB" localSheetId="24">#REF!</definedName>
    <definedName name="BS_DB" localSheetId="25">#REF!</definedName>
    <definedName name="BS_DB" localSheetId="26">#REF!</definedName>
    <definedName name="BS_DB" localSheetId="4">#REF!</definedName>
    <definedName name="BS_DB" localSheetId="10">#REF!</definedName>
    <definedName name="BS_DB">#REF!</definedName>
    <definedName name="BS_DB_EQU" localSheetId="19">#REF!</definedName>
    <definedName name="BS_DB_EQU" localSheetId="23">#REF!</definedName>
    <definedName name="BS_DB_EQU" localSheetId="24">#REF!</definedName>
    <definedName name="BS_DB_EQU" localSheetId="25">#REF!</definedName>
    <definedName name="BS_DB_EQU" localSheetId="26">#REF!</definedName>
    <definedName name="BS_DB_EQU" localSheetId="4">#REF!</definedName>
    <definedName name="BS_DB_EQU" localSheetId="10">#REF!</definedName>
    <definedName name="BS_DB_EQU">#REF!</definedName>
    <definedName name="BS_DT" localSheetId="19">#REF!</definedName>
    <definedName name="BS_DT" localSheetId="23">#REF!</definedName>
    <definedName name="BS_DT" localSheetId="24">#REF!</definedName>
    <definedName name="BS_DT" localSheetId="25">#REF!</definedName>
    <definedName name="BS_DT" localSheetId="26">#REF!</definedName>
    <definedName name="BS_DT" localSheetId="4">#REF!</definedName>
    <definedName name="BS_DT" localSheetId="10">#REF!</definedName>
    <definedName name="BS_DT">#REF!</definedName>
    <definedName name="BS_ISO" localSheetId="19">#REF!</definedName>
    <definedName name="BS_ISO" localSheetId="23">#REF!</definedName>
    <definedName name="BS_ISO" localSheetId="24">#REF!</definedName>
    <definedName name="BS_ISO" localSheetId="25">#REF!</definedName>
    <definedName name="BS_ISO" localSheetId="26">#REF!</definedName>
    <definedName name="BS_ISO" localSheetId="4">#REF!</definedName>
    <definedName name="BS_ISO" localSheetId="10">#REF!</definedName>
    <definedName name="BS_ISO">#REF!</definedName>
    <definedName name="CurrentDate" localSheetId="19">#REF!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B2" i="89" l="1"/>
  <c r="N33" i="88"/>
  <c r="M33" i="88"/>
  <c r="L33" i="88"/>
  <c r="K33" i="88"/>
  <c r="J33" i="88"/>
  <c r="I33" i="88"/>
  <c r="H33" i="88"/>
  <c r="G33" i="88"/>
  <c r="F33" i="88"/>
  <c r="E33" i="88"/>
  <c r="D33" i="88"/>
  <c r="C33" i="88"/>
  <c r="B2" i="88"/>
  <c r="B2" i="87"/>
  <c r="U22" i="86"/>
  <c r="L22" i="86"/>
  <c r="G22" i="86"/>
  <c r="E22" i="86"/>
  <c r="D22" i="86"/>
  <c r="C22" i="86"/>
  <c r="U15" i="86"/>
  <c r="T15" i="86"/>
  <c r="S15" i="86"/>
  <c r="R15" i="86"/>
  <c r="Q15" i="86"/>
  <c r="P15" i="86"/>
  <c r="O15" i="86"/>
  <c r="N15" i="86"/>
  <c r="M15" i="86"/>
  <c r="L15" i="86"/>
  <c r="K15" i="86"/>
  <c r="J15" i="86"/>
  <c r="I15" i="86"/>
  <c r="H15" i="86"/>
  <c r="G15" i="86"/>
  <c r="F15" i="86"/>
  <c r="E15" i="86"/>
  <c r="D15" i="86"/>
  <c r="C15" i="86"/>
  <c r="U8" i="86"/>
  <c r="T8" i="86"/>
  <c r="S8" i="86"/>
  <c r="R8" i="86"/>
  <c r="Q8" i="86"/>
  <c r="P8" i="86"/>
  <c r="O8" i="86"/>
  <c r="N8" i="86"/>
  <c r="M8" i="86"/>
  <c r="L8" i="86"/>
  <c r="K8" i="86"/>
  <c r="J8" i="86"/>
  <c r="I8" i="86"/>
  <c r="H8" i="86"/>
  <c r="G8" i="86"/>
  <c r="F8" i="86"/>
  <c r="E8" i="86"/>
  <c r="D8" i="86"/>
  <c r="C8" i="86"/>
  <c r="B2" i="86"/>
  <c r="C10" i="85"/>
  <c r="C19" i="85" s="1"/>
  <c r="B2" i="85"/>
  <c r="D12" i="84"/>
  <c r="C12" i="84"/>
  <c r="D7" i="84"/>
  <c r="D19" i="84" s="1"/>
  <c r="C7" i="84"/>
  <c r="C19" i="84" s="1"/>
  <c r="B2" i="84"/>
  <c r="H34" i="83"/>
  <c r="F34" i="83"/>
  <c r="E34" i="83"/>
  <c r="D34" i="83"/>
  <c r="C34" i="83"/>
  <c r="I34" i="83" s="1"/>
  <c r="I33" i="83"/>
  <c r="I32" i="83"/>
  <c r="I31" i="83"/>
  <c r="I30" i="83"/>
  <c r="I29" i="83"/>
  <c r="I28" i="83"/>
  <c r="I27" i="83"/>
  <c r="I26" i="83"/>
  <c r="I25" i="83"/>
  <c r="I24" i="83"/>
  <c r="I23" i="83"/>
  <c r="I22" i="83"/>
  <c r="I21" i="83"/>
  <c r="I20" i="83"/>
  <c r="I19" i="83"/>
  <c r="I18" i="83"/>
  <c r="I17" i="83"/>
  <c r="I16" i="83"/>
  <c r="I15" i="83"/>
  <c r="I14" i="83"/>
  <c r="I13" i="83"/>
  <c r="I12" i="83"/>
  <c r="I11" i="83"/>
  <c r="I10" i="83"/>
  <c r="I9" i="83"/>
  <c r="I8" i="83"/>
  <c r="I7" i="83"/>
  <c r="B2" i="83"/>
  <c r="I23" i="82"/>
  <c r="I22" i="82"/>
  <c r="H21" i="82"/>
  <c r="F21" i="82"/>
  <c r="E21" i="82"/>
  <c r="D21" i="82"/>
  <c r="C21" i="82"/>
  <c r="I21" i="82" s="1"/>
  <c r="I20" i="82"/>
  <c r="I19" i="82"/>
  <c r="I18" i="82"/>
  <c r="I17" i="82"/>
  <c r="I16" i="82"/>
  <c r="I15" i="82"/>
  <c r="I14" i="82"/>
  <c r="I13" i="82"/>
  <c r="I12" i="82"/>
  <c r="I11" i="82"/>
  <c r="I10" i="82"/>
  <c r="I9" i="82"/>
  <c r="I8" i="82"/>
  <c r="I7" i="82"/>
  <c r="B2" i="82"/>
  <c r="G22" i="81"/>
  <c r="F22" i="81"/>
  <c r="E22" i="81"/>
  <c r="D22" i="81"/>
  <c r="C22" i="81"/>
  <c r="H21" i="81"/>
  <c r="H20" i="81"/>
  <c r="H19" i="81"/>
  <c r="H18" i="81"/>
  <c r="H17" i="81"/>
  <c r="H16" i="81"/>
  <c r="H15" i="81"/>
  <c r="H14" i="81"/>
  <c r="H13" i="81"/>
  <c r="H12" i="81"/>
  <c r="H11" i="81"/>
  <c r="H10" i="81"/>
  <c r="H9" i="81"/>
  <c r="H8" i="81"/>
  <c r="H22" i="81" s="1"/>
  <c r="B2" i="81"/>
  <c r="B2" i="80"/>
  <c r="C29" i="79" l="1"/>
  <c r="B2" i="79"/>
  <c r="B2" i="37"/>
  <c r="J24" i="36"/>
  <c r="J23" i="36"/>
  <c r="I23" i="36"/>
  <c r="G23" i="36"/>
  <c r="F23" i="36"/>
  <c r="H23" i="36" s="1"/>
  <c r="J21" i="36"/>
  <c r="I21" i="36"/>
  <c r="K21" i="36" s="1"/>
  <c r="G21" i="36"/>
  <c r="F21" i="36"/>
  <c r="H21" i="36" s="1"/>
  <c r="D21" i="36"/>
  <c r="C21" i="36"/>
  <c r="E21" i="36" s="1"/>
  <c r="K20" i="36"/>
  <c r="H20" i="36"/>
  <c r="E20" i="36"/>
  <c r="K19" i="36"/>
  <c r="H19" i="36"/>
  <c r="E19" i="36"/>
  <c r="K18" i="36"/>
  <c r="H18" i="36"/>
  <c r="E18" i="36"/>
  <c r="J16" i="36"/>
  <c r="I16" i="36"/>
  <c r="K16" i="36" s="1"/>
  <c r="G16" i="36"/>
  <c r="F16" i="36"/>
  <c r="F24" i="36" s="1"/>
  <c r="D16" i="36"/>
  <c r="C16" i="36"/>
  <c r="E16" i="36" s="1"/>
  <c r="K15" i="36"/>
  <c r="H15" i="36"/>
  <c r="E15" i="36"/>
  <c r="K14" i="36"/>
  <c r="H14" i="36"/>
  <c r="E14" i="36"/>
  <c r="K13" i="36"/>
  <c r="H13" i="36"/>
  <c r="E13" i="36"/>
  <c r="K12" i="36"/>
  <c r="H12" i="36"/>
  <c r="E12" i="36"/>
  <c r="K11" i="36"/>
  <c r="H11" i="36"/>
  <c r="E11" i="36"/>
  <c r="K10" i="36"/>
  <c r="H10" i="36"/>
  <c r="E10" i="36"/>
  <c r="K8" i="36"/>
  <c r="H8" i="36"/>
  <c r="B2" i="36"/>
  <c r="F19" i="74"/>
  <c r="F18" i="74"/>
  <c r="F15" i="74"/>
  <c r="F14" i="74"/>
  <c r="G14" i="74" s="1"/>
  <c r="H14" i="74" s="1"/>
  <c r="F11" i="74"/>
  <c r="F10" i="74"/>
  <c r="E21" i="74"/>
  <c r="E20" i="74"/>
  <c r="E19" i="74"/>
  <c r="E18" i="74"/>
  <c r="E17" i="74"/>
  <c r="E16" i="74"/>
  <c r="E15" i="74"/>
  <c r="E14" i="74"/>
  <c r="E13" i="74"/>
  <c r="E12" i="74"/>
  <c r="E11" i="74"/>
  <c r="E10" i="74"/>
  <c r="E9" i="74"/>
  <c r="E8" i="74"/>
  <c r="D13" i="74"/>
  <c r="C21" i="74"/>
  <c r="C20" i="74"/>
  <c r="C19" i="74"/>
  <c r="C18" i="74"/>
  <c r="C17" i="74"/>
  <c r="C16" i="74"/>
  <c r="C15" i="74"/>
  <c r="C14" i="74"/>
  <c r="C13" i="74"/>
  <c r="C12" i="74"/>
  <c r="C11" i="74"/>
  <c r="C10" i="74"/>
  <c r="C9" i="74"/>
  <c r="C8" i="74"/>
  <c r="C22" i="74" s="1"/>
  <c r="B2" i="74"/>
  <c r="U21" i="64"/>
  <c r="T21" i="64"/>
  <c r="S21" i="64"/>
  <c r="R21" i="64"/>
  <c r="Q21" i="64"/>
  <c r="P21" i="64"/>
  <c r="O21" i="64"/>
  <c r="N21" i="64"/>
  <c r="M21" i="64"/>
  <c r="L21" i="64"/>
  <c r="K21" i="64"/>
  <c r="J21" i="64"/>
  <c r="I21" i="64"/>
  <c r="H21" i="64"/>
  <c r="G21" i="64"/>
  <c r="F21" i="64"/>
  <c r="E21" i="64"/>
  <c r="D21" i="64"/>
  <c r="C21" i="64"/>
  <c r="V20" i="64"/>
  <c r="V19" i="64"/>
  <c r="V18" i="64"/>
  <c r="V17" i="64"/>
  <c r="V16" i="64"/>
  <c r="V15" i="64"/>
  <c r="V14" i="64"/>
  <c r="V13" i="64"/>
  <c r="V12" i="64"/>
  <c r="V11" i="64"/>
  <c r="V10" i="64"/>
  <c r="V9" i="64"/>
  <c r="V8" i="64"/>
  <c r="V7" i="64"/>
  <c r="B2" i="64"/>
  <c r="R22" i="35"/>
  <c r="Q22" i="35"/>
  <c r="P22" i="35"/>
  <c r="O22" i="35"/>
  <c r="N22" i="35"/>
  <c r="M22" i="35"/>
  <c r="L22" i="35"/>
  <c r="K22" i="35"/>
  <c r="J22" i="35"/>
  <c r="I22" i="35"/>
  <c r="H22" i="35"/>
  <c r="G22" i="35"/>
  <c r="F22" i="35"/>
  <c r="E22" i="35"/>
  <c r="D22" i="35"/>
  <c r="C22" i="35"/>
  <c r="S21" i="35"/>
  <c r="F21" i="74" s="1"/>
  <c r="S20" i="35"/>
  <c r="F20" i="74" s="1"/>
  <c r="G20" i="74" s="1"/>
  <c r="H20" i="74" s="1"/>
  <c r="S19" i="35"/>
  <c r="S18" i="35"/>
  <c r="S17" i="35"/>
  <c r="F17" i="74" s="1"/>
  <c r="S16" i="35"/>
  <c r="F16" i="74" s="1"/>
  <c r="G16" i="74" s="1"/>
  <c r="H16" i="74" s="1"/>
  <c r="S15" i="35"/>
  <c r="S14" i="35"/>
  <c r="S13" i="35"/>
  <c r="F13" i="74" s="1"/>
  <c r="S12" i="35"/>
  <c r="F12" i="74" s="1"/>
  <c r="G12" i="74" s="1"/>
  <c r="H12" i="74" s="1"/>
  <c r="S11" i="35"/>
  <c r="S10" i="35"/>
  <c r="S9" i="35"/>
  <c r="F9" i="74" s="1"/>
  <c r="S8" i="35"/>
  <c r="F8" i="74" s="1"/>
  <c r="G8" i="74" s="1"/>
  <c r="H8" i="74" s="1"/>
  <c r="B2" i="35"/>
  <c r="C36" i="69"/>
  <c r="J25" i="36" l="1"/>
  <c r="K23" i="36"/>
  <c r="I24" i="36"/>
  <c r="K24" i="36" s="1"/>
  <c r="K25" i="36" s="1"/>
  <c r="G24" i="36"/>
  <c r="H24" i="36" s="1"/>
  <c r="H25" i="36" s="1"/>
  <c r="G25" i="36"/>
  <c r="H16" i="36"/>
  <c r="F25" i="36"/>
  <c r="G21" i="74"/>
  <c r="H21" i="74" s="1"/>
  <c r="G15" i="74"/>
  <c r="H15" i="74" s="1"/>
  <c r="G9" i="74"/>
  <c r="H9" i="74" s="1"/>
  <c r="G17" i="74"/>
  <c r="H17" i="74" s="1"/>
  <c r="G10" i="74"/>
  <c r="H10" i="74" s="1"/>
  <c r="G18" i="74"/>
  <c r="H18" i="74" s="1"/>
  <c r="G13" i="74"/>
  <c r="H13" i="74" s="1"/>
  <c r="V21" i="64"/>
  <c r="G11" i="74"/>
  <c r="H11" i="74" s="1"/>
  <c r="G19" i="74"/>
  <c r="H19" i="74" s="1"/>
  <c r="S22" i="35"/>
  <c r="I25" i="36" l="1"/>
  <c r="C14" i="69"/>
  <c r="B2" i="69"/>
  <c r="B2" i="77"/>
  <c r="C46" i="28"/>
  <c r="C15" i="28"/>
  <c r="C7" i="79" s="1"/>
  <c r="B2" i="28"/>
  <c r="B2" i="73"/>
  <c r="B2" i="72"/>
  <c r="B2" i="52"/>
  <c r="G6" i="71"/>
  <c r="G13" i="71" s="1"/>
  <c r="F6" i="71"/>
  <c r="F13" i="71" s="1"/>
  <c r="E6" i="71"/>
  <c r="E13" i="71" s="1"/>
  <c r="D6" i="71"/>
  <c r="D13" i="71" s="1"/>
  <c r="C6" i="71"/>
  <c r="C13" i="71" s="1"/>
  <c r="B2" i="71"/>
  <c r="H53" i="75"/>
  <c r="E53" i="75"/>
  <c r="H52" i="75"/>
  <c r="E52" i="75"/>
  <c r="H51" i="75"/>
  <c r="E51" i="75"/>
  <c r="H50" i="75"/>
  <c r="E50" i="75"/>
  <c r="H49" i="75"/>
  <c r="E49" i="75"/>
  <c r="H48" i="75"/>
  <c r="E48" i="75"/>
  <c r="H47" i="75"/>
  <c r="E47" i="75"/>
  <c r="H46" i="75"/>
  <c r="E46" i="75"/>
  <c r="G45" i="75"/>
  <c r="F45" i="75"/>
  <c r="D45" i="75"/>
  <c r="C45" i="75"/>
  <c r="H44" i="75"/>
  <c r="E44" i="75"/>
  <c r="H43" i="75"/>
  <c r="E43" i="75"/>
  <c r="H42" i="75"/>
  <c r="E42" i="75"/>
  <c r="H41" i="75"/>
  <c r="E41" i="75"/>
  <c r="G40" i="75"/>
  <c r="F40" i="75"/>
  <c r="H40" i="75" s="1"/>
  <c r="D40" i="75"/>
  <c r="C40" i="75"/>
  <c r="E40" i="75" s="1"/>
  <c r="H39" i="75"/>
  <c r="E39" i="75"/>
  <c r="H38" i="75"/>
  <c r="E38" i="75"/>
  <c r="H37" i="75"/>
  <c r="E37" i="75"/>
  <c r="H36" i="75"/>
  <c r="E36" i="75"/>
  <c r="H35" i="75"/>
  <c r="E35" i="75"/>
  <c r="H34" i="75"/>
  <c r="E34" i="75"/>
  <c r="H33" i="75"/>
  <c r="E33" i="75"/>
  <c r="G32" i="75"/>
  <c r="F32" i="75"/>
  <c r="D32" i="75"/>
  <c r="C32" i="75"/>
  <c r="E32" i="75" s="1"/>
  <c r="H31" i="75"/>
  <c r="E31" i="75"/>
  <c r="H30" i="75"/>
  <c r="E30" i="75"/>
  <c r="H29" i="75"/>
  <c r="E29" i="75"/>
  <c r="H28" i="75"/>
  <c r="E28" i="75"/>
  <c r="H27" i="75"/>
  <c r="E27" i="75"/>
  <c r="H26" i="75"/>
  <c r="E26" i="75"/>
  <c r="H25" i="75"/>
  <c r="E25" i="75"/>
  <c r="H24" i="75"/>
  <c r="E24" i="75"/>
  <c r="H23" i="75"/>
  <c r="E23" i="75"/>
  <c r="G22" i="75"/>
  <c r="G19" i="75" s="1"/>
  <c r="F22" i="75"/>
  <c r="H22" i="75" s="1"/>
  <c r="D22" i="75"/>
  <c r="C22" i="75"/>
  <c r="E22" i="75" s="1"/>
  <c r="H21" i="75"/>
  <c r="E21" i="75"/>
  <c r="H20" i="75"/>
  <c r="E20" i="75"/>
  <c r="D19" i="75"/>
  <c r="H18" i="75"/>
  <c r="E18" i="75"/>
  <c r="H17" i="75"/>
  <c r="E17" i="75"/>
  <c r="G16" i="75"/>
  <c r="F16" i="75"/>
  <c r="H16" i="75" s="1"/>
  <c r="D16" i="75"/>
  <c r="C16" i="75"/>
  <c r="E16" i="75" s="1"/>
  <c r="H15" i="75"/>
  <c r="E15" i="75"/>
  <c r="H14" i="75"/>
  <c r="E14" i="75"/>
  <c r="G13" i="75"/>
  <c r="F13" i="75"/>
  <c r="H13" i="75" s="1"/>
  <c r="E13" i="75"/>
  <c r="D13" i="75"/>
  <c r="C13" i="75"/>
  <c r="H12" i="75"/>
  <c r="E12" i="75"/>
  <c r="H11" i="75"/>
  <c r="E11" i="75"/>
  <c r="H10" i="75"/>
  <c r="E10" i="75"/>
  <c r="H9" i="75"/>
  <c r="E9" i="75"/>
  <c r="H8" i="75"/>
  <c r="E8" i="75"/>
  <c r="C6" i="73" s="1"/>
  <c r="C28" i="79" s="1"/>
  <c r="G7" i="75"/>
  <c r="H7" i="75" s="1"/>
  <c r="F7" i="75"/>
  <c r="D7" i="75"/>
  <c r="C7" i="75"/>
  <c r="E7" i="75" s="1"/>
  <c r="D14" i="74" s="1"/>
  <c r="B2" i="75"/>
  <c r="B2" i="53"/>
  <c r="G14" i="62"/>
  <c r="F14" i="62"/>
  <c r="D14" i="62"/>
  <c r="C14" i="62"/>
  <c r="B2" i="62"/>
  <c r="C23" i="69" l="1"/>
  <c r="H45" i="75"/>
  <c r="H32" i="75"/>
  <c r="E45" i="75"/>
  <c r="F19" i="75"/>
  <c r="H19" i="75" s="1"/>
  <c r="C19" i="75"/>
  <c r="E19" i="75" s="1"/>
  <c r="G33" i="80" l="1"/>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G21" i="80" s="1"/>
  <c r="F8" i="80"/>
  <c r="E8" i="80"/>
  <c r="D8" i="80"/>
  <c r="C8" i="80"/>
  <c r="G39" i="80" l="1"/>
  <c r="C5" i="6"/>
  <c r="G5" i="6"/>
  <c r="F5" i="6"/>
  <c r="E5" i="6"/>
  <c r="D5" i="6"/>
  <c r="G5" i="71"/>
  <c r="F5" i="71"/>
  <c r="E5" i="71"/>
  <c r="D5" i="71"/>
  <c r="C5" i="71"/>
  <c r="C12" i="79" l="1"/>
  <c r="C21" i="77" l="1"/>
  <c r="D16" i="77"/>
  <c r="D17" i="77"/>
  <c r="D15" i="77"/>
  <c r="D12" i="77"/>
  <c r="D13" i="77"/>
  <c r="D11" i="77"/>
  <c r="D8" i="77"/>
  <c r="D9" i="77"/>
  <c r="D7" i="77"/>
  <c r="C20" i="77"/>
  <c r="C19" i="77"/>
  <c r="D21" i="77" l="1"/>
  <c r="D19" i="77"/>
  <c r="D20" i="77"/>
  <c r="C30" i="79"/>
  <c r="C26" i="79"/>
  <c r="C18" i="79"/>
  <c r="C8" i="79"/>
  <c r="C36" i="79" l="1"/>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D21" i="72" l="1"/>
  <c r="G22" i="74" l="1"/>
  <c r="F22" i="74"/>
  <c r="G61" i="53" l="1"/>
  <c r="F61" i="53"/>
  <c r="D61" i="53"/>
  <c r="C61" i="53"/>
  <c r="G53" i="53"/>
  <c r="F53" i="53"/>
  <c r="D53" i="53"/>
  <c r="C53" i="53"/>
  <c r="G34" i="53"/>
  <c r="G45" i="53" s="1"/>
  <c r="F34" i="53"/>
  <c r="F45" i="53" s="1"/>
  <c r="D34" i="53"/>
  <c r="D45" i="53" s="1"/>
  <c r="D54" i="53" s="1"/>
  <c r="C34" i="53"/>
  <c r="C45" i="53" s="1"/>
  <c r="F54" i="53" l="1"/>
  <c r="C54" i="53"/>
  <c r="G54" i="53"/>
  <c r="G30" i="53"/>
  <c r="F30" i="53"/>
  <c r="D30" i="53"/>
  <c r="C30" i="53"/>
  <c r="G9" i="53"/>
  <c r="G22" i="53" s="1"/>
  <c r="F9" i="53"/>
  <c r="F22" i="53" s="1"/>
  <c r="D9" i="53"/>
  <c r="D22" i="53" s="1"/>
  <c r="D31" i="53" s="1"/>
  <c r="D56" i="53" s="1"/>
  <c r="D63" i="53" s="1"/>
  <c r="D65" i="53" s="1"/>
  <c r="D67" i="53" s="1"/>
  <c r="C9" i="53"/>
  <c r="C22" i="53" s="1"/>
  <c r="D31" i="62"/>
  <c r="D41" i="62" s="1"/>
  <c r="C31" i="62"/>
  <c r="C41" i="62" s="1"/>
  <c r="C20" i="62"/>
  <c r="G31" i="53" l="1"/>
  <c r="G56" i="53" s="1"/>
  <c r="G63" i="53" s="1"/>
  <c r="G65" i="53" s="1"/>
  <c r="G67" i="53" s="1"/>
  <c r="C31" i="53"/>
  <c r="C56" i="53" s="1"/>
  <c r="C63" i="53" s="1"/>
  <c r="C65" i="53" s="1"/>
  <c r="C67" i="53" s="1"/>
  <c r="E22" i="53"/>
  <c r="F31" i="53"/>
  <c r="F56" i="53" s="1"/>
  <c r="F63" i="53" s="1"/>
  <c r="F65" i="53" s="1"/>
  <c r="F67" i="53" s="1"/>
  <c r="H22" i="53"/>
  <c r="G31" i="62"/>
  <c r="G41" i="62" s="1"/>
  <c r="F31" i="62"/>
  <c r="F41" i="62" s="1"/>
  <c r="F20" i="62"/>
  <c r="G20" i="62"/>
  <c r="D20" i="62"/>
  <c r="E41" i="62" l="1"/>
  <c r="E31" i="62"/>
  <c r="D22" i="74"/>
  <c r="E22" i="74"/>
  <c r="H22" i="74" s="1"/>
  <c r="C43" i="28" l="1"/>
  <c r="C31" i="28" l="1"/>
  <c r="C30" i="28" s="1"/>
  <c r="C47" i="28" l="1"/>
  <c r="C52" i="28" s="1"/>
  <c r="C35" i="28"/>
  <c r="C41" i="28" s="1"/>
  <c r="C12" i="28"/>
  <c r="H21" i="53" l="1"/>
  <c r="H67" i="53"/>
  <c r="H66" i="53"/>
  <c r="H65" i="53"/>
  <c r="H64" i="53"/>
  <c r="H63" i="53"/>
  <c r="H61" i="53"/>
  <c r="H60" i="53"/>
  <c r="H59" i="53"/>
  <c r="H58" i="53"/>
  <c r="H56" i="53"/>
  <c r="H54" i="53"/>
  <c r="H53" i="53"/>
  <c r="H52" i="53"/>
  <c r="H51" i="53"/>
  <c r="H50" i="53"/>
  <c r="H49" i="53"/>
  <c r="H48" i="53"/>
  <c r="H47" i="53"/>
  <c r="H45" i="53"/>
  <c r="H44" i="53"/>
  <c r="H43" i="53"/>
  <c r="H42" i="53"/>
  <c r="H41" i="53"/>
  <c r="H40" i="53"/>
  <c r="H39" i="53"/>
  <c r="H38" i="53"/>
  <c r="H37" i="53"/>
  <c r="H36" i="53"/>
  <c r="H35" i="53"/>
  <c r="H34" i="53"/>
  <c r="H31" i="53"/>
  <c r="H30" i="53"/>
  <c r="H29" i="53"/>
  <c r="H28" i="53"/>
  <c r="H27" i="53"/>
  <c r="H26" i="53"/>
  <c r="H25" i="53"/>
  <c r="H24" i="53"/>
  <c r="H20" i="53"/>
  <c r="H19" i="53"/>
  <c r="H18" i="53"/>
  <c r="H17" i="53"/>
  <c r="H16" i="53"/>
  <c r="H15" i="53"/>
  <c r="H14" i="53"/>
  <c r="H13" i="53"/>
  <c r="H12" i="53"/>
  <c r="H11" i="53"/>
  <c r="H10" i="53"/>
  <c r="H9" i="53"/>
  <c r="H8" i="53"/>
  <c r="E24" i="53"/>
  <c r="E25" i="53"/>
  <c r="E26" i="53"/>
  <c r="E27" i="53"/>
  <c r="E28" i="53"/>
  <c r="E29" i="53"/>
  <c r="E30" i="53"/>
  <c r="E31" i="53"/>
  <c r="E34" i="53"/>
  <c r="E35" i="53"/>
  <c r="E36" i="53"/>
  <c r="E37" i="53"/>
  <c r="E38" i="53"/>
  <c r="E39" i="53"/>
  <c r="E40" i="53"/>
  <c r="E41" i="53"/>
  <c r="E42" i="53"/>
  <c r="E43" i="53"/>
  <c r="E44" i="53"/>
  <c r="E45" i="53"/>
  <c r="E47" i="53"/>
  <c r="E48" i="53"/>
  <c r="E49" i="53"/>
  <c r="E50" i="53"/>
  <c r="E51" i="53"/>
  <c r="E52" i="53"/>
  <c r="E53" i="53"/>
  <c r="E54" i="53"/>
  <c r="E56" i="53"/>
  <c r="E58" i="53"/>
  <c r="E59" i="53"/>
  <c r="E60" i="53"/>
  <c r="E61" i="53"/>
  <c r="E63" i="53"/>
  <c r="E64" i="53"/>
  <c r="E65" i="53"/>
  <c r="E66" i="53"/>
  <c r="E67" i="53"/>
  <c r="E9" i="53"/>
  <c r="E10" i="53"/>
  <c r="E11" i="53"/>
  <c r="E12" i="53"/>
  <c r="E13" i="53"/>
  <c r="E14" i="53"/>
  <c r="E15" i="53"/>
  <c r="E16" i="53"/>
  <c r="E17" i="53"/>
  <c r="E18" i="53"/>
  <c r="E19" i="53"/>
  <c r="E20" i="53"/>
  <c r="E21" i="53"/>
  <c r="E8" i="53"/>
  <c r="H41" i="62"/>
  <c r="H8" i="62"/>
  <c r="H9" i="62"/>
  <c r="H10" i="62"/>
  <c r="H11" i="62"/>
  <c r="H12" i="62"/>
  <c r="H13" i="62"/>
  <c r="H14" i="62"/>
  <c r="H15" i="62"/>
  <c r="H16" i="62"/>
  <c r="H17" i="62"/>
  <c r="H18" i="62"/>
  <c r="H19" i="62"/>
  <c r="H20" i="62"/>
  <c r="H22" i="62"/>
  <c r="H23" i="62"/>
  <c r="H24" i="62"/>
  <c r="H25" i="62"/>
  <c r="H26" i="62"/>
  <c r="H27" i="62"/>
  <c r="H28" i="62"/>
  <c r="H29" i="62"/>
  <c r="H30" i="62"/>
  <c r="H31" i="62"/>
  <c r="H33" i="62"/>
  <c r="H34" i="62"/>
  <c r="H35" i="62"/>
  <c r="H36" i="62"/>
  <c r="H37" i="62"/>
  <c r="H38" i="62"/>
  <c r="H39" i="62"/>
  <c r="H40" i="62"/>
  <c r="H7" i="62"/>
  <c r="E33" i="62"/>
  <c r="C7" i="28" s="1"/>
  <c r="C38" i="69" s="1"/>
  <c r="E34" i="62"/>
  <c r="E35" i="62"/>
  <c r="E36" i="62"/>
  <c r="E37" i="62"/>
  <c r="E38" i="62"/>
  <c r="C11" i="28" s="1"/>
  <c r="C43" i="69" s="1"/>
  <c r="E39" i="62"/>
  <c r="E40" i="62"/>
  <c r="E23" i="62"/>
  <c r="C27" i="69" s="1"/>
  <c r="E24" i="62"/>
  <c r="C28" i="69" s="1"/>
  <c r="E25" i="62"/>
  <c r="C29" i="69" s="1"/>
  <c r="E26" i="62"/>
  <c r="C30" i="69" s="1"/>
  <c r="E27" i="62"/>
  <c r="C31" i="69" s="1"/>
  <c r="E28" i="62"/>
  <c r="C32" i="69" s="1"/>
  <c r="E29" i="62"/>
  <c r="C33" i="69" s="1"/>
  <c r="E30" i="62"/>
  <c r="C35" i="69" s="1"/>
  <c r="E22" i="62"/>
  <c r="C26" i="69" s="1"/>
  <c r="C37" i="69" s="1"/>
  <c r="E8" i="62"/>
  <c r="E9" i="62"/>
  <c r="E10" i="62"/>
  <c r="E11" i="62"/>
  <c r="E12" i="62"/>
  <c r="E13" i="62"/>
  <c r="E14" i="62"/>
  <c r="C15" i="72" s="1"/>
  <c r="E15" i="72" s="1"/>
  <c r="E15" i="62"/>
  <c r="E16" i="62"/>
  <c r="E17" i="62"/>
  <c r="E18" i="62"/>
  <c r="E19" i="62"/>
  <c r="E20" i="62"/>
  <c r="E7" i="62"/>
  <c r="C6" i="28" l="1"/>
  <c r="C28" i="28" s="1"/>
  <c r="C35" i="79" s="1"/>
  <c r="C38" i="79" s="1"/>
  <c r="C24" i="69"/>
  <c r="C20" i="72"/>
  <c r="E20" i="72" s="1"/>
  <c r="C19" i="72"/>
  <c r="E19" i="72" s="1"/>
  <c r="C22" i="69"/>
  <c r="C17" i="69"/>
  <c r="C17" i="72"/>
  <c r="E17" i="72" s="1"/>
  <c r="C16" i="72"/>
  <c r="E16" i="72" s="1"/>
  <c r="C16" i="69"/>
  <c r="C18" i="72"/>
  <c r="E18" i="72" s="1"/>
  <c r="C18" i="69"/>
  <c r="C11" i="69"/>
  <c r="C13" i="72"/>
  <c r="E13" i="72" s="1"/>
  <c r="C12" i="72"/>
  <c r="E12" i="72" s="1"/>
  <c r="C10" i="69"/>
  <c r="C11" i="72"/>
  <c r="E11" i="72" s="1"/>
  <c r="C9" i="69"/>
  <c r="C7" i="69"/>
  <c r="C9" i="72"/>
  <c r="E9" i="72" s="1"/>
  <c r="C8" i="72"/>
  <c r="C6" i="69"/>
  <c r="C14" i="72"/>
  <c r="E14" i="72" s="1"/>
  <c r="C12" i="69"/>
  <c r="C10" i="72"/>
  <c r="E10" i="72" s="1"/>
  <c r="C8" i="69"/>
  <c r="C45" i="69"/>
  <c r="E8" i="72" l="1"/>
  <c r="E21" i="72" s="1"/>
  <c r="C5" i="73" s="1"/>
  <c r="C8" i="73" s="1"/>
  <c r="C13" i="73" s="1"/>
  <c r="C21" i="72"/>
  <c r="C15" i="69"/>
  <c r="C25" i="69" s="1"/>
</calcChain>
</file>

<file path=xl/sharedStrings.xml><?xml version="1.0" encoding="utf-8"?>
<sst xmlns="http://schemas.openxmlformats.org/spreadsheetml/2006/main" count="1515" uniqueCount="989">
  <si>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</si>
  <si>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</si>
  <si>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</si>
  <si>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</si>
  <si>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</si>
  <si>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</si>
  <si>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</si>
  <si>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</si>
  <si>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</si>
  <si>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</si>
  <si>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</si>
  <si>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</si>
  <si>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</si>
  <si>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</si>
  <si>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</si>
  <si>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</si>
  <si>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</si>
  <si>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</si>
  <si>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</si>
  <si>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</si>
  <si>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</si>
  <si>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</si>
  <si>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</si>
  <si>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</si>
  <si>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</si>
  <si>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</si>
  <si>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</si>
  <si>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</si>
  <si>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</si>
  <si>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</si>
  <si>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</si>
  <si>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</si>
  <si>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</si>
  <si>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</si>
  <si>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</si>
  <si>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</si>
  <si>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</si>
  <si>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</si>
  <si>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</si>
  <si>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</si>
  <si>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</si>
  <si>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</si>
  <si>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</si>
  <si>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</si>
  <si>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</si>
  <si>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</si>
  <si>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</si>
  <si>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</si>
  <si>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</si>
  <si>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</si>
  <si>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</si>
  <si>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</si>
  <si>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</si>
  <si>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</si>
  <si>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</si>
  <si>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</si>
  <si>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</si>
  <si>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</si>
  <si>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</si>
  <si>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</si>
  <si>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</si>
  <si>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</si>
  <si>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</si>
  <si>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</si>
  <si>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</si>
  <si>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</si>
  <si>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</si>
  <si>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</si>
  <si>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</si>
  <si>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</si>
  <si>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</si>
  <si>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</si>
  <si>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</si>
  <si>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</si>
  <si>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</si>
  <si>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</si>
  <si>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</si>
  <si>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</si>
  <si>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</si>
  <si>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</si>
  <si>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</si>
  <si>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</si>
  <si>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</si>
  <si>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</si>
  <si>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</si>
  <si>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</si>
  <si>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</si>
  <si>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</si>
  <si>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</si>
  <si>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</si>
  <si>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</si>
  <si>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</si>
  <si>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</si>
  <si>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</si>
  <si>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</si>
  <si>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</si>
  <si>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</si>
  <si>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</si>
  <si>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</si>
  <si>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</si>
  <si>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</si>
  <si>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</si>
  <si>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</si>
  <si>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</si>
  <si>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</si>
  <si>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</si>
  <si>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</si>
  <si>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</si>
  <si>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</si>
  <si>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</si>
  <si>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</si>
  <si>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</si>
  <si>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</si>
  <si>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</si>
  <si>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</si>
  <si>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</si>
  <si>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</si>
  <si>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</si>
  <si>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</si>
  <si>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</si>
  <si>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</si>
  <si>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</si>
  <si>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</si>
  <si>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</si>
  <si>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</si>
  <si>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</si>
  <si>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</si>
  <si>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</si>
  <si>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</si>
  <si>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</si>
  <si>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</si>
  <si>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</si>
  <si>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</si>
  <si>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</si>
  <si>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</si>
  <si>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</si>
  <si>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</si>
  <si>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</si>
  <si>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</si>
  <si>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</si>
  <si>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</si>
  <si>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</si>
  <si>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</si>
  <si>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</si>
  <si>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</si>
  <si>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</si>
  <si>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</si>
  <si>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</si>
  <si>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</si>
  <si>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</si>
  <si>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</si>
  <si>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</si>
  <si>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</si>
  <si>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</si>
  <si>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</si>
  <si>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</si>
  <si>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</si>
  <si>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</si>
  <si>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</si>
  <si>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</si>
  <si>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</si>
  <si>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</si>
  <si>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</si>
  <si>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</si>
  <si>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</si>
  <si>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</si>
  <si>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</si>
  <si>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</si>
  <si>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</si>
  <si>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</si>
  <si>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</si>
  <si>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</si>
  <si>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</si>
  <si>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</si>
  <si>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</si>
  <si>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</si>
  <si>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</si>
  <si>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</si>
  <si>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</si>
  <si>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</si>
  <si>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</si>
  <si>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</si>
  <si>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</si>
  <si>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</si>
  <si>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</si>
  <si>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</si>
  <si>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</si>
  <si>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</si>
  <si>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</si>
  <si>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</si>
  <si>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</si>
  <si>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</si>
  <si>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</si>
  <si>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</si>
  <si>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</si>
  <si>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</si>
  <si>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</si>
  <si>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</si>
  <si>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</si>
  <si>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</si>
  <si>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</si>
  <si>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</si>
  <si>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</si>
  <si>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</si>
  <si>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</si>
  <si>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</si>
  <si>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</si>
  <si>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</si>
  <si>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</si>
  <si>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</si>
  <si>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</si>
  <si>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</si>
  <si>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</si>
  <si>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</si>
  <si>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</si>
  <si>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</si>
  <si>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</si>
  <si>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</si>
  <si>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</si>
  <si>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</si>
  <si>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</si>
  <si>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</si>
  <si>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</si>
  <si>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</si>
  <si>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</si>
  <si>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</si>
  <si>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</si>
  <si>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</si>
  <si>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</si>
  <si>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</si>
  <si>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</si>
  <si>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</si>
  <si>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</si>
  <si>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</si>
  <si>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</si>
  <si>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</si>
  <si>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</si>
  <si>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</si>
  <si>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</si>
  <si>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</si>
  <si>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</si>
  <si>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</si>
  <si>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</si>
  <si>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</si>
  <si>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</si>
  <si>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</si>
  <si>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</si>
  <si>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</si>
  <si>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</si>
  <si>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</si>
  <si>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</si>
  <si>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</si>
  <si>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</si>
  <si>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</si>
  <si>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</si>
  <si>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</si>
  <si>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</si>
  <si>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</si>
  <si>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</si>
  <si>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</si>
  <si>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</si>
  <si>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</si>
  <si>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</si>
  <si>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</si>
  <si>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</si>
  <si>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</si>
  <si>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</si>
  <si>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</si>
  <si>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</si>
  <si>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</si>
  <si>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</si>
  <si>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</si>
  <si>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</si>
  <si>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</si>
  <si>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</si>
  <si>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</si>
  <si>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</si>
  <si>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</si>
  <si>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</si>
  <si>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</si>
  <si>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</si>
  <si>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</si>
  <si>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</si>
  <si>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</si>
  <si>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</si>
  <si>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</si>
  <si>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</si>
  <si>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</si>
  <si>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</si>
  <si>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</si>
  <si>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</si>
  <si>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</si>
  <si>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</si>
  <si>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</si>
  <si>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</si>
  <si>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</si>
  <si>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</si>
  <si>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</si>
  <si>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</si>
  <si>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</si>
  <si>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</si>
  <si>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</si>
  <si>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</si>
  <si>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</si>
  <si>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</si>
  <si>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</si>
  <si>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</si>
  <si>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</si>
  <si>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</si>
  <si>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</si>
  <si>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</si>
  <si>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</si>
  <si>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</si>
  <si>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</si>
  <si>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</si>
  <si>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</si>
  <si>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</si>
  <si>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</si>
  <si>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</si>
  <si>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</si>
  <si>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</si>
  <si>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</si>
  <si>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</si>
  <si>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</si>
  <si>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</si>
  <si>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</si>
  <si>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</si>
  <si>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</si>
  <si>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</si>
  <si>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</si>
  <si>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</si>
  <si>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</si>
  <si>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</si>
  <si>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</si>
  <si>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</si>
  <si>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</si>
  <si>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</si>
  <si>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</si>
  <si>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</si>
  <si>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</si>
  <si>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</si>
  <si>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</si>
  <si>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</si>
  <si>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</si>
  <si>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</si>
  <si>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</si>
  <si>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</si>
  <si>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</si>
  <si>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</si>
  <si>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</si>
  <si>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</si>
  <si>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</si>
  <si>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</si>
  <si>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</si>
  <si>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</si>
  <si>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</si>
  <si>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</si>
  <si>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</si>
  <si>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</si>
  <si>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</si>
  <si>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</si>
  <si>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</si>
  <si>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</si>
  <si>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</si>
  <si>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</si>
  <si>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</si>
  <si>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</si>
  <si>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</si>
  <si>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</si>
  <si>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</si>
  <si>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</si>
  <si>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</si>
  <si>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</si>
  <si>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</si>
  <si>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</si>
  <si>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</si>
  <si>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</si>
  <si>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</si>
  <si>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</si>
  <si>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</si>
  <si>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</si>
  <si>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</si>
  <si>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</si>
  <si>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</si>
  <si>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</si>
  <si>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</si>
  <si>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</si>
  <si>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</si>
  <si>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</si>
  <si>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</si>
  <si>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</si>
  <si>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</si>
  <si>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</si>
  <si>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</si>
  <si>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</si>
  <si>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</si>
  <si>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</si>
  <si>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</si>
  <si>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</si>
  <si>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</si>
  <si>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</si>
  <si>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</si>
  <si>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</si>
  <si>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</si>
  <si>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</si>
  <si>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</si>
  <si>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</si>
  <si>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</si>
  <si>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</si>
  <si>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</si>
  <si>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</si>
  <si>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</si>
  <si>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</si>
  <si>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</si>
  <si>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</si>
  <si>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</si>
  <si>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</si>
  <si>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</si>
  <si>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</si>
  <si>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</si>
  <si>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</si>
  <si>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</si>
  <si>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</si>
  <si>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</si>
  <si>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</si>
  <si>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</si>
  <si>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</si>
  <si>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</si>
  <si>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</si>
  <si>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</si>
  <si>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</si>
  <si>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</si>
  <si>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</si>
  <si>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</si>
  <si>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</si>
  <si>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</si>
  <si>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</si>
  <si>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</si>
  <si>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</si>
  <si>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</si>
  <si>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</si>
  <si>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</si>
  <si>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</si>
  <si>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</si>
  <si>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</si>
  <si>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</si>
  <si>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</si>
  <si>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</si>
  <si>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</si>
  <si>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</si>
  <si>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</si>
  <si>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</si>
  <si>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</si>
  <si>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</si>
  <si>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</si>
  <si>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</si>
  <si>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</si>
  <si>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</si>
  <si>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</si>
  <si>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</si>
  <si>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</si>
  <si>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</si>
  <si>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</si>
  <si>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</si>
  <si>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</si>
  <si>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</si>
  <si>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</si>
  <si>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</si>
  <si>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</si>
  <si>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</si>
  <si>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</si>
  <si>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</si>
  <si>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</si>
  <si>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</si>
  <si>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</si>
  <si>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</si>
  <si>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</si>
  <si>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</si>
  <si>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</si>
  <si>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</si>
  <si>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</si>
  <si>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</si>
  <si>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</si>
  <si>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</si>
  <si>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</si>
  <si>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</si>
  <si>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</si>
  <si>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</si>
  <si>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</si>
  <si>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</si>
  <si>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</si>
  <si>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</si>
  <si>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</si>
  <si>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</si>
  <si>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</si>
  <si>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</si>
  <si>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</si>
  <si>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</si>
  <si>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</si>
  <si>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</si>
  <si>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</si>
  <si>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</si>
  <si>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</si>
  <si>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</si>
  <si>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</si>
  <si>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</si>
  <si>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</si>
  <si>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</si>
  <si>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</si>
  <si>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</si>
  <si>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</si>
  <si>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</si>
  <si>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</si>
  <si>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</si>
  <si>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</si>
  <si>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</si>
  <si>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</si>
  <si>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</si>
  <si>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</si>
  <si>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</si>
  <si>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</si>
  <si>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</si>
  <si>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</si>
  <si>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</si>
  <si>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</si>
  <si>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</si>
  <si>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</si>
  <si>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</si>
  <si>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</si>
  <si>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</si>
  <si>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</si>
  <si>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</si>
  <si>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</si>
  <si>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</si>
  <si>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</si>
  <si>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</si>
  <si>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</si>
  <si>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</si>
  <si>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</si>
  <si>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</si>
  <si>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</si>
  <si>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</si>
  <si>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</si>
  <si>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</si>
  <si>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</si>
  <si>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</si>
  <si>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</si>
  <si>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</si>
  <si>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</si>
  <si>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</si>
  <si>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</si>
  <si>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</si>
  <si>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</si>
  <si>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</si>
  <si>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</si>
  <si>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</si>
  <si>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</si>
  <si>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</si>
  <si>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</si>
  <si>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</si>
  <si>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</si>
  <si>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</si>
  <si>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</si>
  <si>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</si>
  <si>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</si>
  <si>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</si>
  <si>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</si>
  <si>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</si>
  <si>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</si>
  <si>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</si>
  <si>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</si>
  <si>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</si>
  <si>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</si>
  <si>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</si>
  <si>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</si>
  <si>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</si>
  <si>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</si>
  <si>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</si>
  <si>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</si>
  <si>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</si>
  <si>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</si>
  <si>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</si>
  <si>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</si>
  <si>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</si>
  <si>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</si>
  <si>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</si>
  <si>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</si>
  <si>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</si>
  <si>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</si>
  <si>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</si>
  <si>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</si>
  <si>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</si>
  <si>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</si>
  <si>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</si>
  <si>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</si>
  <si>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</si>
  <si>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</si>
  <si>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</si>
  <si>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</si>
  <si>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</si>
  <si>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</si>
  <si>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</si>
  <si>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</si>
  <si>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</si>
  <si>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</si>
  <si>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</si>
  <si>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</si>
  <si>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</si>
  <si>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</si>
  <si>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</si>
  <si>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</si>
  <si>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</si>
  <si>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</si>
  <si>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</si>
  <si>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</si>
  <si>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</si>
  <si>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</si>
  <si>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</si>
  <si>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</si>
  <si>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</si>
  <si>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</si>
  <si>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</si>
  <si>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</si>
  <si>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</si>
  <si>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</si>
  <si>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</si>
  <si>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</si>
  <si>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</si>
  <si>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</si>
  <si>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</si>
  <si>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</si>
  <si>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</si>
  <si>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</si>
  <si>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</si>
  <si>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</si>
  <si>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</si>
  <si>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</si>
  <si>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</si>
  <si>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</si>
  <si>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</si>
  <si>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</si>
  <si>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</si>
  <si>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</si>
  <si>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</si>
  <si>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</si>
  <si>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</si>
  <si>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</si>
  <si>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</si>
  <si>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</si>
  <si>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</si>
  <si>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</si>
  <si>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</si>
  <si>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</si>
  <si>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</si>
  <si>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</si>
  <si>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</si>
  <si>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</si>
  <si>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</si>
  <si>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</si>
  <si>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</si>
  <si>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</si>
  <si>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</si>
  <si>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</si>
  <si>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</si>
  <si>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</si>
  <si>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</si>
  <si>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</si>
  <si>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</si>
  <si>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</si>
  <si>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</si>
  <si>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</si>
  <si>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</si>
  <si>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</si>
  <si>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</si>
  <si>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</si>
  <si>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</si>
  <si>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</si>
  <si>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</si>
  <si>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</si>
  <si>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</si>
  <si>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</si>
  <si>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</si>
  <si>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</si>
  <si>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 xml:space="preserve">                                                                                                                                      საბალანსო აქტივები                                                                                                                        
                                                                                                                                                                                                                                                                                                            რისკის კლასები</t>
  </si>
  <si>
    <t xml:space="preserve">მთლიანი ღირებულება </t>
  </si>
  <si>
    <t>სპეციალური რეზერვი</t>
  </si>
  <si>
    <t>საერთო რეზერვი</t>
  </si>
  <si>
    <t>დამატებითი საერთო რეზერვი</t>
  </si>
  <si>
    <t>კუმულატიური ჩამოწერა ანგარიშგების პერიოდზე</t>
  </si>
  <si>
    <t>საბალანსო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</si>
  <si>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</si>
  <si>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</si>
  <si>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(ა+ბ-გ-დ-ე)</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</si>
  <si>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</si>
  <si>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</si>
  <si>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</si>
  <si>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</si>
  <si>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</si>
  <si>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</si>
  <si>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</si>
  <si>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</si>
  <si>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</si>
  <si>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</si>
  <si>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</si>
  <si>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</si>
  <si>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</si>
  <si>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</si>
  <si>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</si>
  <si>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</si>
  <si>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</si>
  <si>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</si>
  <si>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</si>
  <si>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</si>
  <si>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</si>
  <si>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</si>
  <si>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</si>
  <si>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</si>
  <si>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</si>
  <si>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</si>
  <si>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</si>
  <si>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</si>
  <si>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</si>
  <si>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</si>
  <si>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</si>
  <si>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რეზერვის ცვლილება სესხებზე და კორპორატიულ სავალო ფასიანი ქაღალდებზე</t>
  </si>
  <si>
    <t>აქტივების შესაძლო დანაკარგების რეზერვის ცვლილება სესხებზე ანგარიშგების პერიოდზე</t>
  </si>
  <si>
    <t>აქტივების შესაძლო დანაკარგების რეზერვის ცვლილება კორპორატიულ სავალო ფასიანი ქაღალდებზე ანგარიშგების პერიოდზე</t>
  </si>
  <si>
    <t>აქტივების შესაძლო დანაკარგების რეზერვის ნაშთი საანგარიშგებო პერიოდის დასაწყისისათვის</t>
  </si>
  <si>
    <t>ანარიცხები აქტივების შესაძლო დანაკარგების რეზერვში</t>
  </si>
  <si>
    <t>ახალი დასარეზერვებელი აქტივების წარმოშობის შედეგად</t>
  </si>
  <si>
    <t>აქტივების დაბალ ხარისხად კლასიფიკაციის შედეგად</t>
  </si>
  <si>
    <t>სავალუტო აქტივების დამატებითი დარეზერვება ლარის მიმართ უცხოური ვალუტის ცვლილების შედეგად</t>
  </si>
  <si>
    <t>დამატებითი საერთო რეზერვის ზრდის შედეგად</t>
  </si>
  <si>
    <t>აქტივების შესაძლო დანაკარგების რეზერვის შემცირება</t>
  </si>
  <si>
    <t>აქტივების ჩამოწერის შედეგად</t>
  </si>
  <si>
    <t>სტანდარტული აქტივების დაფარვის შედეგად</t>
  </si>
  <si>
    <t>ნეგატიურად კლასიფიცირებული აქტივების დაფარვის შედეგად</t>
  </si>
  <si>
    <t>აქტივების მაღალ ხარისხად კლასიფიკაციის შედეგად</t>
  </si>
  <si>
    <t>აქტივების შესაძლო დანაკარგების რეზერვის შემცირება ლარის მიმართ უცხოური ვალუტის ცვლილების შედეგად</t>
  </si>
  <si>
    <t>დამატებითი საერთო რეზერვის შემცირების შედეგად</t>
  </si>
  <si>
    <t>აქტივების შესაძლო დანაკარგების რეზერვის ნაშთი საანგარიშგებო პერიოდის ბოლოსათვის</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</si>
  <si>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</si>
  <si>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</si>
  <si>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</si>
  <si>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</si>
  <si>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</si>
  <si>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</si>
  <si>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</si>
  <si>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</si>
  <si>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სტანდარტულად კლასიფიცირების შედეგად</t>
  </si>
  <si>
    <t>პერიოდის მანძილზე უმოქმედოდ კლასიფიცირებული სესხების შემცირება, საყურადღებოდ კლასიფიცირების შედეგად</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</si>
  <si>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</si>
  <si>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</si>
  <si>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</si>
  <si>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</si>
  <si>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</si>
  <si>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</si>
  <si>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</si>
  <si>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</si>
  <si>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</si>
  <si>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დარეზერვებამდებამდე</t>
  </si>
  <si>
    <t xml:space="preserve">სტანდარტულად კლასიფიცირებული </t>
  </si>
  <si>
    <t>საყურადღებოდ კლასიფიცირებული</t>
  </si>
  <si>
    <t>უმოქმედოდ კლასიფიცირებული</t>
  </si>
  <si>
    <t>ვადაგადაცილება ≤ 30 დღეზე</t>
  </si>
  <si>
    <t>ვადაგადაცილება &gt; 30 დღეზე</t>
  </si>
  <si>
    <t xml:space="preserve">ვადაგადაცილება ≥ 60 დღეზე &lt; 90 დღეზე </t>
  </si>
  <si>
    <t xml:space="preserve">ვადაგადაცილება ≥ 90 დღეზე </t>
  </si>
  <si>
    <t>ვადაგადაცილება &lt; 60 დღეზე</t>
  </si>
  <si>
    <t xml:space="preserve">ვადაგადაცილება ≥ 90 დღეზე &lt; 180 დღეზე </t>
  </si>
  <si>
    <t>ვადაგადაცილება ≥ 180 დღეზე &lt; 1 წელზე</t>
  </si>
  <si>
    <t>ვადაგადაცილება ≥ 1 წელზე &lt;2 წელზე</t>
  </si>
  <si>
    <t>ვადაგადაცილება ≥ 2 წელზე &lt;5 წელზე</t>
  </si>
  <si>
    <t>ვადაგადაცილება ≥ 5 წელზე &lt;7 წელზე</t>
  </si>
  <si>
    <t>ვადაგადაცილება ≥ 7 წელზე</t>
  </si>
  <si>
    <t>მათ შორის უიმედო</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</si>
  <si>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</si>
  <si>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</si>
  <si>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</si>
  <si>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</si>
  <si>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</si>
  <si>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</si>
  <si>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</si>
  <si>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</si>
  <si>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</si>
  <si>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</si>
  <si>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 xml:space="preserve">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t>
  </si>
  <si>
    <t>სესხების მთლიანი ღირებულება</t>
  </si>
  <si>
    <t>სტანდარტულად კლასიფიცირებული სესხები</t>
  </si>
  <si>
    <t>საყურადღებოდ კლასიფიცირებული სესხები</t>
  </si>
  <si>
    <t>უმოქმედოდ კლასიფიცირებული სესხები</t>
  </si>
  <si>
    <t xml:space="preserve">ვადაგადაცილება &gt; 30 დღეზე &lt; 60 დღეზე </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</si>
  <si>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</si>
  <si>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</si>
  <si>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</si>
  <si>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</si>
  <si>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</si>
  <si>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</si>
  <si>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</si>
  <si>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</si>
  <si>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</si>
  <si>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</si>
  <si>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რეზერვი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</si>
  <si>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</si>
  <si>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</si>
  <si>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</si>
  <si>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</si>
  <si>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</si>
  <si>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</si>
  <si>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</si>
  <si>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</si>
  <si>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</si>
  <si>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</si>
  <si>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</si>
  <si>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</si>
  <si>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</si>
  <si>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</si>
  <si>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სპეციალური და საერთო რეზერვი</t>
  </si>
  <si>
    <t>სტანდარტული</t>
  </si>
  <si>
    <t>საყურადღებო</t>
  </si>
  <si>
    <t>არასტანდარტული</t>
  </si>
  <si>
    <t>საეჭვო</t>
  </si>
  <si>
    <t>უიმედო</t>
  </si>
  <si>
    <t xml:space="preserve">სესხები, რომლებზეც არ არის აღრიცხული დაფარვის წყაროს სექტორი </t>
  </si>
  <si>
    <t>ცხრილი 25</t>
  </si>
  <si>
    <t xml:space="preserve">                              მთლიანი/ნომინალური ღირებულება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</si>
  <si>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</si>
  <si>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r>
      <rPr>
        <b/>
        <sz val="9"/>
        <rFont val="Sylfaen"/>
        <family val="1"/>
      </rPr>
      <t>ოქრო/ოქროს ნაკეთობებით უზრუნველყოფილი ვალდებულების საბაზრო ღირებულება</t>
    </r>
  </si>
  <si>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</si>
  <si>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</si>
  <si>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</si>
  <si>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</si>
  <si>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</si>
  <si>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</si>
  <si>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</si>
  <si>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</si>
  <si>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</si>
  <si>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</si>
  <si>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</si>
  <si>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</si>
  <si>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საბალანსო ღირებულება  - საბალანსო ღირებულება ადგილობრივი ბუღალტრული აღრიცხვის წესების მიხედვით (ინდივიდუალური ფინანსური ანგარიშგება)</t>
  </si>
  <si>
    <t>მთლიანი  ღირებულება -  საბალანსო ღირებულება დარეზერვებამდე, ადგილობრივი ბუღალტრული აღრიცხვის წესების მიხედვით (ინდივიდუალური ფინანსური ანგარიშგება)</t>
  </si>
  <si>
    <t>მე- 22 და 25-ე ცხრილებისთვის გარესაბალანსო ვალდებულებები შეივსება ნომინალური ღირებულებით დარეზერვებამდე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</si>
  <si>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</si>
  <si>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</si>
  <si>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</si>
  <si>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</si>
  <si>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</si>
  <si>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</si>
  <si>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</si>
  <si>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</si>
  <si>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</si>
  <si>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</si>
  <si>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</si>
  <si>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</si>
  <si>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</si>
  <si>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</si>
  <si>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</si>
  <si>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</si>
  <si>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</si>
  <si>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</si>
  <si>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</si>
  <si>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</si>
  <si>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</si>
  <si>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</si>
  <si>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</si>
  <si>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</si>
  <si>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</si>
  <si>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აქტივების კლასიფიკაცია</t>
  </si>
  <si>
    <t>სტანდარტული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</si>
  <si>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</si>
  <si>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საყურადღებო აქტივი/სესხი</t>
  </si>
  <si>
    <t>არასტანდარტული აქტივი/სესხი</t>
  </si>
  <si>
    <t>საეჭვო აქტივი/სესხი</t>
  </si>
  <si>
    <t>უიმედო აქტივი/სესხი</t>
  </si>
  <si>
    <t>ნეგატიური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</si>
  <si>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საყურადღებოდ, არასტანდარტულად, საეჭვოდ და უიმედოდ კლასიფიცირებული სესხები</t>
  </si>
  <si>
    <t>უმოქმედო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</si>
  <si>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არასტანდარტულად, საეჭვოდ და უიმედოდ კლასიფიცირებული სესხები</t>
  </si>
  <si>
    <t>განმარტებები გვერდებისთვის  "17"</t>
  </si>
  <si>
    <t>ცხრილი "18 -19"</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</si>
  <si>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</si>
  <si>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</si>
  <si>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</si>
  <si>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</si>
  <si>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ცხრილი "20"</t>
  </si>
  <si>
    <t>აქტივების შესაძლო დანაკარგების რეზერვი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</si>
  <si>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შეივსება შესაბამის კვარტლის ინფორმაცია.</t>
  </si>
  <si>
    <t>ინდივიდუალურად შექმნილი 2%-იანი რეზერვის გარდა არსებული საერთო რეზერვი</t>
  </si>
  <si>
    <t>ცხრილი "21"</t>
  </si>
  <si>
    <t>1</t>
  </si>
  <si>
    <t>უმოქმედო სესხების საწყისი ბალანსი</t>
  </si>
  <si>
    <t>უმოქმედოდ კლასიფიცირებული სესხების ზრდა, სესხების ხარისხის გაუარესებით</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</si>
  <si>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</si>
  <si>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</si>
  <si>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</si>
  <si>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</si>
  <si>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სესხების სტანდარტულად კლასიფიცირების შედეგად</t>
  </si>
  <si>
    <t>უმოქმედოდ კლასიფიცირებული სესხების შემცირება,  სესხების საყურადღებოდ კლასიფიცირების შედეგად</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</si>
  <si>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</si>
  <si>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</si>
  <si>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</si>
  <si>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</si>
  <si>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</si>
  <si>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</si>
  <si>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</si>
  <si>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</si>
  <si>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</si>
  <si>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</si>
  <si>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</si>
  <si>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13</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</si>
  <si>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</si>
  <si>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</si>
  <si>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</si>
  <si>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</si>
  <si>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</si>
  <si>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</si>
  <si>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color theme="1"/>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</si>
  <si>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</si>
  <si>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</si>
  <si>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</si>
  <si>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</si>
  <si>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</si>
  <si>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</si>
  <si>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</si>
  <si>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</si>
  <si>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</si>
  <si>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</si>
  <si>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რეზერვი უზრუნველყოფილ სესხებზე.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1.1 ველში შემავალი სესხების რეზერვი.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</si>
  <si>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</si>
  <si>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</si>
  <si>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</si>
  <si>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</si>
  <si>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</si>
  <si>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</si>
  <si>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რეზერვების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6.01-6.26 პუნქტებში. სესხების კლასიფიკაცია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</si>
  <si>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სექტორში შემავალ სესხებზე, მისი მითითება მოხდება მხოლოდ ჯამის მაჩვენებელი უჯრაში O33.</t>
  </si>
  <si>
    <t>ცხრილი "25"</t>
  </si>
  <si>
    <t>რისკის პოზიციის ღირებულება ნარჩენი ვადიანობის  და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</si>
  <si>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</si>
  <si>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t>
  </si>
  <si>
    <t>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t>
  </si>
  <si>
    <t>სესხების და სესხებზე რეზერვის განაწილება, დაფარვის წყაროს სექტორების და კლასიფიკაციის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</si>
  <si>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</si>
  <si>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</si>
  <si>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</si>
  <si>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</si>
  <si>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</si>
  <si>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</si>
  <si>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ვადაგადაცილებული სესხი/ფასიანი ქაღალდი</t>
  </si>
  <si>
    <t>სესხების მთლიანი ღირებულება,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</si>
  <si>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t>
  </si>
  <si>
    <t>შეივსება შესაბამის კვარტლის ინფორმაცია. უმოქმედო სესხების ცვლილების მიზნებისთვის ერთი სესხის ჭრილში კურსის ეფექტი პერიოდზე შეივსება მხოლოდ ზრდაში ან შემცირებაში.</t>
  </si>
  <si>
    <t>სესხების და კორპორატიული სავალო ფასიანი ქაღალდების მთლიანი ღირებულება, გარესაბალანსო ვალდებულებები შეივსება ნომინალური ღირებულებით დარეზერვებამდე,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</si>
  <si>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განმარტებები გვერდებისთვის  "17-25"</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</si>
  <si>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6.01-6.27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6.01-6.26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 და ა.შ.</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</si>
  <si>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</si>
  <si>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 xml:space="preserve">                                                                                                     საბალანსო აქტივები                                                                                              
                                                                                                                                                                                                             სექტორი დაფარვის წყაროს/კონტრაგენტის ტიპის მიხედვით</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</si>
  <si>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</si>
  <si>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</si>
  <si>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სს იშბანკი საქართველო</t>
  </si>
  <si>
    <t>ოზან გურსოი</t>
  </si>
  <si>
    <t>ოზან გური</t>
  </si>
  <si>
    <t>www.isbank.ge</t>
  </si>
  <si>
    <t>სეზგინ ლულე</t>
  </si>
  <si>
    <t>იავუზ ერგინ</t>
  </si>
  <si>
    <t>ნათია ჯანელიძე</t>
  </si>
  <si>
    <t>ჰუსეინ სერდარ იუჯელ</t>
  </si>
  <si>
    <t>ბანუ ალთუნ</t>
  </si>
  <si>
    <t>ოზან გურ</t>
  </si>
  <si>
    <t>ჰაკან ქურალ</t>
  </si>
  <si>
    <t>უჩა სარალიძე</t>
  </si>
  <si>
    <t>არადამოუკიდებელი თავმჯდომარე</t>
  </si>
  <si>
    <t>არადამოუკიდებელ წევრი</t>
  </si>
  <si>
    <t>დამოუკიდებელი წევრი</t>
  </si>
  <si>
    <t>გენერალური დირექტორი</t>
  </si>
  <si>
    <t>გენერალური დირექტორის მოადგილე</t>
  </si>
  <si>
    <t>ფინანსური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</si>
  <si>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</si>
  <si>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</si>
  <si>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</si>
  <si>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ცხრილი 9 (Capital), N37</t>
  </si>
  <si>
    <t>ცხრილი 9 (Capital), N2</t>
  </si>
  <si>
    <t>ცხრილი 9 (Capital), N6</t>
  </si>
  <si>
    <r>
      <t xml:space="preserve">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t>
    </r>
    <r>
      <rPr>
        <sz val="8"/>
        <color rgb="FFFF0000"/>
        <rFont val="Sylfaen"/>
        <family val="1"/>
      </rPr>
      <t>საფინანსო ინსტიტუტების</t>
    </r>
    <r>
      <rPr>
        <sz val="8"/>
        <rFont val="Sylfaen"/>
        <family val="1"/>
      </rPr>
      <t xml:space="preserve"> სექტორში მოხვდება აქტივები კომერციულ ბანკებში.</t>
    </r>
  </si>
  <si>
    <r>
      <t xml:space="preserve">ცხრილში საბალანსო, </t>
    </r>
    <r>
      <rPr>
        <sz val="8"/>
        <color rgb="FFFF0000"/>
        <rFont val="Sylfaen"/>
        <family val="1"/>
      </rPr>
      <t>შეწონვას დაქვემდებარებული</t>
    </r>
    <r>
      <rPr>
        <sz val="8"/>
        <rFont val="Sylfaen"/>
        <family val="1"/>
      </rPr>
      <t xml:space="preserve"> რისკის პოზიციების ღირებულებები შეივსება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r>
  </si>
  <si>
    <r>
      <t>ცხრილებში საბალანსო ელემენტების მთლიანი ღირებულებების, სპეციალური, საერთო რეზერვების და დამატებითი საერთო რეზერვების, პერიოდის მანძილზე კუმულატიური ჩამოწერის და საბალანსო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6.01-6.27 პუნქტებში.</t>
    </r>
    <r>
      <rPr>
        <sz val="8"/>
        <color rgb="FFFF0000"/>
        <rFont val="Sylfaen"/>
        <family val="1"/>
      </rPr>
      <t xml:space="preserve"> ა და ბ სვეტებში ყველა სტრიქონისთვის, მათ შორის სესხებზე და მათ შორის სავალო ფასიან ქაღალდებზე ღირებულებები შეივსება ბალანსზე არსებული დარიცხული სარგებლით და დარიცხული ჯარიმებით. კუმულატიური ჩამოწერის სვეტში არ გაითვალისწინება დარიცხული სარგებლის და ჯარიმის ჩამოწერა.</t>
    </r>
  </si>
  <si>
    <r>
      <t>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დარეზერვებამდე განაწილებული, კლასიფიკაციის,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t>
    </r>
    <r>
      <rPr>
        <sz val="8"/>
        <color rgb="FFFF0000"/>
        <rFont val="Sylfaen"/>
        <family val="1"/>
      </rPr>
      <t xml:space="preserve"> გარესაბალანსო ვალდებულებებისთვის, აუთვისებელი ნაწილი რომელსაც არ აქვთ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მინიჭებული კლასიფიკაცია შეივება მხოლოდ "C", "სულ" ველში, და არ გადანაწილდება დანარჩენი კატეგორიის სვეტებში.</t>
    </r>
  </si>
  <si>
    <r>
      <t xml:space="preserve">კორპორაციები, კვაზი კორპორაციები და </t>
    </r>
    <r>
      <rPr>
        <sz val="8"/>
        <color rgb="FFFF0000"/>
        <rFont val="Sylfaen"/>
        <family val="1"/>
      </rPr>
      <t>ყველა იურიდიული პირი</t>
    </r>
    <r>
      <rPr>
        <sz val="8"/>
        <rFont val="Sylfaen"/>
        <family val="1"/>
      </rPr>
      <t>,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</si>
</sst>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4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theme="1"/>
      <name val="Sylfaen"/>
      <family val="1"/>
    </font>
    <font>
      <sz val="8"/>
      <color rgb="FFFF0000"/>
      <name val="Sylfaen"/>
      <family val="1"/>
    </font>
    <font>
      <b/>
      <sz val="8"/>
      <color theme="1"/>
      <name val="Sylfaen"/>
      <family val="1"/>
    </font>
    <font>
      <u/>
      <sz val="8"/>
      <color theme="1"/>
      <name val="Sylfaen"/>
      <family val="1"/>
    </font>
    <font>
      <b/>
      <sz val="11"/>
      <color theme="1"/>
      <name val="Sylfaen"/>
      <family val="1"/>
    </font>
    <font>
      <b/>
      <u/>
      <sz val="10"/>
      <color indexed="12"/>
      <name val="Arial"/>
      <family val="2"/>
    </font>
    <font>
      <b/>
      <sz val="10"/>
      <color theme="1"/>
      <name val="Lucida Bright"/>
      <family val="1"/>
    </font>
    <font>
      <b/>
      <sz val="10"/>
      <name val="Arial"/>
      <family val="2"/>
      <charset val="162"/>
    </font>
    <font>
      <sz val="10"/>
      <color theme="1"/>
      <name val="Arial"/>
      <family val="2"/>
    </font>
    <font>
      <sz val="10"/>
      <color rgb="FF333333"/>
      <name val="Arial"/>
      <family val="2"/>
    </font>
    <font>
      <sz val="10"/>
      <name val="Arial"/>
      <family val="2"/>
      <charset val="162"/>
    </font>
    <font>
      <b/>
      <i/>
      <sz val="10"/>
      <name val="Sylfaen"/>
      <family val="1"/>
      <charset val="162"/>
    </font>
    <font>
      <b/>
      <sz val="10"/>
      <color theme="1"/>
      <name val="Arial"/>
      <family val="2"/>
    </font>
    <font>
      <i/>
      <sz val="10"/>
      <color theme="1"/>
      <name val="Arial"/>
      <family val="2"/>
    </font>
    <font>
      <b/>
      <sz val="10"/>
      <color theme="1"/>
      <name val="Calibri"/>
      <family val="2"/>
      <charset val="162"/>
      <scheme val="minor"/>
    </font>
    <font>
      <b/>
      <sz val="10"/>
      <color theme="1"/>
      <name val="Arial"/>
      <family val="2"/>
      <charset val="162"/>
    </font>
    <font>
      <b/>
      <sz val="9"/>
      <name val="Arial"/>
      <family val="2"/>
      <charset val="162"/>
    </font>
    <font>
      <sz val="9"/>
      <color theme="1"/>
      <name val="Sylfaen"/>
      <family val="1"/>
      <charset val="162"/>
    </font>
    <font>
      <b/>
      <sz val="9"/>
      <name val="Sylfaen"/>
      <family val="1"/>
      <charset val="162"/>
    </font>
    <font>
      <b/>
      <sz val="9"/>
      <color theme="1"/>
      <name val="Sylfaen"/>
      <family val="1"/>
      <charset val="16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s>
  <cellStyleXfs count="214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7" borderId="0"/>
    <xf numFmtId="169" fontId="26" fillId="37" borderId="0"/>
    <xf numFmtId="168" fontId="26" fillId="37" borderId="0"/>
    <xf numFmtId="0" fontId="27" fillId="38"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0" fontId="27" fillId="47"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29" fillId="46"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0" fontId="29"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9" fillId="56"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7" fillId="52" borderId="0" applyNumberFormat="0" applyBorder="0" applyAlignment="0" applyProtection="0"/>
    <xf numFmtId="0" fontId="27" fillId="56" borderId="0" applyNumberFormat="0" applyBorder="0" applyAlignment="0" applyProtection="0"/>
    <xf numFmtId="0" fontId="29" fillId="56"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61"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7" fillId="55" borderId="0" applyNumberFormat="0" applyBorder="0" applyAlignment="0" applyProtection="0"/>
    <xf numFmtId="0" fontId="27"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0" fontId="32" fillId="39"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9"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41" fillId="65" borderId="44" applyNumberFormat="0" applyAlignment="0" applyProtection="0"/>
    <xf numFmtId="0" fontId="42" fillId="10" borderId="39"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0" fontId="41"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0" fontId="42" fillId="10" borderId="39"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0" fontId="41"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0" applyFont="0" applyFill="0" applyBorder="0" applyAlignment="0" applyProtection="0"/>
    <xf numFmtId="180" fontId="2" fillId="0" borderId="0" applyFont="0" applyFill="0" applyBorder="0" applyAlignment="0" applyProtection="0"/>
    <xf numFmtId="0" fontId="47" fillId="66" borderId="0" applyNumberFormat="0" applyBorder="0" applyAlignment="0" applyProtection="0"/>
    <xf numFmtId="0" fontId="47" fillId="67" borderId="0" applyNumberFormat="0" applyBorder="0" applyAlignment="0" applyProtection="0"/>
    <xf numFmtId="0" fontId="47" fillId="68"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40"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0" fontId="51" fillId="40"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0" fontId="51" fillId="40" borderId="0" applyNumberFormat="0" applyBorder="0" applyAlignment="0" applyProtection="0"/>
    <xf numFmtId="0" fontId="2" fillId="69" borderId="3" applyNumberFormat="0" applyFont="0" applyBorder="0" applyProtection="0">
      <alignment horizontal="center" vertical="center"/>
    </xf>
    <xf numFmtId="0" fontId="54" fillId="0" borderId="33" applyNumberFormat="0" applyAlignment="0" applyProtection="0">
      <alignment horizontal="left" vertical="center"/>
    </xf>
    <xf numFmtId="0" fontId="54" fillId="0" borderId="33" applyNumberFormat="0" applyAlignment="0" applyProtection="0">
      <alignment horizontal="left" vertical="center"/>
    </xf>
    <xf numFmtId="168" fontId="54" fillId="0" borderId="33"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6" applyNumberFormat="0" applyFill="0" applyAlignment="0" applyProtection="0"/>
    <xf numFmtId="169" fontId="55" fillId="0" borderId="46" applyNumberFormat="0" applyFill="0" applyAlignment="0" applyProtection="0"/>
    <xf numFmtId="0"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0" fontId="55" fillId="0" borderId="46" applyNumberFormat="0" applyFill="0" applyAlignment="0" applyProtection="0"/>
    <xf numFmtId="0" fontId="56" fillId="0" borderId="47" applyNumberFormat="0" applyFill="0" applyAlignment="0" applyProtection="0"/>
    <xf numFmtId="169" fontId="56" fillId="0" borderId="47" applyNumberFormat="0" applyFill="0" applyAlignment="0" applyProtection="0"/>
    <xf numFmtId="0"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0" fontId="56" fillId="0" borderId="47" applyNumberFormat="0" applyFill="0" applyAlignment="0" applyProtection="0"/>
    <xf numFmtId="0" fontId="57" fillId="0" borderId="48" applyNumberFormat="0" applyFill="0" applyAlignment="0" applyProtection="0"/>
    <xf numFmtId="169"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9"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0" fontId="66" fillId="43" borderId="43" applyNumberFormat="0" applyAlignment="0" applyProtection="0"/>
    <xf numFmtId="3" fontId="2" fillId="72"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9" applyNumberFormat="0" applyFill="0" applyAlignment="0" applyProtection="0"/>
    <xf numFmtId="0" fontId="70" fillId="0" borderId="38"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0" fontId="69" fillId="0" borderId="49"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0" fontId="69"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3"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0" fontId="72" fillId="73"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0" fontId="72" fillId="73" borderId="0" applyNumberFormat="0" applyBorder="0" applyAlignment="0" applyProtection="0"/>
    <xf numFmtId="1" fontId="75" fillId="0" borderId="0" applyProtection="0"/>
    <xf numFmtId="168" fontId="26" fillId="0" borderId="50"/>
    <xf numFmtId="169" fontId="26" fillId="0" borderId="50"/>
    <xf numFmtId="168" fontId="26"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168"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168" fontId="2" fillId="0" borderId="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169"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2" fillId="0" borderId="0"/>
    <xf numFmtId="0" fontId="82" fillId="0" borderId="0"/>
    <xf numFmtId="168" fontId="82" fillId="0" borderId="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9"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9"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25" fillId="0" borderId="54"/>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9"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88" fontId="2" fillId="70" borderId="106" applyFont="0">
      <alignment horizontal="right" vertical="center"/>
    </xf>
    <xf numFmtId="3" fontId="2" fillId="70" borderId="106" applyFont="0">
      <alignment horizontal="right" vertical="center"/>
    </xf>
    <xf numFmtId="0" fontId="83"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9"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3" fontId="2" fillId="75" borderId="106" applyFont="0">
      <alignment horizontal="right" vertical="center"/>
      <protection locked="0"/>
    </xf>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3" fontId="2" fillId="72" borderId="106" applyFont="0">
      <alignment horizontal="right" vertical="center"/>
      <protection locked="0"/>
    </xf>
    <xf numFmtId="0" fontId="66"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9"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2" fillId="71" borderId="107" applyNumberFormat="0" applyFont="0" applyBorder="0" applyProtection="0">
      <alignment horizontal="left" vertical="center"/>
    </xf>
    <xf numFmtId="9" fontId="2" fillId="71" borderId="106" applyFont="0" applyProtection="0">
      <alignment horizontal="right" vertical="center"/>
    </xf>
    <xf numFmtId="3" fontId="2" fillId="71" borderId="106" applyFont="0" applyProtection="0">
      <alignment horizontal="right" vertical="center"/>
    </xf>
    <xf numFmtId="0" fontId="62" fillId="70" borderId="107" applyFont="0" applyBorder="0">
      <alignment horizontal="center" wrapText="1"/>
    </xf>
    <xf numFmtId="168" fontId="54" fillId="0" borderId="104">
      <alignment horizontal="left" vertical="center"/>
    </xf>
    <xf numFmtId="0" fontId="54" fillId="0" borderId="104">
      <alignment horizontal="left" vertical="center"/>
    </xf>
    <xf numFmtId="0" fontId="54" fillId="0" borderId="104">
      <alignment horizontal="left" vertical="center"/>
    </xf>
    <xf numFmtId="0" fontId="2" fillId="69" borderId="106" applyNumberFormat="0" applyFont="0" applyBorder="0" applyProtection="0">
      <alignment horizontal="center" vertical="center"/>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8"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9"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1" fillId="0" borderId="0"/>
    <xf numFmtId="169" fontId="26" fillId="37" borderId="0"/>
    <xf numFmtId="0" fontId="2" fillId="0" borderId="0">
      <alignment vertical="center"/>
    </xf>
    <xf numFmtId="166" fontId="1" fillId="0" borderId="0" applyFont="0" applyFill="0" applyBorder="0" applyAlignment="0" applyProtection="0"/>
  </cellStyleXfs>
  <cellXfs count="910">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7"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8" fillId="0" borderId="0" xfId="0" applyFont="1" applyAlignment="1">
      <alignment vertical="center"/>
    </xf>
    <xf numFmtId="0" fontId="9" fillId="0" borderId="0" xfId="0" applyFont="1" applyFill="1" applyBorder="1"/>
    <xf numFmtId="0" fontId="17" fillId="0" borderId="0" xfId="0" applyFont="1" applyFill="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3" fillId="0" borderId="35" xfId="0" applyFont="1" applyBorder="1" applyAlignment="1">
      <alignment wrapText="1"/>
    </xf>
    <xf numFmtId="0" fontId="23" fillId="0" borderId="12" xfId="0" applyFont="1" applyBorder="1" applyAlignment="1">
      <alignment wrapText="1"/>
    </xf>
    <xf numFmtId="0" fontId="18" fillId="0" borderId="12" xfId="0" applyFont="1" applyBorder="1" applyAlignment="1">
      <alignment wrapText="1"/>
    </xf>
    <xf numFmtId="0" fontId="18" fillId="0" borderId="12" xfId="0" applyFont="1" applyBorder="1" applyAlignment="1">
      <alignment horizontal="right" wrapText="1"/>
    </xf>
    <xf numFmtId="0" fontId="23" fillId="0" borderId="13" xfId="0" applyFont="1" applyBorder="1" applyAlignment="1">
      <alignment wrapText="1"/>
    </xf>
    <xf numFmtId="0" fontId="18" fillId="0" borderId="13" xfId="0" applyFont="1" applyBorder="1" applyAlignment="1">
      <alignment horizontal="right" wrapText="1"/>
    </xf>
    <xf numFmtId="0" fontId="22" fillId="36" borderId="16" xfId="0" applyFont="1" applyFill="1" applyBorder="1" applyAlignment="1">
      <alignment wrapText="1"/>
    </xf>
    <xf numFmtId="0" fontId="4" fillId="0" borderId="22" xfId="0" applyFont="1" applyBorder="1"/>
    <xf numFmtId="0" fontId="23" fillId="0" borderId="3" xfId="0" applyFont="1" applyBorder="1"/>
    <xf numFmtId="0" fontId="22"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2" borderId="25" xfId="0" applyFont="1" applyFill="1" applyBorder="1" applyAlignment="1">
      <alignment horizontal="right" vertical="center"/>
    </xf>
    <xf numFmtId="0" fontId="19" fillId="0" borderId="19" xfId="0" applyFont="1" applyFill="1" applyBorder="1" applyAlignment="1">
      <alignment horizontal="left" vertical="center" indent="1"/>
    </xf>
    <xf numFmtId="0" fontId="19" fillId="0" borderId="20" xfId="0" applyFont="1" applyFill="1" applyBorder="1" applyAlignment="1">
      <alignment horizontal="left" vertical="center"/>
    </xf>
    <xf numFmtId="0" fontId="19" fillId="0" borderId="25" xfId="0" applyFont="1" applyFill="1" applyBorder="1" applyAlignment="1">
      <alignment horizontal="left" vertical="center" indent="1"/>
    </xf>
    <xf numFmtId="0" fontId="20" fillId="0" borderId="26" xfId="0" applyFont="1" applyFill="1" applyBorder="1" applyAlignment="1"/>
    <xf numFmtId="0" fontId="4" fillId="0" borderId="59" xfId="0" applyFont="1" applyBorder="1"/>
    <xf numFmtId="0" fontId="21" fillId="0" borderId="25" xfId="0" applyFont="1" applyBorder="1" applyAlignment="1">
      <alignment horizontal="center"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3" fillId="0" borderId="22" xfId="0" applyFont="1" applyBorder="1" applyAlignment="1">
      <alignment horizontal="center"/>
    </xf>
    <xf numFmtId="167" fontId="23" fillId="0" borderId="68" xfId="0" applyNumberFormat="1" applyFont="1" applyBorder="1" applyAlignment="1">
      <alignment horizontal="center"/>
    </xf>
    <xf numFmtId="167" fontId="23" fillId="0" borderId="66" xfId="0" applyNumberFormat="1" applyFont="1" applyBorder="1" applyAlignment="1">
      <alignment horizontal="center"/>
    </xf>
    <xf numFmtId="167" fontId="18" fillId="0" borderId="66" xfId="0" applyNumberFormat="1" applyFont="1" applyBorder="1" applyAlignment="1">
      <alignment horizontal="center"/>
    </xf>
    <xf numFmtId="167" fontId="23" fillId="0" borderId="69" xfId="0" applyNumberFormat="1" applyFont="1" applyBorder="1" applyAlignment="1">
      <alignment horizontal="center"/>
    </xf>
    <xf numFmtId="167" fontId="22" fillId="36" borderId="61" xfId="0" applyNumberFormat="1" applyFont="1" applyFill="1" applyBorder="1" applyAlignment="1">
      <alignment horizontal="center"/>
    </xf>
    <xf numFmtId="167" fontId="23" fillId="0" borderId="65" xfId="0" applyNumberFormat="1" applyFont="1" applyBorder="1" applyAlignment="1">
      <alignment horizontal="center"/>
    </xf>
    <xf numFmtId="0" fontId="23" fillId="0" borderId="25" xfId="0" applyFont="1" applyBorder="1" applyAlignment="1">
      <alignment horizontal="center"/>
    </xf>
    <xf numFmtId="0" fontId="22" fillId="36" borderId="62" xfId="0" applyFont="1" applyFill="1" applyBorder="1" applyAlignment="1">
      <alignment wrapText="1"/>
    </xf>
    <xf numFmtId="167" fontId="22" fillId="36" borderId="64"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0"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7" fillId="0" borderId="0" xfId="0" applyFont="1" applyFill="1" applyAlignment="1">
      <alignment horizontal="center"/>
    </xf>
    <xf numFmtId="0" fontId="4" fillId="0" borderId="25"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83" xfId="0" applyNumberFormat="1" applyFont="1" applyFill="1" applyBorder="1" applyAlignment="1">
      <alignment horizontal="right" vertical="center"/>
    </xf>
    <xf numFmtId="49" fontId="105" fillId="0" borderId="86" xfId="0" applyNumberFormat="1" applyFont="1" applyFill="1" applyBorder="1" applyAlignment="1">
      <alignment horizontal="right" vertical="center"/>
    </xf>
    <xf numFmtId="49" fontId="105" fillId="0" borderId="91"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91"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67" fontId="17" fillId="77" borderId="66" xfId="0" applyNumberFormat="1" applyFont="1" applyFill="1" applyBorder="1" applyAlignment="1">
      <alignment horizontal="center"/>
    </xf>
    <xf numFmtId="193" fontId="9" fillId="2" borderId="26" xfId="0" applyNumberFormat="1" applyFont="1" applyFill="1" applyBorder="1" applyAlignment="1" applyProtection="1">
      <alignment vertical="center"/>
      <protection locked="0"/>
    </xf>
    <xf numFmtId="193" fontId="23" fillId="0" borderId="34" xfId="0" applyNumberFormat="1" applyFont="1" applyBorder="1" applyAlignment="1">
      <alignment vertical="center"/>
    </xf>
    <xf numFmtId="193" fontId="23" fillId="0" borderId="14" xfId="0" applyNumberFormat="1" applyFont="1" applyBorder="1" applyAlignment="1">
      <alignment vertical="center"/>
    </xf>
    <xf numFmtId="193" fontId="18" fillId="0" borderId="14" xfId="0" applyNumberFormat="1" applyFont="1" applyBorder="1" applyAlignment="1">
      <alignment vertical="center"/>
    </xf>
    <xf numFmtId="193" fontId="23" fillId="0" borderId="15" xfId="0" applyNumberFormat="1" applyFont="1" applyBorder="1" applyAlignment="1">
      <alignment vertical="center"/>
    </xf>
    <xf numFmtId="193" fontId="22" fillId="36" borderId="17" xfId="0" applyNumberFormat="1" applyFont="1" applyFill="1" applyBorder="1" applyAlignment="1">
      <alignment vertical="center"/>
    </xf>
    <xf numFmtId="193" fontId="23" fillId="0" borderId="18" xfId="0" applyNumberFormat="1" applyFont="1" applyBorder="1" applyAlignment="1">
      <alignment vertical="center"/>
    </xf>
    <xf numFmtId="193" fontId="18" fillId="0" borderId="15" xfId="0" applyNumberFormat="1" applyFont="1" applyBorder="1" applyAlignment="1">
      <alignment vertical="center"/>
    </xf>
    <xf numFmtId="193" fontId="22" fillId="36" borderId="63" xfId="0" applyNumberFormat="1" applyFont="1" applyFill="1" applyBorder="1" applyAlignment="1">
      <alignment vertical="center"/>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3" fillId="0" borderId="0" xfId="0" applyNumberFormat="1" applyFont="1"/>
    <xf numFmtId="0" fontId="4" fillId="0" borderId="29" xfId="0" applyFont="1" applyBorder="1" applyAlignment="1">
      <alignment horizontal="center" vertical="center"/>
    </xf>
    <xf numFmtId="0" fontId="4" fillId="0" borderId="29"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6" fillId="37" borderId="0" xfId="20" applyBorder="1"/>
    <xf numFmtId="169" fontId="26" fillId="37" borderId="99" xfId="20" applyBorder="1"/>
    <xf numFmtId="0" fontId="4" fillId="0" borderId="7" xfId="0" applyFont="1" applyFill="1" applyBorder="1" applyAlignment="1">
      <alignment vertical="center"/>
    </xf>
    <xf numFmtId="0" fontId="4" fillId="0" borderId="106" xfId="0" applyFont="1" applyFill="1" applyBorder="1" applyAlignment="1">
      <alignment vertical="center"/>
    </xf>
    <xf numFmtId="0" fontId="4" fillId="0" borderId="107" xfId="0" applyFont="1" applyFill="1" applyBorder="1" applyAlignment="1">
      <alignment vertical="center"/>
    </xf>
    <xf numFmtId="0" fontId="6" fillId="0" borderId="106" xfId="0" applyFont="1" applyFill="1" applyBorder="1" applyAlignment="1">
      <alignment vertical="center"/>
    </xf>
    <xf numFmtId="0" fontId="4" fillId="0" borderId="20" xfId="0" applyFont="1" applyFill="1" applyBorder="1" applyAlignment="1">
      <alignment vertical="center"/>
    </xf>
    <xf numFmtId="0" fontId="4" fillId="0" borderId="101" xfId="0" applyFont="1" applyFill="1" applyBorder="1" applyAlignment="1">
      <alignment vertical="center"/>
    </xf>
    <xf numFmtId="0" fontId="4" fillId="0" borderId="103" xfId="0" applyFont="1" applyFill="1" applyBorder="1" applyAlignment="1">
      <alignment vertical="center"/>
    </xf>
    <xf numFmtId="0" fontId="4" fillId="0" borderId="19"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116" xfId="0" applyFont="1" applyFill="1" applyBorder="1" applyAlignment="1">
      <alignment horizontal="center" vertical="center"/>
    </xf>
    <xf numFmtId="169" fontId="26" fillId="37" borderId="33" xfId="20" applyBorder="1"/>
    <xf numFmtId="169" fontId="26" fillId="37" borderId="118" xfId="20" applyBorder="1"/>
    <xf numFmtId="169" fontId="26" fillId="37" borderId="108" xfId="20" applyBorder="1"/>
    <xf numFmtId="169" fontId="26"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04" xfId="0" applyFont="1" applyFill="1" applyBorder="1" applyAlignment="1">
      <alignment vertical="center"/>
    </xf>
    <xf numFmtId="0" fontId="14" fillId="3" borderId="119" xfId="0" applyFont="1" applyFill="1" applyBorder="1" applyAlignment="1">
      <alignment horizontal="left"/>
    </xf>
    <xf numFmtId="0" fontId="14" fillId="3" borderId="120" xfId="0" applyFont="1" applyFill="1" applyBorder="1" applyAlignment="1">
      <alignment horizontal="left"/>
    </xf>
    <xf numFmtId="0" fontId="4" fillId="0" borderId="0" xfId="0" applyFont="1"/>
    <xf numFmtId="0" fontId="4" fillId="0" borderId="0" xfId="0" applyFont="1" applyFill="1"/>
    <xf numFmtId="0" fontId="4" fillId="0" borderId="106" xfId="0" applyFont="1" applyFill="1" applyBorder="1" applyAlignment="1">
      <alignment horizontal="center" vertical="center" wrapText="1"/>
    </xf>
    <xf numFmtId="0" fontId="105" fillId="0" borderId="93" xfId="0" applyFont="1" applyFill="1" applyBorder="1" applyAlignment="1">
      <alignment horizontal="right" vertical="center"/>
    </xf>
    <xf numFmtId="0" fontId="4" fillId="0" borderId="121" xfId="0" applyFont="1" applyFill="1" applyBorder="1" applyAlignment="1">
      <alignment horizontal="center" vertical="center" wrapText="1"/>
    </xf>
    <xf numFmtId="0" fontId="6" fillId="3" borderId="122" xfId="0" applyFont="1" applyFill="1" applyBorder="1" applyAlignment="1">
      <alignment vertical="center"/>
    </xf>
    <xf numFmtId="0" fontId="4" fillId="3" borderId="24" xfId="0" applyFont="1" applyFill="1" applyBorder="1" applyAlignment="1">
      <alignment vertical="center"/>
    </xf>
    <xf numFmtId="0" fontId="4" fillId="0" borderId="123" xfId="0" applyFont="1" applyFill="1" applyBorder="1" applyAlignment="1">
      <alignment horizontal="center" vertical="center"/>
    </xf>
    <xf numFmtId="0" fontId="6" fillId="0" borderId="26" xfId="0" applyFont="1" applyFill="1" applyBorder="1" applyAlignment="1">
      <alignment vertical="center"/>
    </xf>
    <xf numFmtId="169" fontId="26"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23" xfId="0" applyBorder="1"/>
    <xf numFmtId="0" fontId="0" fillId="0" borderId="123" xfId="0" applyBorder="1" applyAlignment="1">
      <alignment horizontal="center"/>
    </xf>
    <xf numFmtId="0" fontId="4" fillId="0" borderId="105" xfId="0" applyFont="1" applyBorder="1" applyAlignment="1">
      <alignment vertical="center" wrapText="1"/>
    </xf>
    <xf numFmtId="0" fontId="14" fillId="0" borderId="105" xfId="0" applyFont="1" applyBorder="1" applyAlignment="1">
      <alignment vertical="center" wrapText="1"/>
    </xf>
    <xf numFmtId="0" fontId="0" fillId="0" borderId="25" xfId="0" applyBorder="1"/>
    <xf numFmtId="0" fontId="6" fillId="36" borderId="124" xfId="0" applyFont="1" applyFill="1" applyBorder="1" applyAlignment="1">
      <alignment vertical="center"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23" xfId="0" applyFont="1" applyFill="1" applyBorder="1" applyAlignment="1">
      <alignment horizontal="left" vertical="center" wrapText="1"/>
    </xf>
    <xf numFmtId="0" fontId="6" fillId="36" borderId="106" xfId="0" applyFont="1" applyFill="1" applyBorder="1" applyAlignment="1">
      <alignment horizontal="left" vertical="center" wrapText="1"/>
    </xf>
    <xf numFmtId="0" fontId="6" fillId="36" borderId="121" xfId="0" applyFont="1" applyFill="1" applyBorder="1" applyAlignment="1">
      <alignment horizontal="left" vertical="center" wrapText="1"/>
    </xf>
    <xf numFmtId="0" fontId="4" fillId="0" borderId="123" xfId="0" applyFont="1" applyFill="1" applyBorder="1" applyAlignment="1">
      <alignment horizontal="right" vertical="center" wrapText="1"/>
    </xf>
    <xf numFmtId="0" fontId="4" fillId="0" borderId="106" xfId="0" applyFont="1" applyFill="1" applyBorder="1" applyAlignment="1">
      <alignment horizontal="left" vertical="center" wrapText="1"/>
    </xf>
    <xf numFmtId="0" fontId="108" fillId="0" borderId="123" xfId="0" applyFont="1" applyFill="1" applyBorder="1" applyAlignment="1">
      <alignment horizontal="right" vertical="center" wrapText="1"/>
    </xf>
    <xf numFmtId="0" fontId="108" fillId="0" borderId="106" xfId="0" applyFont="1" applyFill="1" applyBorder="1" applyAlignment="1">
      <alignment horizontal="left" vertical="center" wrapText="1"/>
    </xf>
    <xf numFmtId="0" fontId="6" fillId="0" borderId="12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5" xfId="5" applyNumberFormat="1" applyFont="1" applyFill="1" applyBorder="1" applyAlignment="1" applyProtection="1">
      <alignment horizontal="left" vertical="center"/>
      <protection locked="0"/>
    </xf>
    <xf numFmtId="0" fontId="110" fillId="0" borderId="26" xfId="9" applyFont="1" applyFill="1" applyBorder="1" applyAlignment="1" applyProtection="1">
      <alignment horizontal="left" vertical="center" wrapText="1"/>
      <protection locked="0"/>
    </xf>
    <xf numFmtId="0" fontId="21" fillId="0" borderId="123" xfId="0" applyFont="1" applyBorder="1" applyAlignment="1">
      <alignment horizontal="center" vertical="center" wrapText="1"/>
    </xf>
    <xf numFmtId="14" fontId="7" fillId="3" borderId="106" xfId="8" quotePrefix="1" applyNumberFormat="1" applyFont="1" applyFill="1" applyBorder="1" applyAlignment="1" applyProtection="1">
      <alignment horizontal="left" vertical="center" wrapText="1" indent="2"/>
      <protection locked="0"/>
    </xf>
    <xf numFmtId="14" fontId="7" fillId="3" borderId="106" xfId="8" quotePrefix="1" applyNumberFormat="1" applyFont="1" applyFill="1" applyBorder="1" applyAlignment="1" applyProtection="1">
      <alignment horizontal="left" vertical="center" wrapText="1" indent="3"/>
      <protection locked="0"/>
    </xf>
    <xf numFmtId="0" fontId="11" fillId="0" borderId="106" xfId="17" applyFill="1" applyBorder="1" applyAlignment="1" applyProtection="1"/>
    <xf numFmtId="49" fontId="108" fillId="0" borderId="123" xfId="0" applyNumberFormat="1" applyFont="1" applyFill="1" applyBorder="1" applyAlignment="1">
      <alignment horizontal="right" vertical="center" wrapText="1"/>
    </xf>
    <xf numFmtId="0" fontId="7" fillId="3" borderId="106" xfId="20960" applyFont="1" applyFill="1" applyBorder="1" applyAlignment="1" applyProtection="1"/>
    <xf numFmtId="0" fontId="102" fillId="0" borderId="106" xfId="20960" applyFont="1" applyFill="1" applyBorder="1" applyAlignment="1" applyProtection="1">
      <alignment horizontal="center" vertical="center"/>
    </xf>
    <xf numFmtId="0" fontId="4" fillId="0" borderId="106" xfId="0" applyFont="1" applyBorder="1"/>
    <xf numFmtId="0" fontId="11" fillId="0" borderId="106" xfId="17" applyFill="1" applyBorder="1" applyAlignment="1" applyProtection="1">
      <alignment horizontal="left" vertical="center" wrapText="1"/>
    </xf>
    <xf numFmtId="49" fontId="108" fillId="0" borderId="106" xfId="0" applyNumberFormat="1" applyFont="1" applyFill="1" applyBorder="1" applyAlignment="1">
      <alignment horizontal="right" vertical="center" wrapText="1"/>
    </xf>
    <xf numFmtId="0" fontId="11" fillId="0" borderId="106" xfId="17" applyFill="1" applyBorder="1" applyAlignment="1" applyProtection="1">
      <alignment horizontal="left" vertical="center"/>
    </xf>
    <xf numFmtId="0" fontId="11" fillId="0" borderId="106" xfId="17" applyBorder="1" applyAlignment="1" applyProtection="1"/>
    <xf numFmtId="0" fontId="4" fillId="0" borderId="106" xfId="0" applyFont="1" applyFill="1" applyBorder="1"/>
    <xf numFmtId="0" fontId="21" fillId="0" borderId="123" xfId="0" applyFont="1" applyFill="1" applyBorder="1" applyAlignment="1">
      <alignment horizontal="center" vertical="center" wrapText="1"/>
    </xf>
    <xf numFmtId="0" fontId="111" fillId="79" borderId="107" xfId="21412" applyFont="1" applyFill="1" applyBorder="1" applyAlignment="1" applyProtection="1">
      <alignment vertical="center" wrapText="1"/>
      <protection locked="0"/>
    </xf>
    <xf numFmtId="0" fontId="112" fillId="70" borderId="101" xfId="21412" applyFont="1" applyFill="1" applyBorder="1" applyAlignment="1" applyProtection="1">
      <alignment horizontal="center" vertical="center"/>
      <protection locked="0"/>
    </xf>
    <xf numFmtId="0" fontId="111" fillId="80" borderId="106" xfId="21412" applyFont="1" applyFill="1" applyBorder="1" applyAlignment="1" applyProtection="1">
      <alignment horizontal="center" vertical="center"/>
      <protection locked="0"/>
    </xf>
    <xf numFmtId="0" fontId="111" fillId="79" borderId="107" xfId="21412" applyFont="1" applyFill="1" applyBorder="1" applyAlignment="1" applyProtection="1">
      <alignment vertical="center"/>
      <protection locked="0"/>
    </xf>
    <xf numFmtId="0" fontId="113" fillId="70" borderId="101" xfId="21412" applyFont="1" applyFill="1" applyBorder="1" applyAlignment="1" applyProtection="1">
      <alignment horizontal="center" vertical="center"/>
      <protection locked="0"/>
    </xf>
    <xf numFmtId="0" fontId="113" fillId="3" borderId="101" xfId="21412" applyFont="1" applyFill="1" applyBorder="1" applyAlignment="1" applyProtection="1">
      <alignment horizontal="center" vertical="center"/>
      <protection locked="0"/>
    </xf>
    <xf numFmtId="0" fontId="113" fillId="0" borderId="101" xfId="21412" applyFont="1" applyFill="1" applyBorder="1" applyAlignment="1" applyProtection="1">
      <alignment horizontal="center" vertical="center"/>
      <protection locked="0"/>
    </xf>
    <xf numFmtId="0" fontId="114" fillId="80" borderId="106" xfId="21412" applyFont="1" applyFill="1" applyBorder="1" applyAlignment="1" applyProtection="1">
      <alignment horizontal="center" vertical="center"/>
      <protection locked="0"/>
    </xf>
    <xf numFmtId="0" fontId="111" fillId="79" borderId="107" xfId="21412" applyFont="1" applyFill="1" applyBorder="1" applyAlignment="1" applyProtection="1">
      <alignment horizontal="center" vertical="center"/>
      <protection locked="0"/>
    </xf>
    <xf numFmtId="0" fontId="62" fillId="79" borderId="107" xfId="21412" applyFont="1" applyFill="1" applyBorder="1" applyAlignment="1" applyProtection="1">
      <alignment vertical="center"/>
      <protection locked="0"/>
    </xf>
    <xf numFmtId="0" fontId="113" fillId="70" borderId="106" xfId="21412" applyFont="1" applyFill="1" applyBorder="1" applyAlignment="1" applyProtection="1">
      <alignment horizontal="center" vertical="center"/>
      <protection locked="0"/>
    </xf>
    <xf numFmtId="0" fontId="36" fillId="70" borderId="106" xfId="21412" applyFont="1" applyFill="1" applyBorder="1" applyAlignment="1" applyProtection="1">
      <alignment horizontal="center" vertical="center"/>
      <protection locked="0"/>
    </xf>
    <xf numFmtId="0" fontId="62" fillId="79" borderId="105" xfId="21412" applyFont="1" applyFill="1" applyBorder="1" applyAlignment="1" applyProtection="1">
      <alignment vertical="center"/>
      <protection locked="0"/>
    </xf>
    <xf numFmtId="0" fontId="112" fillId="0" borderId="105" xfId="21412" applyFont="1" applyFill="1" applyBorder="1" applyAlignment="1" applyProtection="1">
      <alignment horizontal="left" vertical="center" wrapText="1"/>
      <protection locked="0"/>
    </xf>
    <xf numFmtId="164" fontId="112" fillId="0" borderId="106" xfId="948" applyNumberFormat="1" applyFont="1" applyFill="1" applyBorder="1" applyAlignment="1" applyProtection="1">
      <alignment horizontal="right" vertical="center"/>
      <protection locked="0"/>
    </xf>
    <xf numFmtId="0" fontId="111" fillId="80" borderId="105" xfId="21412" applyFont="1" applyFill="1" applyBorder="1" applyAlignment="1" applyProtection="1">
      <alignment vertical="top" wrapText="1"/>
      <protection locked="0"/>
    </xf>
    <xf numFmtId="164" fontId="112" fillId="80" borderId="106" xfId="948" applyNumberFormat="1" applyFont="1" applyFill="1" applyBorder="1" applyAlignment="1" applyProtection="1">
      <alignment horizontal="right" vertical="center"/>
    </xf>
    <xf numFmtId="164" fontId="62" fillId="79" borderId="105" xfId="948" applyNumberFormat="1" applyFont="1" applyFill="1" applyBorder="1" applyAlignment="1" applyProtection="1">
      <alignment horizontal="right" vertical="center"/>
      <protection locked="0"/>
    </xf>
    <xf numFmtId="0" fontId="112" fillId="70" borderId="105" xfId="21412" applyFont="1" applyFill="1" applyBorder="1" applyAlignment="1" applyProtection="1">
      <alignment vertical="center" wrapText="1"/>
      <protection locked="0"/>
    </xf>
    <xf numFmtId="0" fontId="112" fillId="70" borderId="105" xfId="21412" applyFont="1" applyFill="1" applyBorder="1" applyAlignment="1" applyProtection="1">
      <alignment horizontal="left" vertical="center" wrapText="1"/>
      <protection locked="0"/>
    </xf>
    <xf numFmtId="0" fontId="112" fillId="0" borderId="105" xfId="21412" applyFont="1" applyFill="1" applyBorder="1" applyAlignment="1" applyProtection="1">
      <alignment vertical="center" wrapText="1"/>
      <protection locked="0"/>
    </xf>
    <xf numFmtId="0" fontId="112" fillId="3" borderId="105" xfId="21412" applyFont="1" applyFill="1" applyBorder="1" applyAlignment="1" applyProtection="1">
      <alignment horizontal="left" vertical="center" wrapText="1"/>
      <protection locked="0"/>
    </xf>
    <xf numFmtId="0" fontId="111" fillId="80" borderId="105" xfId="21412" applyFont="1" applyFill="1" applyBorder="1" applyAlignment="1" applyProtection="1">
      <alignment vertical="center" wrapText="1"/>
      <protection locked="0"/>
    </xf>
    <xf numFmtId="164" fontId="111" fillId="79" borderId="105" xfId="948" applyNumberFormat="1" applyFont="1" applyFill="1" applyBorder="1" applyAlignment="1" applyProtection="1">
      <alignment horizontal="right" vertical="center"/>
      <protection locked="0"/>
    </xf>
    <xf numFmtId="164" fontId="112" fillId="3" borderId="106" xfId="948" applyNumberFormat="1" applyFont="1" applyFill="1" applyBorder="1" applyAlignment="1" applyProtection="1">
      <alignment horizontal="right" vertical="center"/>
      <protection locked="0"/>
    </xf>
    <xf numFmtId="1" fontId="6" fillId="36" borderId="121" xfId="0" applyNumberFormat="1" applyFont="1" applyFill="1" applyBorder="1" applyAlignment="1">
      <alignment horizontal="right" vertical="center" wrapText="1"/>
    </xf>
    <xf numFmtId="1" fontId="6" fillId="36" borderId="121" xfId="0" applyNumberFormat="1" applyFont="1" applyFill="1" applyBorder="1" applyAlignment="1">
      <alignment horizontal="center" vertical="center" wrapText="1"/>
    </xf>
    <xf numFmtId="10" fontId="7" fillId="0" borderId="106" xfId="20961" applyNumberFormat="1" applyFont="1" applyFill="1" applyBorder="1" applyAlignment="1">
      <alignment horizontal="left" vertical="center" wrapText="1"/>
    </xf>
    <xf numFmtId="10" fontId="4" fillId="0" borderId="106" xfId="20961" applyNumberFormat="1" applyFont="1" applyFill="1" applyBorder="1" applyAlignment="1">
      <alignment horizontal="left" vertical="center" wrapText="1"/>
    </xf>
    <xf numFmtId="10" fontId="6" fillId="36" borderId="106" xfId="0" applyNumberFormat="1" applyFont="1" applyFill="1" applyBorder="1" applyAlignment="1">
      <alignment horizontal="left" vertical="center" wrapText="1"/>
    </xf>
    <xf numFmtId="10" fontId="108" fillId="0" borderId="106" xfId="20961" applyNumberFormat="1" applyFont="1" applyFill="1" applyBorder="1" applyAlignment="1">
      <alignment horizontal="left" vertical="center" wrapText="1"/>
    </xf>
    <xf numFmtId="10" fontId="6" fillId="36" borderId="106" xfId="20961" applyNumberFormat="1" applyFont="1" applyFill="1" applyBorder="1" applyAlignment="1">
      <alignment horizontal="left" vertical="center" wrapText="1"/>
    </xf>
    <xf numFmtId="10" fontId="6" fillId="36" borderId="106" xfId="0" applyNumberFormat="1" applyFont="1" applyFill="1" applyBorder="1" applyAlignment="1">
      <alignment horizontal="center" vertical="center" wrapText="1"/>
    </xf>
    <xf numFmtId="10" fontId="110" fillId="0" borderId="26" xfId="20961" applyNumberFormat="1" applyFont="1" applyFill="1" applyBorder="1" applyAlignment="1" applyProtection="1">
      <alignment horizontal="left" vertical="center"/>
    </xf>
    <xf numFmtId="0" fontId="106" fillId="0" borderId="0" xfId="0" applyFont="1" applyAlignment="1">
      <alignment wrapText="1"/>
    </xf>
    <xf numFmtId="0" fontId="10" fillId="0" borderId="29" xfId="0" applyFont="1" applyBorder="1" applyAlignment="1">
      <alignment horizontal="center" wrapText="1"/>
    </xf>
    <xf numFmtId="0" fontId="10" fillId="0" borderId="8" xfId="0" applyFont="1" applyBorder="1" applyAlignment="1">
      <alignment horizontal="center" vertical="center" wrapText="1"/>
    </xf>
    <xf numFmtId="0" fontId="9" fillId="0" borderId="123" xfId="0" applyFont="1" applyBorder="1" applyAlignment="1">
      <alignment horizontal="right" vertical="center" wrapText="1"/>
    </xf>
    <xf numFmtId="0" fontId="9" fillId="0" borderId="123" xfId="0" applyFont="1" applyFill="1" applyBorder="1" applyAlignment="1">
      <alignment horizontal="right" vertical="center" wrapText="1"/>
    </xf>
    <xf numFmtId="0" fontId="7" fillId="0" borderId="106" xfId="0" applyFont="1" applyFill="1" applyBorder="1" applyAlignment="1">
      <alignment vertical="center" wrapText="1"/>
    </xf>
    <xf numFmtId="0" fontId="4" fillId="0" borderId="106" xfId="0" applyFont="1" applyBorder="1" applyAlignment="1">
      <alignment vertical="center" wrapText="1"/>
    </xf>
    <xf numFmtId="0" fontId="4" fillId="0" borderId="106" xfId="0" applyFont="1" applyFill="1" applyBorder="1" applyAlignment="1">
      <alignment horizontal="left" vertical="center" wrapText="1" indent="2"/>
    </xf>
    <xf numFmtId="0" fontId="4" fillId="0" borderId="106" xfId="0" applyFont="1" applyFill="1" applyBorder="1" applyAlignment="1">
      <alignment vertical="center" wrapText="1"/>
    </xf>
    <xf numFmtId="0" fontId="6" fillId="0" borderId="26" xfId="0" applyFont="1" applyBorder="1" applyAlignment="1">
      <alignment vertical="center" wrapText="1"/>
    </xf>
    <xf numFmtId="0" fontId="4" fillId="0" borderId="121" xfId="0" applyFont="1" applyBorder="1" applyAlignment="1"/>
    <xf numFmtId="0" fontId="9" fillId="0" borderId="121" xfId="0" applyFont="1" applyBorder="1" applyAlignment="1"/>
    <xf numFmtId="0" fontId="9" fillId="0" borderId="121" xfId="0" applyFont="1" applyBorder="1" applyAlignment="1">
      <alignment wrapText="1"/>
    </xf>
    <xf numFmtId="0" fontId="10" fillId="0" borderId="21" xfId="0" applyFont="1" applyBorder="1" applyAlignment="1">
      <alignment horizontal="center"/>
    </xf>
    <xf numFmtId="0" fontId="10" fillId="0" borderId="121" xfId="0" applyFont="1" applyBorder="1" applyAlignment="1">
      <alignment horizontal="center" vertical="center" wrapText="1"/>
    </xf>
    <xf numFmtId="0" fontId="9" fillId="0" borderId="123" xfId="0" applyFont="1" applyFill="1" applyBorder="1" applyAlignment="1">
      <alignment horizontal="center" vertical="center" wrapText="1"/>
    </xf>
    <xf numFmtId="0" fontId="15" fillId="0" borderId="106" xfId="0" applyFont="1" applyFill="1" applyBorder="1" applyAlignment="1">
      <alignment horizontal="center" vertical="center" wrapText="1"/>
    </xf>
    <xf numFmtId="0" fontId="16" fillId="0" borderId="106" xfId="0" applyFont="1" applyFill="1" applyBorder="1" applyAlignment="1">
      <alignment horizontal="left" vertical="center" wrapText="1"/>
    </xf>
    <xf numFmtId="0" fontId="7" fillId="0" borderId="106" xfId="0" applyFont="1" applyBorder="1" applyAlignment="1">
      <alignment vertical="center" wrapText="1"/>
    </xf>
    <xf numFmtId="0" fontId="9" fillId="2" borderId="123" xfId="0" applyFont="1" applyFill="1" applyBorder="1" applyAlignment="1">
      <alignment horizontal="right" vertical="center"/>
    </xf>
    <xf numFmtId="0" fontId="9" fillId="2" borderId="106" xfId="0" applyFont="1" applyFill="1" applyBorder="1" applyAlignment="1">
      <alignment vertical="center"/>
    </xf>
    <xf numFmtId="193" fontId="9" fillId="2" borderId="106" xfId="0" applyNumberFormat="1" applyFont="1" applyFill="1" applyBorder="1" applyAlignment="1" applyProtection="1">
      <alignment vertical="center"/>
      <protection locked="0"/>
    </xf>
    <xf numFmtId="0" fontId="15" fillId="0" borderId="123"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9" xfId="0" applyFont="1" applyFill="1" applyBorder="1"/>
    <xf numFmtId="0" fontId="4" fillId="3" borderId="126" xfId="0" applyFont="1" applyFill="1" applyBorder="1" applyAlignment="1">
      <alignment wrapText="1"/>
    </xf>
    <xf numFmtId="0" fontId="4" fillId="3" borderId="127" xfId="0" applyFont="1" applyFill="1" applyBorder="1"/>
    <xf numFmtId="0" fontId="6" fillId="3" borderId="11" xfId="0" applyFont="1" applyFill="1" applyBorder="1" applyAlignment="1">
      <alignment horizontal="center" wrapText="1"/>
    </xf>
    <xf numFmtId="0" fontId="4" fillId="3" borderId="70"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9" xfId="0" applyFont="1" applyFill="1" applyBorder="1" applyAlignment="1">
      <alignment horizontal="center" vertical="center" wrapText="1"/>
    </xf>
    <xf numFmtId="0" fontId="4" fillId="0" borderId="123" xfId="0" applyFont="1" applyBorder="1"/>
    <xf numFmtId="0" fontId="4" fillId="0" borderId="106" xfId="0" applyFont="1" applyBorder="1" applyAlignment="1">
      <alignment wrapText="1"/>
    </xf>
    <xf numFmtId="164" fontId="4" fillId="0" borderId="106" xfId="7" applyNumberFormat="1" applyFont="1" applyBorder="1"/>
    <xf numFmtId="164" fontId="4" fillId="0" borderId="121" xfId="7" applyNumberFormat="1" applyFont="1" applyBorder="1"/>
    <xf numFmtId="0" fontId="14" fillId="0" borderId="106" xfId="0" applyFont="1" applyBorder="1" applyAlignment="1">
      <alignment horizontal="left" wrapText="1" indent="2"/>
    </xf>
    <xf numFmtId="169" fontId="26" fillId="37" borderId="106" xfId="20" applyBorder="1"/>
    <xf numFmtId="164" fontId="4" fillId="0" borderId="106" xfId="7" applyNumberFormat="1" applyFont="1" applyBorder="1" applyAlignment="1">
      <alignment vertical="center"/>
    </xf>
    <xf numFmtId="0" fontId="6" fillId="0" borderId="123" xfId="0" applyFont="1" applyBorder="1"/>
    <xf numFmtId="0" fontId="6" fillId="0" borderId="106" xfId="0" applyFont="1" applyBorder="1" applyAlignment="1">
      <alignment wrapText="1"/>
    </xf>
    <xf numFmtId="164" fontId="6" fillId="0" borderId="121" xfId="7" applyNumberFormat="1" applyFont="1" applyBorder="1"/>
    <xf numFmtId="0" fontId="3" fillId="3" borderId="7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9" xfId="7" applyNumberFormat="1" applyFont="1" applyFill="1" applyBorder="1"/>
    <xf numFmtId="164" fontId="4" fillId="0" borderId="106" xfId="7" applyNumberFormat="1" applyFont="1" applyFill="1" applyBorder="1"/>
    <xf numFmtId="164" fontId="4" fillId="0" borderId="106" xfId="7" applyNumberFormat="1" applyFont="1" applyFill="1" applyBorder="1" applyAlignment="1">
      <alignment vertical="center"/>
    </xf>
    <xf numFmtId="0" fontId="14" fillId="0" borderId="10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9" xfId="0" applyFont="1" applyFill="1" applyBorder="1"/>
    <xf numFmtId="0" fontId="6" fillId="0" borderId="25" xfId="0" applyFont="1" applyBorder="1"/>
    <xf numFmtId="0" fontId="6" fillId="0" borderId="26" xfId="0" applyFont="1" applyBorder="1" applyAlignment="1">
      <alignment wrapText="1"/>
    </xf>
    <xf numFmtId="169" fontId="26" fillId="37" borderId="124" xfId="20" applyBorder="1"/>
    <xf numFmtId="10" fontId="6" fillId="0" borderId="27" xfId="20961" applyNumberFormat="1" applyFont="1" applyBorder="1"/>
    <xf numFmtId="0" fontId="9" fillId="2" borderId="114" xfId="0" applyFont="1" applyFill="1" applyBorder="1" applyAlignment="1">
      <alignment horizontal="right" vertical="center"/>
    </xf>
    <xf numFmtId="0" fontId="9" fillId="2" borderId="101" xfId="0" applyFont="1" applyFill="1" applyBorder="1" applyAlignment="1">
      <alignment vertical="center"/>
    </xf>
    <xf numFmtId="0" fontId="9" fillId="0" borderId="106" xfId="0" applyFont="1" applyFill="1" applyBorder="1" applyAlignment="1">
      <alignment horizontal="left" vertical="center" wrapText="1"/>
    </xf>
    <xf numFmtId="0" fontId="6" fillId="3" borderId="0" xfId="0" applyFont="1" applyFill="1" applyBorder="1" applyAlignment="1">
      <alignment horizontal="center"/>
    </xf>
    <xf numFmtId="0" fontId="105" fillId="0" borderId="93" xfId="0" applyFont="1" applyFill="1" applyBorder="1" applyAlignment="1">
      <alignment horizontal="left" vertical="center"/>
    </xf>
    <xf numFmtId="0" fontId="105" fillId="0" borderId="91" xfId="0" applyFont="1" applyFill="1" applyBorder="1" applyAlignment="1">
      <alignment vertical="center" wrapText="1"/>
    </xf>
    <xf numFmtId="0" fontId="105" fillId="0" borderId="91"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14" fontId="116" fillId="0" borderId="0" xfId="0" applyNumberFormat="1" applyFont="1"/>
    <xf numFmtId="0" fontId="119" fillId="0" borderId="106" xfId="0" applyFont="1" applyBorder="1" applyAlignment="1">
      <alignment horizontal="center" vertical="center" wrapText="1"/>
    </xf>
    <xf numFmtId="49" fontId="120" fillId="3" borderId="106" xfId="5" applyNumberFormat="1" applyFont="1" applyFill="1" applyBorder="1" applyAlignment="1" applyProtection="1">
      <alignment horizontal="right" vertical="center"/>
      <protection locked="0"/>
    </xf>
    <xf numFmtId="0" fontId="120" fillId="3" borderId="106" xfId="13" applyFont="1" applyFill="1" applyBorder="1" applyAlignment="1" applyProtection="1">
      <alignment horizontal="left" vertical="center" wrapText="1"/>
      <protection locked="0"/>
    </xf>
    <xf numFmtId="0" fontId="119" fillId="0" borderId="106" xfId="0" applyFont="1" applyBorder="1"/>
    <xf numFmtId="0" fontId="120" fillId="0" borderId="106" xfId="13" applyFont="1" applyFill="1" applyBorder="1" applyAlignment="1" applyProtection="1">
      <alignment horizontal="left" vertical="center" wrapText="1"/>
      <protection locked="0"/>
    </xf>
    <xf numFmtId="49" fontId="120" fillId="0" borderId="106" xfId="5" applyNumberFormat="1" applyFont="1" applyFill="1" applyBorder="1" applyAlignment="1" applyProtection="1">
      <alignment horizontal="right" vertical="center"/>
      <protection locked="0"/>
    </xf>
    <xf numFmtId="49" fontId="121" fillId="0" borderId="106" xfId="5" applyNumberFormat="1" applyFont="1" applyFill="1" applyBorder="1" applyAlignment="1" applyProtection="1">
      <alignment horizontal="right" vertical="center"/>
      <protection locked="0"/>
    </xf>
    <xf numFmtId="0" fontId="116" fillId="0" borderId="0" xfId="0" applyFont="1" applyAlignment="1">
      <alignment wrapText="1"/>
    </xf>
    <xf numFmtId="0" fontId="116" fillId="0" borderId="106" xfId="0" applyFont="1" applyBorder="1" applyAlignment="1">
      <alignment horizontal="center" vertical="center"/>
    </xf>
    <xf numFmtId="49" fontId="120" fillId="3" borderId="106" xfId="5" applyNumberFormat="1" applyFont="1" applyFill="1" applyBorder="1" applyAlignment="1" applyProtection="1">
      <alignment horizontal="right" vertical="center" wrapText="1"/>
      <protection locked="0"/>
    </xf>
    <xf numFmtId="0" fontId="116" fillId="0" borderId="106" xfId="0" applyFont="1" applyBorder="1"/>
    <xf numFmtId="0" fontId="116" fillId="0" borderId="106" xfId="0" applyFont="1" applyFill="1" applyBorder="1"/>
    <xf numFmtId="49" fontId="120" fillId="0" borderId="106" xfId="5" applyNumberFormat="1" applyFont="1" applyFill="1" applyBorder="1" applyAlignment="1" applyProtection="1">
      <alignment horizontal="right" vertical="center" wrapText="1"/>
      <protection locked="0"/>
    </xf>
    <xf numFmtId="49" fontId="121" fillId="0" borderId="106" xfId="5" applyNumberFormat="1" applyFont="1" applyFill="1" applyBorder="1" applyAlignment="1" applyProtection="1">
      <alignment horizontal="right" vertical="center" wrapText="1"/>
      <protection locked="0"/>
    </xf>
    <xf numFmtId="0" fontId="119" fillId="0" borderId="0" xfId="0" applyFont="1"/>
    <xf numFmtId="0" fontId="116" fillId="0" borderId="106" xfId="0" applyFont="1" applyBorder="1" applyAlignment="1">
      <alignment wrapText="1"/>
    </xf>
    <xf numFmtId="0" fontId="116" fillId="0" borderId="106" xfId="0" applyFont="1" applyBorder="1" applyAlignment="1">
      <alignment horizontal="left" indent="8"/>
    </xf>
    <xf numFmtId="0" fontId="116" fillId="0" borderId="0" xfId="0" applyFont="1" applyFill="1"/>
    <xf numFmtId="0" fontId="115" fillId="0" borderId="106" xfId="0" applyNumberFormat="1" applyFont="1" applyFill="1" applyBorder="1" applyAlignment="1">
      <alignment horizontal="left" vertical="center" wrapText="1"/>
    </xf>
    <xf numFmtId="0" fontId="116" fillId="0" borderId="0" xfId="0" applyFont="1" applyBorder="1"/>
    <xf numFmtId="0" fontId="119" fillId="0" borderId="106" xfId="0" applyFont="1" applyFill="1" applyBorder="1"/>
    <xf numFmtId="0" fontId="116" fillId="0" borderId="0" xfId="0" applyFont="1" applyBorder="1" applyAlignment="1">
      <alignment horizontal="left"/>
    </xf>
    <xf numFmtId="0" fontId="119" fillId="0" borderId="0" xfId="0" applyFont="1" applyBorder="1"/>
    <xf numFmtId="0" fontId="116" fillId="0" borderId="0" xfId="0" applyFont="1" applyFill="1" applyBorder="1"/>
    <xf numFmtId="0" fontId="118" fillId="0" borderId="106" xfId="0" applyFont="1" applyFill="1" applyBorder="1" applyAlignment="1">
      <alignment horizontal="left" indent="1"/>
    </xf>
    <xf numFmtId="0" fontId="118" fillId="0" borderId="106" xfId="0" applyFont="1" applyFill="1" applyBorder="1" applyAlignment="1">
      <alignment horizontal="left" wrapText="1" indent="1"/>
    </xf>
    <xf numFmtId="0" fontId="115" fillId="0" borderId="106" xfId="0" applyFont="1" applyFill="1" applyBorder="1" applyAlignment="1">
      <alignment horizontal="left" indent="1"/>
    </xf>
    <xf numFmtId="0" fontId="115" fillId="0" borderId="106" xfId="0" applyNumberFormat="1" applyFont="1" applyFill="1" applyBorder="1" applyAlignment="1">
      <alignment horizontal="left" indent="1"/>
    </xf>
    <xf numFmtId="0" fontId="115" fillId="0" borderId="106" xfId="0" applyFont="1" applyFill="1" applyBorder="1" applyAlignment="1">
      <alignment horizontal="left" wrapText="1" indent="2"/>
    </xf>
    <xf numFmtId="0" fontId="118" fillId="0" borderId="106" xfId="0" applyFont="1" applyFill="1" applyBorder="1" applyAlignment="1">
      <alignment horizontal="left" vertical="center" indent="1"/>
    </xf>
    <xf numFmtId="0" fontId="116" fillId="82" borderId="106" xfId="0" applyFont="1" applyFill="1" applyBorder="1"/>
    <xf numFmtId="0" fontId="116" fillId="0" borderId="106" xfId="0" applyFont="1" applyFill="1" applyBorder="1" applyAlignment="1">
      <alignment horizontal="left" wrapText="1"/>
    </xf>
    <xf numFmtId="0" fontId="116" fillId="0" borderId="106" xfId="0" applyFont="1" applyFill="1" applyBorder="1" applyAlignment="1">
      <alignment horizontal="left" wrapText="1" indent="2"/>
    </xf>
    <xf numFmtId="0" fontId="119" fillId="0" borderId="7" xfId="0" applyFont="1" applyBorder="1"/>
    <xf numFmtId="0" fontId="119" fillId="82" borderId="106" xfId="0" applyFont="1" applyFill="1" applyBorder="1"/>
    <xf numFmtId="0" fontId="116" fillId="0" borderId="0" xfId="0" applyFont="1" applyBorder="1" applyAlignment="1">
      <alignment horizontal="center" vertical="center"/>
    </xf>
    <xf numFmtId="0" fontId="116" fillId="0" borderId="0" xfId="0" applyFont="1" applyBorder="1" applyAlignment="1">
      <alignment horizontal="center" vertical="center" wrapText="1"/>
    </xf>
    <xf numFmtId="0" fontId="116" fillId="0" borderId="7" xfId="0" applyFont="1" applyBorder="1" applyAlignment="1">
      <alignment wrapText="1"/>
    </xf>
    <xf numFmtId="49" fontId="116" fillId="0" borderId="106" xfId="0" applyNumberFormat="1" applyFont="1" applyBorder="1" applyAlignment="1">
      <alignment horizontal="center" vertical="center" wrapText="1"/>
    </xf>
    <xf numFmtId="0" fontId="116" fillId="0" borderId="106" xfId="0" applyFont="1" applyBorder="1" applyAlignment="1">
      <alignment horizontal="center"/>
    </xf>
    <xf numFmtId="0" fontId="116" fillId="0" borderId="106" xfId="0" applyFont="1" applyBorder="1" applyAlignment="1">
      <alignment horizontal="left" indent="1"/>
    </xf>
    <xf numFmtId="0" fontId="116" fillId="83" borderId="106" xfId="0" applyFont="1" applyFill="1" applyBorder="1"/>
    <xf numFmtId="0" fontId="116" fillId="0" borderId="7" xfId="0" applyFont="1" applyBorder="1"/>
    <xf numFmtId="0" fontId="116" fillId="0" borderId="106" xfId="0" applyFont="1" applyBorder="1" applyAlignment="1">
      <alignment horizontal="left" indent="2"/>
    </xf>
    <xf numFmtId="49" fontId="116" fillId="0" borderId="106" xfId="0" applyNumberFormat="1" applyFont="1" applyBorder="1" applyAlignment="1">
      <alignment horizontal="left" indent="3"/>
    </xf>
    <xf numFmtId="49" fontId="116" fillId="0" borderId="106" xfId="0" applyNumberFormat="1" applyFont="1" applyFill="1" applyBorder="1" applyAlignment="1">
      <alignment horizontal="left" indent="3"/>
    </xf>
    <xf numFmtId="49" fontId="116" fillId="0" borderId="106" xfId="0" applyNumberFormat="1" applyFont="1" applyBorder="1" applyAlignment="1">
      <alignment horizontal="left" indent="1"/>
    </xf>
    <xf numFmtId="49" fontId="116" fillId="0" borderId="106" xfId="0" applyNumberFormat="1" applyFont="1" applyFill="1" applyBorder="1" applyAlignment="1">
      <alignment horizontal="left" indent="1"/>
    </xf>
    <xf numFmtId="0" fontId="116" fillId="0" borderId="106" xfId="0" applyNumberFormat="1" applyFont="1" applyBorder="1" applyAlignment="1">
      <alignment horizontal="left" indent="1"/>
    </xf>
    <xf numFmtId="0" fontId="116" fillId="84" borderId="106" xfId="0" applyFont="1" applyFill="1" applyBorder="1"/>
    <xf numFmtId="49" fontId="116" fillId="0" borderId="106" xfId="0" applyNumberFormat="1" applyFont="1" applyBorder="1" applyAlignment="1">
      <alignment horizontal="left" wrapText="1" indent="2"/>
    </xf>
    <xf numFmtId="49" fontId="116" fillId="0" borderId="106" xfId="0" applyNumberFormat="1" applyFont="1" applyFill="1" applyBorder="1" applyAlignment="1">
      <alignment horizontal="left" vertical="top" wrapText="1" indent="2"/>
    </xf>
    <xf numFmtId="49" fontId="116" fillId="0" borderId="106" xfId="0" applyNumberFormat="1" applyFont="1" applyFill="1" applyBorder="1" applyAlignment="1">
      <alignment horizontal="left" wrapText="1" indent="3"/>
    </xf>
    <xf numFmtId="49" fontId="116" fillId="0" borderId="106" xfId="0" applyNumberFormat="1" applyFont="1" applyFill="1" applyBorder="1" applyAlignment="1">
      <alignment horizontal="left" wrapText="1" indent="2"/>
    </xf>
    <xf numFmtId="0" fontId="116" fillId="0" borderId="106" xfId="0" applyNumberFormat="1" applyFont="1" applyFill="1" applyBorder="1" applyAlignment="1">
      <alignment horizontal="left" wrapText="1" indent="1"/>
    </xf>
    <xf numFmtId="0" fontId="118" fillId="0" borderId="137" xfId="0" applyNumberFormat="1" applyFont="1" applyFill="1" applyBorder="1" applyAlignment="1">
      <alignment horizontal="left" vertical="center" wrapText="1"/>
    </xf>
    <xf numFmtId="0" fontId="116" fillId="0" borderId="101" xfId="0" applyFont="1" applyFill="1" applyBorder="1" applyAlignment="1">
      <alignment horizontal="center" vertical="center" wrapText="1"/>
    </xf>
    <xf numFmtId="0" fontId="118" fillId="0" borderId="106" xfId="0" applyNumberFormat="1" applyFont="1" applyFill="1" applyBorder="1" applyAlignment="1">
      <alignment horizontal="left" vertical="center" wrapText="1"/>
    </xf>
    <xf numFmtId="0" fontId="116" fillId="0" borderId="0" xfId="0" applyFont="1" applyAlignment="1">
      <alignment horizontal="center" vertical="center"/>
    </xf>
    <xf numFmtId="0" fontId="124" fillId="0" borderId="0" xfId="0" applyFont="1"/>
    <xf numFmtId="0" fontId="124" fillId="0" borderId="0" xfId="0" applyFont="1" applyAlignment="1">
      <alignment horizontal="center" vertical="center"/>
    </xf>
    <xf numFmtId="0" fontId="116" fillId="0" borderId="106" xfId="0" applyFont="1" applyFill="1" applyBorder="1" applyAlignment="1">
      <alignment horizontal="left" indent="1"/>
    </xf>
    <xf numFmtId="49" fontId="105" fillId="0" borderId="106" xfId="0" applyNumberFormat="1" applyFont="1" applyFill="1" applyBorder="1" applyAlignment="1">
      <alignment horizontal="right" vertical="center"/>
    </xf>
    <xf numFmtId="0" fontId="105" fillId="3" borderId="106" xfId="5" applyNumberFormat="1" applyFont="1" applyFill="1" applyBorder="1" applyAlignment="1" applyProtection="1">
      <alignment horizontal="right" vertical="center"/>
      <protection locked="0"/>
    </xf>
    <xf numFmtId="0" fontId="105" fillId="0" borderId="106" xfId="0" applyNumberFormat="1" applyFont="1" applyFill="1" applyBorder="1" applyAlignment="1">
      <alignment vertical="center" wrapText="1"/>
    </xf>
    <xf numFmtId="0" fontId="105" fillId="81" borderId="106" xfId="0" applyNumberFormat="1" applyFont="1" applyFill="1" applyBorder="1" applyAlignment="1">
      <alignment horizontal="left" vertical="center" wrapText="1"/>
    </xf>
    <xf numFmtId="0" fontId="125" fillId="0" borderId="106" xfId="0" applyNumberFormat="1" applyFont="1" applyFill="1" applyBorder="1" applyAlignment="1">
      <alignment horizontal="left" vertical="center" wrapText="1"/>
    </xf>
    <xf numFmtId="0" fontId="105" fillId="0" borderId="106" xfId="0" applyNumberFormat="1" applyFont="1" applyFill="1" applyBorder="1" applyAlignment="1">
      <alignment vertical="center"/>
    </xf>
    <xf numFmtId="0" fontId="125" fillId="0" borderId="106" xfId="0" applyNumberFormat="1" applyFont="1" applyFill="1" applyBorder="1" applyAlignment="1">
      <alignment vertical="center" wrapText="1"/>
    </xf>
    <xf numFmtId="2" fontId="105" fillId="3" borderId="106" xfId="5" applyNumberFormat="1" applyFont="1" applyFill="1" applyBorder="1" applyAlignment="1" applyProtection="1">
      <alignment horizontal="right" vertical="center"/>
      <protection locked="0"/>
    </xf>
    <xf numFmtId="0" fontId="105" fillId="0" borderId="106" xfId="0" applyNumberFormat="1" applyFont="1" applyFill="1" applyBorder="1" applyAlignment="1">
      <alignment horizontal="left" vertical="center" wrapText="1"/>
    </xf>
    <xf numFmtId="0" fontId="105" fillId="0" borderId="106" xfId="0" applyNumberFormat="1" applyFont="1" applyFill="1" applyBorder="1" applyAlignment="1">
      <alignment horizontal="right" vertical="center"/>
    </xf>
    <xf numFmtId="0" fontId="126" fillId="0" borderId="0" xfId="0" applyFont="1" applyFill="1" applyBorder="1" applyAlignment="1"/>
    <xf numFmtId="0" fontId="105" fillId="0" borderId="106" xfId="12672" applyFont="1" applyFill="1" applyBorder="1" applyAlignment="1">
      <alignment horizontal="left" vertical="center" wrapText="1"/>
    </xf>
    <xf numFmtId="0" fontId="105" fillId="0" borderId="101" xfId="0" applyNumberFormat="1" applyFont="1" applyFill="1" applyBorder="1" applyAlignment="1">
      <alignment horizontal="left" vertical="top" wrapText="1"/>
    </xf>
    <xf numFmtId="0" fontId="127" fillId="0" borderId="106" xfId="0" applyFont="1" applyBorder="1"/>
    <xf numFmtId="0" fontId="125" fillId="0" borderId="106" xfId="0" applyFont="1" applyBorder="1" applyAlignment="1">
      <alignment horizontal="left" vertical="top" wrapText="1"/>
    </xf>
    <xf numFmtId="0" fontId="125" fillId="0" borderId="106" xfId="0" applyFont="1" applyBorder="1"/>
    <xf numFmtId="0" fontId="125" fillId="0" borderId="106" xfId="0" applyFont="1" applyBorder="1" applyAlignment="1">
      <alignment horizontal="left" wrapText="1" indent="2"/>
    </xf>
    <xf numFmtId="0" fontId="105" fillId="0" borderId="106" xfId="12672" applyFont="1" applyFill="1" applyBorder="1" applyAlignment="1">
      <alignment horizontal="left" vertical="center" wrapText="1" indent="2"/>
    </xf>
    <xf numFmtId="0" fontId="125" fillId="0" borderId="106" xfId="0" applyFont="1" applyBorder="1" applyAlignment="1">
      <alignment horizontal="left" vertical="top" wrapText="1" indent="2"/>
    </xf>
    <xf numFmtId="0" fontId="127" fillId="0" borderId="7" xfId="0" applyFont="1" applyBorder="1"/>
    <xf numFmtId="0" fontId="125" fillId="0" borderId="106" xfId="0" applyFont="1" applyFill="1" applyBorder="1" applyAlignment="1">
      <alignment horizontal="left" wrapText="1" indent="2"/>
    </xf>
    <xf numFmtId="0" fontId="125" fillId="0" borderId="106" xfId="0" applyFont="1" applyBorder="1" applyAlignment="1">
      <alignment horizontal="left" indent="1"/>
    </xf>
    <xf numFmtId="0" fontId="125" fillId="0" borderId="106" xfId="0" applyFont="1" applyBorder="1" applyAlignment="1">
      <alignment horizontal="left" indent="2"/>
    </xf>
    <xf numFmtId="49" fontId="125" fillId="0" borderId="106" xfId="0" applyNumberFormat="1" applyFont="1" applyFill="1" applyBorder="1" applyAlignment="1">
      <alignment horizontal="left" indent="3"/>
    </xf>
    <xf numFmtId="49" fontId="125" fillId="0" borderId="106" xfId="0" applyNumberFormat="1" applyFont="1" applyFill="1" applyBorder="1" applyAlignment="1">
      <alignment horizontal="left" vertical="center" indent="1"/>
    </xf>
    <xf numFmtId="0" fontId="105" fillId="0" borderId="106" xfId="0" applyFont="1" applyFill="1" applyBorder="1" applyAlignment="1">
      <alignment vertical="center" wrapText="1"/>
    </xf>
    <xf numFmtId="49" fontId="125" fillId="0" borderId="106" xfId="0" applyNumberFormat="1" applyFont="1" applyFill="1" applyBorder="1" applyAlignment="1">
      <alignment horizontal="left" vertical="top" wrapText="1" indent="2"/>
    </xf>
    <xf numFmtId="49" fontId="125" fillId="0" borderId="106" xfId="0" applyNumberFormat="1" applyFont="1" applyFill="1" applyBorder="1" applyAlignment="1">
      <alignment horizontal="left" vertical="top" wrapText="1"/>
    </xf>
    <xf numFmtId="49" fontId="125" fillId="0" borderId="106" xfId="0" applyNumberFormat="1" applyFont="1" applyFill="1" applyBorder="1" applyAlignment="1">
      <alignment horizontal="left" wrapText="1" indent="3"/>
    </xf>
    <xf numFmtId="49" fontId="125" fillId="0" borderId="106" xfId="0" applyNumberFormat="1" applyFont="1" applyFill="1" applyBorder="1" applyAlignment="1">
      <alignment horizontal="left" wrapText="1" indent="2"/>
    </xf>
    <xf numFmtId="49" fontId="125" fillId="0" borderId="106" xfId="0" applyNumberFormat="1" applyFont="1" applyFill="1" applyBorder="1" applyAlignment="1">
      <alignment vertical="top" wrapText="1"/>
    </xf>
    <xf numFmtId="0" fontId="11" fillId="0" borderId="106" xfId="17" applyFill="1" applyBorder="1" applyAlignment="1" applyProtection="1">
      <alignment wrapText="1"/>
    </xf>
    <xf numFmtId="49" fontId="125" fillId="0" borderId="106" xfId="0" applyNumberFormat="1" applyFont="1" applyFill="1" applyBorder="1" applyAlignment="1">
      <alignment horizontal="left" vertical="center" wrapText="1" indent="3"/>
    </xf>
    <xf numFmtId="49" fontId="116" fillId="0" borderId="106" xfId="0" applyNumberFormat="1" applyFont="1" applyFill="1" applyBorder="1" applyAlignment="1">
      <alignment horizontal="left" wrapText="1" indent="1"/>
    </xf>
    <xf numFmtId="0" fontId="125" fillId="0" borderId="106" xfId="0" applyFont="1" applyBorder="1" applyAlignment="1">
      <alignment horizontal="left" vertical="center" wrapText="1" indent="2"/>
    </xf>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7" xfId="0" applyFont="1" applyBorder="1" applyAlignment="1">
      <alignment horizontal="center" vertical="center" wrapText="1"/>
    </xf>
    <xf numFmtId="0" fontId="116" fillId="0" borderId="106" xfId="0" applyFont="1" applyBorder="1" applyAlignment="1">
      <alignment horizontal="center" vertical="center" wrapText="1"/>
    </xf>
    <xf numFmtId="0" fontId="119" fillId="0" borderId="106"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05" fillId="0" borderId="106" xfId="0" applyFont="1" applyFill="1" applyBorder="1" applyAlignment="1">
      <alignment horizontal="left" vertical="center" wrapText="1"/>
    </xf>
    <xf numFmtId="0" fontId="105" fillId="0" borderId="105" xfId="0" applyNumberFormat="1" applyFont="1" applyFill="1" applyBorder="1" applyAlignment="1">
      <alignment horizontal="left" vertical="center" wrapText="1"/>
    </xf>
    <xf numFmtId="0" fontId="105" fillId="81" borderId="106" xfId="0" applyFont="1" applyFill="1" applyBorder="1" applyAlignment="1">
      <alignment horizontal="left" vertical="center" wrapText="1"/>
    </xf>
    <xf numFmtId="0" fontId="129" fillId="0" borderId="106" xfId="0" applyFont="1" applyBorder="1"/>
    <xf numFmtId="0" fontId="130" fillId="0" borderId="106" xfId="17" applyFont="1" applyBorder="1" applyAlignment="1" applyProtection="1"/>
    <xf numFmtId="0" fontId="10" fillId="0" borderId="0" xfId="11" applyFont="1" applyFill="1" applyBorder="1" applyProtection="1"/>
    <xf numFmtId="0" fontId="131" fillId="0" borderId="0" xfId="0" applyFont="1"/>
    <xf numFmtId="179" fontId="131" fillId="0" borderId="0" xfId="0" applyNumberFormat="1" applyFont="1" applyAlignment="1">
      <alignment horizontal="left"/>
    </xf>
    <xf numFmtId="0" fontId="132" fillId="0" borderId="20" xfId="0" applyNumberFormat="1" applyFont="1" applyFill="1" applyBorder="1" applyAlignment="1">
      <alignment horizontal="center" vertical="center" wrapText="1"/>
    </xf>
    <xf numFmtId="0" fontId="132" fillId="0" borderId="21" xfId="0" applyNumberFormat="1" applyFont="1" applyFill="1" applyBorder="1" applyAlignment="1">
      <alignment horizontal="center" vertical="center" wrapText="1"/>
    </xf>
    <xf numFmtId="193" fontId="2" fillId="0" borderId="106" xfId="0" applyNumberFormat="1" applyFont="1" applyFill="1" applyBorder="1" applyAlignment="1" applyProtection="1">
      <alignment vertical="center" wrapText="1"/>
      <protection locked="0"/>
    </xf>
    <xf numFmtId="193" fontId="133" fillId="0" borderId="106" xfId="0" applyNumberFormat="1" applyFont="1" applyFill="1" applyBorder="1" applyAlignment="1" applyProtection="1">
      <alignment vertical="center" wrapText="1"/>
      <protection locked="0"/>
    </xf>
    <xf numFmtId="193" fontId="133" fillId="0" borderId="121" xfId="0" applyNumberFormat="1" applyFont="1" applyFill="1" applyBorder="1" applyAlignment="1" applyProtection="1">
      <alignment vertical="center" wrapText="1"/>
      <protection locked="0"/>
    </xf>
    <xf numFmtId="169" fontId="2" fillId="37" borderId="0" xfId="20" applyFont="1" applyBorder="1"/>
    <xf numFmtId="169" fontId="2" fillId="37" borderId="99" xfId="20" applyFont="1" applyBorder="1"/>
    <xf numFmtId="193" fontId="2" fillId="0" borderId="106" xfId="0" applyNumberFormat="1" applyFont="1" applyFill="1" applyBorder="1" applyAlignment="1" applyProtection="1">
      <alignment horizontal="right" vertical="center" wrapText="1"/>
      <protection locked="0"/>
    </xf>
    <xf numFmtId="193" fontId="62" fillId="0" borderId="106" xfId="0" applyNumberFormat="1" applyFont="1" applyFill="1" applyBorder="1" applyAlignment="1" applyProtection="1">
      <alignment horizontal="right" vertical="center" wrapText="1"/>
      <protection locked="0"/>
    </xf>
    <xf numFmtId="10" fontId="2" fillId="0" borderId="106" xfId="20961" applyNumberFormat="1" applyFont="1" applyBorder="1" applyAlignment="1" applyProtection="1">
      <alignment horizontal="right" vertical="center" wrapText="1"/>
      <protection locked="0"/>
    </xf>
    <xf numFmtId="10" fontId="133" fillId="0" borderId="106" xfId="20961" applyNumberFormat="1" applyFont="1" applyBorder="1" applyAlignment="1" applyProtection="1">
      <alignment vertical="center" wrapText="1"/>
      <protection locked="0"/>
    </xf>
    <xf numFmtId="10" fontId="133" fillId="0" borderId="121" xfId="20961" applyNumberFormat="1" applyFont="1" applyBorder="1" applyAlignment="1" applyProtection="1">
      <alignment vertical="center" wrapText="1"/>
      <protection locked="0"/>
    </xf>
    <xf numFmtId="10" fontId="2" fillId="2" borderId="106" xfId="20961" applyNumberFormat="1" applyFont="1" applyFill="1" applyBorder="1" applyAlignment="1" applyProtection="1">
      <alignment vertical="center"/>
      <protection locked="0"/>
    </xf>
    <xf numFmtId="10" fontId="134" fillId="2" borderId="106" xfId="20961" applyNumberFormat="1" applyFont="1" applyFill="1" applyBorder="1" applyAlignment="1" applyProtection="1">
      <alignment vertical="center"/>
      <protection locked="0"/>
    </xf>
    <xf numFmtId="10" fontId="134" fillId="2" borderId="121" xfId="20961" applyNumberFormat="1" applyFont="1" applyFill="1" applyBorder="1" applyAlignment="1" applyProtection="1">
      <alignment vertical="center"/>
      <protection locked="0"/>
    </xf>
    <xf numFmtId="10" fontId="135" fillId="0" borderId="106" xfId="20961" applyNumberFormat="1" applyFont="1" applyFill="1" applyBorder="1" applyAlignment="1" applyProtection="1">
      <alignment horizontal="center" vertical="center" wrapText="1"/>
      <protection locked="0"/>
    </xf>
    <xf numFmtId="10" fontId="133" fillId="0" borderId="106" xfId="20961" applyNumberFormat="1" applyFont="1" applyFill="1" applyBorder="1" applyAlignment="1" applyProtection="1">
      <alignment horizontal="center" vertical="center" wrapText="1"/>
      <protection locked="0"/>
    </xf>
    <xf numFmtId="10" fontId="133" fillId="0" borderId="121" xfId="20961" applyNumberFormat="1" applyFont="1" applyFill="1" applyBorder="1" applyAlignment="1" applyProtection="1">
      <alignment horizontal="center" vertical="center" wrapText="1"/>
      <protection locked="0"/>
    </xf>
    <xf numFmtId="193" fontId="2" fillId="2" borderId="106" xfId="0" applyNumberFormat="1" applyFont="1" applyFill="1" applyBorder="1" applyAlignment="1" applyProtection="1">
      <alignment vertical="center"/>
      <protection locked="0"/>
    </xf>
    <xf numFmtId="193" fontId="134" fillId="2" borderId="106" xfId="0" applyNumberFormat="1" applyFont="1" applyFill="1" applyBorder="1" applyAlignment="1" applyProtection="1">
      <alignment vertical="center"/>
      <protection locked="0"/>
    </xf>
    <xf numFmtId="193" fontId="134" fillId="2" borderId="121" xfId="0" applyNumberFormat="1" applyFont="1" applyFill="1" applyBorder="1" applyAlignment="1" applyProtection="1">
      <alignment vertical="center"/>
      <protection locked="0"/>
    </xf>
    <xf numFmtId="10" fontId="2" fillId="2" borderId="101" xfId="20961" applyNumberFormat="1" applyFont="1" applyFill="1" applyBorder="1" applyAlignment="1" applyProtection="1">
      <alignment vertical="center"/>
      <protection locked="0"/>
    </xf>
    <xf numFmtId="10" fontId="134" fillId="2" borderId="101" xfId="20961" applyNumberFormat="1" applyFont="1" applyFill="1" applyBorder="1" applyAlignment="1" applyProtection="1">
      <alignment vertical="center"/>
      <protection locked="0"/>
    </xf>
    <xf numFmtId="10" fontId="134" fillId="2" borderId="115" xfId="20961" applyNumberFormat="1" applyFont="1" applyFill="1" applyBorder="1" applyAlignment="1" applyProtection="1">
      <alignment vertical="center"/>
      <protection locked="0"/>
    </xf>
    <xf numFmtId="193" fontId="2" fillId="2" borderId="101" xfId="0" applyNumberFormat="1" applyFont="1" applyFill="1" applyBorder="1" applyAlignment="1" applyProtection="1">
      <alignment vertical="center"/>
      <protection locked="0"/>
    </xf>
    <xf numFmtId="193" fontId="134" fillId="2" borderId="101" xfId="0" applyNumberFormat="1" applyFont="1" applyFill="1" applyBorder="1" applyAlignment="1" applyProtection="1">
      <alignment vertical="center"/>
      <protection locked="0"/>
    </xf>
    <xf numFmtId="193" fontId="134" fillId="2" borderId="115" xfId="0" applyNumberFormat="1" applyFont="1" applyFill="1" applyBorder="1" applyAlignment="1" applyProtection="1">
      <alignment vertical="center"/>
      <protection locked="0"/>
    </xf>
    <xf numFmtId="10" fontId="2" fillId="2" borderId="26" xfId="20961" applyNumberFormat="1" applyFont="1" applyFill="1" applyBorder="1" applyAlignment="1" applyProtection="1">
      <alignment vertical="center"/>
      <protection locked="0"/>
    </xf>
    <xf numFmtId="10" fontId="134" fillId="2" borderId="26" xfId="20961" applyNumberFormat="1" applyFont="1" applyFill="1" applyBorder="1" applyAlignment="1" applyProtection="1">
      <alignment vertical="center"/>
      <protection locked="0"/>
    </xf>
    <xf numFmtId="10" fontId="134" fillId="2" borderId="27" xfId="20961" applyNumberFormat="1" applyFont="1" applyFill="1" applyBorder="1" applyAlignment="1" applyProtection="1">
      <alignment vertical="center"/>
      <protection locked="0"/>
    </xf>
    <xf numFmtId="0" fontId="9" fillId="0" borderId="123" xfId="0" applyFont="1" applyFill="1" applyBorder="1" applyAlignment="1" applyProtection="1">
      <alignment horizontal="left" indent="1"/>
    </xf>
    <xf numFmtId="0" fontId="10" fillId="0" borderId="107" xfId="0" applyFont="1" applyFill="1" applyBorder="1" applyAlignment="1" applyProtection="1">
      <alignment horizontal="center"/>
    </xf>
    <xf numFmtId="0" fontId="9" fillId="0" borderId="106" xfId="0" applyFont="1" applyFill="1" applyBorder="1" applyAlignment="1" applyProtection="1">
      <alignment horizontal="center" vertical="center" wrapText="1"/>
    </xf>
    <xf numFmtId="0" fontId="9" fillId="0" borderId="121" xfId="0" applyFont="1" applyFill="1" applyBorder="1" applyAlignment="1" applyProtection="1">
      <alignment horizontal="center" vertical="center" wrapText="1"/>
    </xf>
    <xf numFmtId="0" fontId="9" fillId="0" borderId="107" xfId="0" applyFont="1" applyFill="1" applyBorder="1" applyAlignment="1" applyProtection="1">
      <alignment horizontal="left" indent="1"/>
    </xf>
    <xf numFmtId="164" fontId="7" fillId="0" borderId="106" xfId="7" applyNumberFormat="1" applyFont="1" applyFill="1" applyBorder="1" applyAlignment="1" applyProtection="1">
      <alignment horizontal="right"/>
    </xf>
    <xf numFmtId="164" fontId="15" fillId="36" borderId="106" xfId="7" applyNumberFormat="1" applyFont="1" applyFill="1" applyBorder="1" applyAlignment="1" applyProtection="1">
      <alignment horizontal="right"/>
    </xf>
    <xf numFmtId="164" fontId="7" fillId="0" borderId="105" xfId="7" applyNumberFormat="1" applyFont="1" applyFill="1" applyBorder="1" applyAlignment="1" applyProtection="1">
      <alignment horizontal="right"/>
    </xf>
    <xf numFmtId="164" fontId="15" fillId="36" borderId="121" xfId="7" applyNumberFormat="1" applyFont="1" applyFill="1" applyBorder="1" applyAlignment="1" applyProtection="1">
      <alignment horizontal="right"/>
    </xf>
    <xf numFmtId="0" fontId="9" fillId="0" borderId="107" xfId="0" applyFont="1" applyFill="1" applyBorder="1" applyAlignment="1" applyProtection="1">
      <alignment horizontal="left" indent="2"/>
    </xf>
    <xf numFmtId="38" fontId="7" fillId="0" borderId="106" xfId="7" applyNumberFormat="1" applyFont="1" applyFill="1" applyBorder="1" applyAlignment="1" applyProtection="1">
      <alignment horizontal="right"/>
    </xf>
    <xf numFmtId="38" fontId="15" fillId="36" borderId="106" xfId="7" applyNumberFormat="1" applyFont="1" applyFill="1" applyBorder="1" applyAlignment="1" applyProtection="1">
      <alignment horizontal="right"/>
    </xf>
    <xf numFmtId="38" fontId="7" fillId="0" borderId="105" xfId="7" applyNumberFormat="1" applyFont="1" applyFill="1" applyBorder="1" applyAlignment="1" applyProtection="1">
      <alignment horizontal="right"/>
    </xf>
    <xf numFmtId="38" fontId="15" fillId="36" borderId="121" xfId="7" applyNumberFormat="1" applyFont="1" applyFill="1" applyBorder="1" applyAlignment="1" applyProtection="1">
      <alignment horizontal="right"/>
    </xf>
    <xf numFmtId="0" fontId="10" fillId="0" borderId="107" xfId="0" applyFont="1" applyFill="1" applyBorder="1" applyAlignment="1" applyProtection="1"/>
    <xf numFmtId="164" fontId="7" fillId="0" borderId="106" xfId="7" applyNumberFormat="1" applyFont="1" applyFill="1" applyBorder="1" applyAlignment="1" applyProtection="1">
      <alignment horizontal="right"/>
      <protection locked="0"/>
    </xf>
    <xf numFmtId="164" fontId="7" fillId="0" borderId="105" xfId="7" applyNumberFormat="1" applyFont="1" applyFill="1" applyBorder="1" applyAlignment="1" applyProtection="1">
      <alignment horizontal="right"/>
      <protection locked="0"/>
    </xf>
    <xf numFmtId="164" fontId="7" fillId="0" borderId="121" xfId="7" applyNumberFormat="1" applyFont="1" applyFill="1" applyBorder="1" applyAlignment="1" applyProtection="1">
      <alignment horizontal="right"/>
    </xf>
    <xf numFmtId="164" fontId="15" fillId="0" borderId="106" xfId="7" applyNumberFormat="1" applyFont="1" applyFill="1" applyBorder="1" applyAlignment="1" applyProtection="1">
      <alignment horizontal="right"/>
    </xf>
    <xf numFmtId="164" fontId="15" fillId="0" borderId="105" xfId="7" applyNumberFormat="1" applyFont="1" applyFill="1" applyBorder="1" applyAlignment="1" applyProtection="1">
      <alignment horizontal="right"/>
    </xf>
    <xf numFmtId="164" fontId="15" fillId="36" borderId="26" xfId="7" applyNumberFormat="1" applyFont="1" applyFill="1" applyBorder="1" applyAlignment="1" applyProtection="1">
      <alignment horizontal="right"/>
    </xf>
    <xf numFmtId="164" fontId="15" fillId="36" borderId="27" xfId="7" applyNumberFormat="1" applyFont="1" applyFill="1" applyBorder="1" applyAlignment="1" applyProtection="1">
      <alignment horizontal="right"/>
    </xf>
    <xf numFmtId="0" fontId="19" fillId="0" borderId="123" xfId="0" applyFont="1" applyFill="1" applyBorder="1" applyAlignment="1">
      <alignment horizontal="left" vertical="center" indent="1"/>
    </xf>
    <xf numFmtId="0" fontId="19" fillId="0" borderId="106" xfId="0" applyFont="1" applyFill="1" applyBorder="1" applyAlignment="1">
      <alignment horizontal="left" vertical="center"/>
    </xf>
    <xf numFmtId="0" fontId="19" fillId="0" borderId="106" xfId="0" applyFont="1" applyFill="1" applyBorder="1" applyAlignment="1">
      <alignment horizontal="center" vertical="center" wrapText="1"/>
    </xf>
    <xf numFmtId="0" fontId="19" fillId="0" borderId="121" xfId="0" applyFont="1" applyFill="1" applyBorder="1" applyAlignment="1">
      <alignment horizontal="center" vertical="center" wrapText="1"/>
    </xf>
    <xf numFmtId="0" fontId="19" fillId="0" borderId="123" xfId="0" applyFont="1" applyFill="1" applyBorder="1" applyAlignment="1">
      <alignment horizontal="left" indent="1"/>
    </xf>
    <xf numFmtId="0" fontId="20" fillId="0" borderId="106" xfId="0" applyFont="1" applyFill="1" applyBorder="1" applyAlignment="1">
      <alignment horizontal="center"/>
    </xf>
    <xf numFmtId="38" fontId="19" fillId="0" borderId="106" xfId="0" applyNumberFormat="1" applyFont="1" applyFill="1" applyBorder="1" applyAlignment="1" applyProtection="1">
      <alignment horizontal="right"/>
      <protection locked="0"/>
    </xf>
    <xf numFmtId="38" fontId="19" fillId="0" borderId="121" xfId="0" applyNumberFormat="1" applyFont="1" applyFill="1" applyBorder="1" applyAlignment="1" applyProtection="1">
      <alignment horizontal="right"/>
      <protection locked="0"/>
    </xf>
    <xf numFmtId="0" fontId="19" fillId="0" borderId="106" xfId="0" applyFont="1" applyFill="1" applyBorder="1" applyAlignment="1">
      <alignment horizontal="left" wrapText="1" indent="1"/>
    </xf>
    <xf numFmtId="38" fontId="7" fillId="0" borderId="50" xfId="0" applyNumberFormat="1" applyFont="1" applyFill="1" applyBorder="1" applyAlignment="1" applyProtection="1">
      <alignment horizontal="right"/>
      <protection locked="0"/>
    </xf>
    <xf numFmtId="38" fontId="7" fillId="0" borderId="106" xfId="0" applyNumberFormat="1" applyFont="1" applyFill="1" applyBorder="1" applyAlignment="1" applyProtection="1">
      <alignment horizontal="right"/>
      <protection locked="0"/>
    </xf>
    <xf numFmtId="38" fontId="15" fillId="36" borderId="106" xfId="0" applyNumberFormat="1" applyFont="1" applyFill="1" applyBorder="1" applyAlignment="1">
      <alignment horizontal="right"/>
    </xf>
    <xf numFmtId="0" fontId="19" fillId="0" borderId="106" xfId="0" applyFont="1" applyFill="1" applyBorder="1" applyAlignment="1">
      <alignment horizontal="left" wrapText="1" indent="2"/>
    </xf>
    <xf numFmtId="0" fontId="20" fillId="0" borderId="106" xfId="0" applyFont="1" applyFill="1" applyBorder="1" applyAlignment="1"/>
    <xf numFmtId="38" fontId="7" fillId="0" borderId="121" xfId="7" applyNumberFormat="1" applyFont="1" applyFill="1" applyBorder="1" applyAlignment="1" applyProtection="1">
      <alignment horizontal="right"/>
    </xf>
    <xf numFmtId="0" fontId="20" fillId="0" borderId="106" xfId="0" applyFont="1" applyFill="1" applyBorder="1" applyAlignment="1">
      <alignment horizontal="left"/>
    </xf>
    <xf numFmtId="38" fontId="15" fillId="0" borderId="106" xfId="0" applyNumberFormat="1" applyFont="1" applyFill="1" applyBorder="1" applyAlignment="1">
      <alignment horizontal="center"/>
    </xf>
    <xf numFmtId="38" fontId="15" fillId="0" borderId="121" xfId="0" applyNumberFormat="1" applyFont="1" applyFill="1" applyBorder="1" applyAlignment="1">
      <alignment horizontal="center"/>
    </xf>
    <xf numFmtId="0" fontId="19" fillId="0" borderId="106" xfId="0" applyFont="1" applyFill="1" applyBorder="1" applyAlignment="1">
      <alignment horizontal="left" indent="1"/>
    </xf>
    <xf numFmtId="38" fontId="15" fillId="36" borderId="106" xfId="0" applyNumberFormat="1" applyFont="1" applyFill="1" applyBorder="1" applyAlignment="1" applyProtection="1">
      <alignment horizontal="right"/>
    </xf>
    <xf numFmtId="38" fontId="7" fillId="0" borderId="121" xfId="0" applyNumberFormat="1" applyFont="1" applyFill="1" applyBorder="1" applyAlignment="1" applyProtection="1">
      <alignment horizontal="right"/>
      <protection locked="0"/>
    </xf>
    <xf numFmtId="38" fontId="15" fillId="36" borderId="106" xfId="7" applyNumberFormat="1" applyFont="1" applyFill="1" applyBorder="1" applyAlignment="1" applyProtection="1"/>
    <xf numFmtId="38" fontId="7" fillId="0" borderId="106" xfId="0" applyNumberFormat="1" applyFont="1" applyFill="1" applyBorder="1" applyAlignment="1" applyProtection="1">
      <protection locked="0"/>
    </xf>
    <xf numFmtId="38" fontId="15" fillId="36" borderId="121" xfId="7" applyNumberFormat="1" applyFont="1" applyFill="1" applyBorder="1" applyAlignment="1" applyProtection="1"/>
    <xf numFmtId="0" fontId="20" fillId="0" borderId="106" xfId="0" applyFont="1" applyFill="1" applyBorder="1" applyAlignment="1">
      <alignment horizontal="left" indent="1"/>
    </xf>
    <xf numFmtId="0" fontId="20" fillId="0" borderId="106" xfId="0" applyFont="1" applyFill="1" applyBorder="1" applyAlignment="1">
      <alignment horizontal="center" vertical="center" wrapText="1"/>
    </xf>
    <xf numFmtId="38" fontId="7" fillId="0" borderId="106" xfId="0" applyNumberFormat="1" applyFont="1" applyFill="1" applyBorder="1" applyAlignment="1" applyProtection="1">
      <alignment horizontal="right" vertical="center"/>
      <protection locked="0"/>
    </xf>
    <xf numFmtId="38" fontId="15" fillId="36" borderId="26" xfId="0" applyNumberFormat="1" applyFont="1" applyFill="1" applyBorder="1" applyAlignment="1">
      <alignment horizontal="right"/>
    </xf>
    <xf numFmtId="38" fontId="15" fillId="36" borderId="26" xfId="7" applyNumberFormat="1" applyFont="1" applyFill="1" applyBorder="1" applyAlignment="1" applyProtection="1">
      <alignment horizontal="right"/>
    </xf>
    <xf numFmtId="38" fontId="15" fillId="36" borderId="27" xfId="7" applyNumberFormat="1" applyFont="1" applyFill="1" applyBorder="1" applyAlignment="1" applyProtection="1">
      <alignment horizontal="right"/>
    </xf>
    <xf numFmtId="0" fontId="15" fillId="0" borderId="105" xfId="0" applyNumberFormat="1" applyFont="1" applyFill="1" applyBorder="1" applyAlignment="1">
      <alignment vertical="center" wrapText="1"/>
    </xf>
    <xf numFmtId="0" fontId="7" fillId="0" borderId="105" xfId="0" applyNumberFormat="1" applyFont="1" applyFill="1" applyBorder="1" applyAlignment="1">
      <alignment horizontal="left" vertical="center" wrapText="1"/>
    </xf>
    <xf numFmtId="38" fontId="7" fillId="0" borderId="106" xfId="0" applyNumberFormat="1" applyFont="1" applyFill="1" applyBorder="1" applyAlignment="1" applyProtection="1">
      <alignment horizontal="right"/>
    </xf>
    <xf numFmtId="38" fontId="15" fillId="80" borderId="106" xfId="0" applyNumberFormat="1" applyFont="1" applyFill="1" applyBorder="1" applyAlignment="1" applyProtection="1">
      <alignment horizontal="right"/>
    </xf>
    <xf numFmtId="0" fontId="17" fillId="0" borderId="105" xfId="0" applyFont="1" applyFill="1" applyBorder="1" applyAlignment="1" applyProtection="1">
      <alignment horizontal="left" vertical="center" indent="1"/>
      <protection locked="0"/>
    </xf>
    <xf numFmtId="0" fontId="17" fillId="0" borderId="105" xfId="0" applyFont="1" applyFill="1" applyBorder="1" applyAlignment="1" applyProtection="1">
      <alignment horizontal="left" vertical="center"/>
      <protection locked="0"/>
    </xf>
    <xf numFmtId="0" fontId="15" fillId="0" borderId="124" xfId="0" applyNumberFormat="1" applyFont="1" applyFill="1" applyBorder="1" applyAlignment="1">
      <alignment vertical="center" wrapText="1"/>
    </xf>
    <xf numFmtId="38" fontId="15" fillId="36" borderId="26" xfId="0" applyNumberFormat="1" applyFont="1" applyFill="1" applyBorder="1" applyAlignment="1" applyProtection="1">
      <alignment horizontal="right"/>
    </xf>
    <xf numFmtId="38" fontId="6" fillId="36" borderId="106" xfId="7" applyNumberFormat="1" applyFont="1" applyFill="1" applyBorder="1" applyAlignment="1">
      <alignment vertical="center" wrapText="1"/>
    </xf>
    <xf numFmtId="38" fontId="6" fillId="36" borderId="121" xfId="7" applyNumberFormat="1" applyFont="1" applyFill="1" applyBorder="1" applyAlignment="1">
      <alignment vertical="center" wrapText="1"/>
    </xf>
    <xf numFmtId="38" fontId="6" fillId="0" borderId="106" xfId="7" applyNumberFormat="1" applyFont="1" applyBorder="1" applyAlignment="1">
      <alignment vertical="center" wrapText="1"/>
    </xf>
    <xf numFmtId="38" fontId="6" fillId="0" borderId="121" xfId="7" applyNumberFormat="1" applyFont="1" applyBorder="1" applyAlignment="1">
      <alignment vertical="center" wrapText="1"/>
    </xf>
    <xf numFmtId="38" fontId="6" fillId="0" borderId="106" xfId="7" applyNumberFormat="1" applyFont="1" applyFill="1" applyBorder="1" applyAlignment="1">
      <alignment vertical="center" wrapText="1"/>
    </xf>
    <xf numFmtId="38" fontId="6" fillId="0" borderId="121" xfId="7" applyNumberFormat="1" applyFont="1" applyFill="1" applyBorder="1" applyAlignment="1">
      <alignment vertical="center" wrapText="1"/>
    </xf>
    <xf numFmtId="38" fontId="6" fillId="36" borderId="26" xfId="7" applyNumberFormat="1" applyFont="1" applyFill="1" applyBorder="1" applyAlignment="1">
      <alignment vertical="center" wrapText="1"/>
    </xf>
    <xf numFmtId="38" fontId="6" fillId="36" borderId="27" xfId="7" applyNumberFormat="1" applyFont="1" applyFill="1" applyBorder="1" applyAlignment="1">
      <alignment vertical="center" wrapText="1"/>
    </xf>
    <xf numFmtId="0" fontId="136" fillId="0" borderId="1" xfId="0" applyFont="1" applyFill="1" applyBorder="1" applyAlignment="1">
      <alignment horizontal="center"/>
    </xf>
    <xf numFmtId="0" fontId="13" fillId="0" borderId="107" xfId="0" applyFont="1" applyBorder="1" applyAlignment="1">
      <alignment wrapText="1"/>
    </xf>
    <xf numFmtId="9" fontId="4" fillId="0" borderId="24" xfId="0" applyNumberFormat="1" applyFont="1" applyBorder="1" applyAlignment="1"/>
    <xf numFmtId="0" fontId="9" fillId="0" borderId="123" xfId="0" applyFont="1" applyBorder="1" applyAlignment="1">
      <alignment vertical="center"/>
    </xf>
    <xf numFmtId="10" fontId="4" fillId="0" borderId="24" xfId="20961" applyNumberFormat="1" applyFont="1" applyFill="1" applyBorder="1" applyAlignment="1"/>
    <xf numFmtId="10" fontId="4" fillId="0" borderId="42" xfId="20961" applyNumberFormat="1" applyFont="1" applyFill="1" applyBorder="1" applyAlignment="1"/>
    <xf numFmtId="193" fontId="133" fillId="0" borderId="121" xfId="0" applyNumberFormat="1" applyFont="1" applyFill="1" applyBorder="1" applyAlignment="1">
      <alignment horizontal="center" vertical="center"/>
    </xf>
    <xf numFmtId="193" fontId="137" fillId="36" borderId="27" xfId="0" applyNumberFormat="1" applyFont="1" applyFill="1" applyBorder="1" applyAlignment="1">
      <alignment horizontal="center" vertical="center"/>
    </xf>
    <xf numFmtId="193" fontId="133" fillId="0" borderId="106" xfId="0" applyNumberFormat="1" applyFont="1" applyFill="1" applyBorder="1" applyAlignment="1">
      <alignment horizontal="center" vertical="center"/>
    </xf>
    <xf numFmtId="193" fontId="138" fillId="0" borderId="106" xfId="0" applyNumberFormat="1" applyFont="1" applyFill="1" applyBorder="1" applyAlignment="1">
      <alignment horizontal="center" vertical="center"/>
    </xf>
    <xf numFmtId="193" fontId="137" fillId="36" borderId="26" xfId="0" applyNumberFormat="1" applyFont="1" applyFill="1" applyBorder="1" applyAlignment="1">
      <alignment horizontal="center" vertical="center"/>
    </xf>
    <xf numFmtId="193" fontId="137" fillId="36" borderId="21" xfId="0" applyNumberFormat="1" applyFont="1" applyFill="1" applyBorder="1" applyAlignment="1">
      <alignment horizontal="center" vertical="center"/>
    </xf>
    <xf numFmtId="193" fontId="133" fillId="0" borderId="121" xfId="0" applyNumberFormat="1" applyFont="1" applyBorder="1" applyAlignment="1"/>
    <xf numFmtId="193" fontId="133" fillId="0" borderId="121" xfId="0" applyNumberFormat="1" applyFont="1" applyBorder="1" applyAlignment="1">
      <alignment wrapText="1"/>
    </xf>
    <xf numFmtId="193" fontId="137" fillId="36" borderId="121" xfId="0" applyNumberFormat="1" applyFont="1" applyFill="1" applyBorder="1" applyAlignment="1">
      <alignment horizontal="center" vertical="center" wrapText="1"/>
    </xf>
    <xf numFmtId="193" fontId="137" fillId="0" borderId="121" xfId="0" applyNumberFormat="1" applyFont="1" applyBorder="1" applyAlignment="1">
      <alignment wrapText="1"/>
    </xf>
    <xf numFmtId="193" fontId="137" fillId="36" borderId="27" xfId="0" applyNumberFormat="1" applyFont="1" applyFill="1" applyBorder="1" applyAlignment="1">
      <alignment horizontal="center" vertical="center" wrapText="1"/>
    </xf>
    <xf numFmtId="38" fontId="15" fillId="36" borderId="121" xfId="2" applyNumberFormat="1" applyFont="1" applyFill="1" applyBorder="1" applyAlignment="1" applyProtection="1">
      <alignment vertical="top"/>
    </xf>
    <xf numFmtId="38" fontId="7" fillId="3" borderId="121" xfId="2" applyNumberFormat="1" applyFont="1" applyFill="1" applyBorder="1" applyAlignment="1" applyProtection="1">
      <alignment vertical="top"/>
      <protection locked="0"/>
    </xf>
    <xf numFmtId="38" fontId="15" fillId="36" borderId="121" xfId="2" applyNumberFormat="1" applyFont="1" applyFill="1" applyBorder="1" applyAlignment="1" applyProtection="1">
      <alignment vertical="top" wrapText="1"/>
    </xf>
    <xf numFmtId="38" fontId="7" fillId="3" borderId="121" xfId="2" applyNumberFormat="1" applyFont="1" applyFill="1" applyBorder="1" applyAlignment="1" applyProtection="1">
      <alignment vertical="top" wrapText="1"/>
      <protection locked="0"/>
    </xf>
    <xf numFmtId="38" fontId="15" fillId="36" borderId="121" xfId="2" applyNumberFormat="1" applyFont="1" applyFill="1" applyBorder="1" applyAlignment="1" applyProtection="1">
      <alignment vertical="top" wrapText="1"/>
      <protection locked="0"/>
    </xf>
    <xf numFmtId="38" fontId="15" fillId="36" borderId="27" xfId="2" applyNumberFormat="1" applyFont="1" applyFill="1" applyBorder="1" applyAlignment="1" applyProtection="1">
      <alignment vertical="top" wrapText="1"/>
    </xf>
    <xf numFmtId="164" fontId="4" fillId="0" borderId="121" xfId="7" applyNumberFormat="1" applyFont="1" applyFill="1" applyBorder="1" applyAlignment="1">
      <alignment horizontal="right" vertical="center" wrapText="1"/>
    </xf>
    <xf numFmtId="164" fontId="108" fillId="0" borderId="121" xfId="7" applyNumberFormat="1" applyFont="1" applyFill="1" applyBorder="1" applyAlignment="1">
      <alignment horizontal="right" vertical="center" wrapText="1"/>
    </xf>
    <xf numFmtId="164" fontId="6" fillId="36" borderId="121" xfId="7" applyNumberFormat="1" applyFont="1" applyFill="1" applyBorder="1" applyAlignment="1">
      <alignment horizontal="right" vertical="center" wrapText="1"/>
    </xf>
    <xf numFmtId="164" fontId="7" fillId="0" borderId="27" xfId="7" applyNumberFormat="1" applyFont="1" applyFill="1" applyBorder="1" applyAlignment="1" applyProtection="1">
      <alignment horizontal="right" vertical="center"/>
    </xf>
    <xf numFmtId="10" fontId="108" fillId="0" borderId="101" xfId="20961" applyNumberFormat="1" applyFont="1" applyFill="1" applyBorder="1" applyAlignment="1">
      <alignment horizontal="left" vertical="center" wrapText="1"/>
    </xf>
    <xf numFmtId="0" fontId="139" fillId="0" borderId="0" xfId="0" applyFont="1" applyFill="1"/>
    <xf numFmtId="193" fontId="133" fillId="36" borderId="14" xfId="0" applyNumberFormat="1" applyFont="1" applyFill="1" applyBorder="1" applyAlignment="1">
      <alignment vertical="center"/>
    </xf>
    <xf numFmtId="193" fontId="133" fillId="0" borderId="14" xfId="0" applyNumberFormat="1" applyFont="1" applyBorder="1" applyAlignment="1">
      <alignment vertical="center"/>
    </xf>
    <xf numFmtId="193" fontId="133" fillId="0" borderId="106" xfId="0" applyNumberFormat="1" applyFont="1" applyBorder="1" applyAlignment="1"/>
    <xf numFmtId="167" fontId="137" fillId="36" borderId="106" xfId="0" applyNumberFormat="1" applyFont="1" applyFill="1" applyBorder="1"/>
    <xf numFmtId="193" fontId="140" fillId="36" borderId="26" xfId="0" applyNumberFormat="1" applyFont="1" applyFill="1" applyBorder="1"/>
    <xf numFmtId="167" fontId="137" fillId="36" borderId="26" xfId="0" applyNumberFormat="1" applyFont="1" applyFill="1" applyBorder="1"/>
    <xf numFmtId="193" fontId="133" fillId="0" borderId="123" xfId="0" applyNumberFormat="1" applyFont="1" applyBorder="1" applyAlignment="1"/>
    <xf numFmtId="193" fontId="137" fillId="0" borderId="24" xfId="0" applyNumberFormat="1" applyFont="1" applyBorder="1" applyAlignment="1"/>
    <xf numFmtId="193" fontId="137" fillId="36" borderId="141" xfId="0" applyNumberFormat="1" applyFont="1" applyFill="1" applyBorder="1" applyAlignment="1"/>
    <xf numFmtId="193" fontId="137" fillId="36" borderId="25" xfId="0" applyNumberFormat="1" applyFont="1" applyFill="1" applyBorder="1"/>
    <xf numFmtId="193" fontId="137" fillId="36" borderId="26" xfId="0" applyNumberFormat="1" applyFont="1" applyFill="1" applyBorder="1"/>
    <xf numFmtId="193" fontId="137" fillId="36" borderId="27" xfId="0" applyNumberFormat="1" applyFont="1" applyFill="1" applyBorder="1"/>
    <xf numFmtId="193" fontId="137" fillId="36" borderId="57" xfId="0" applyNumberFormat="1" applyFont="1" applyFill="1" applyBorder="1"/>
    <xf numFmtId="9" fontId="139" fillId="0" borderId="121" xfId="20961" applyFont="1" applyBorder="1"/>
    <xf numFmtId="9" fontId="139" fillId="36" borderId="27" xfId="20961" applyFont="1" applyFill="1" applyBorder="1"/>
    <xf numFmtId="193" fontId="4" fillId="0" borderId="106" xfId="0" applyNumberFormat="1" applyFont="1" applyBorder="1"/>
    <xf numFmtId="193" fontId="4" fillId="0" borderId="106" xfId="0" applyNumberFormat="1" applyFont="1" applyFill="1" applyBorder="1"/>
    <xf numFmtId="193" fontId="4" fillId="0" borderId="107" xfId="0" applyNumberFormat="1" applyFont="1" applyBorder="1"/>
    <xf numFmtId="193" fontId="139" fillId="36" borderId="26" xfId="0" applyNumberFormat="1" applyFont="1" applyFill="1" applyBorder="1"/>
    <xf numFmtId="0" fontId="4" fillId="3" borderId="122" xfId="0" applyFont="1" applyFill="1" applyBorder="1" applyAlignment="1">
      <alignment vertical="center"/>
    </xf>
    <xf numFmtId="169" fontId="26" fillId="37" borderId="70" xfId="20" applyBorder="1"/>
    <xf numFmtId="194" fontId="4" fillId="0" borderId="122" xfId="7" applyNumberFormat="1" applyFont="1" applyFill="1" applyBorder="1" applyAlignment="1">
      <alignment vertical="center"/>
    </xf>
    <xf numFmtId="194" fontId="4" fillId="0" borderId="58" xfId="7" applyNumberFormat="1" applyFont="1" applyFill="1" applyBorder="1" applyAlignment="1">
      <alignment vertical="center"/>
    </xf>
    <xf numFmtId="194" fontId="6" fillId="0" borderId="121" xfId="7" applyNumberFormat="1" applyFont="1" applyFill="1" applyBorder="1" applyAlignment="1">
      <alignment vertical="center"/>
    </xf>
    <xf numFmtId="194" fontId="4" fillId="0" borderId="104" xfId="7" applyNumberFormat="1" applyFont="1" applyFill="1" applyBorder="1" applyAlignment="1">
      <alignment vertical="center"/>
    </xf>
    <xf numFmtId="194" fontId="4" fillId="0" borderId="106" xfId="7" applyNumberFormat="1" applyFont="1" applyFill="1" applyBorder="1" applyAlignment="1">
      <alignment vertical="center"/>
    </xf>
    <xf numFmtId="194" fontId="4" fillId="0" borderId="123" xfId="7" applyNumberFormat="1" applyFont="1" applyFill="1" applyBorder="1" applyAlignment="1">
      <alignment vertical="center"/>
    </xf>
    <xf numFmtId="0" fontId="4" fillId="0" borderId="123" xfId="0" applyFont="1" applyFill="1" applyBorder="1" applyAlignment="1">
      <alignment vertical="center"/>
    </xf>
    <xf numFmtId="0" fontId="4" fillId="0" borderId="105" xfId="0" applyFont="1" applyFill="1" applyBorder="1" applyAlignment="1">
      <alignment vertical="center"/>
    </xf>
    <xf numFmtId="194" fontId="6" fillId="0" borderId="123" xfId="0" applyNumberFormat="1" applyFont="1" applyFill="1" applyBorder="1" applyAlignment="1">
      <alignment vertical="center"/>
    </xf>
    <xf numFmtId="194" fontId="6" fillId="0" borderId="104" xfId="0" applyNumberFormat="1" applyFont="1" applyFill="1" applyBorder="1" applyAlignment="1">
      <alignment vertical="center"/>
    </xf>
    <xf numFmtId="194" fontId="6" fillId="0" borderId="122" xfId="0" applyNumberFormat="1" applyFont="1" applyFill="1" applyBorder="1" applyAlignment="1">
      <alignment vertical="center"/>
    </xf>
    <xf numFmtId="194" fontId="6" fillId="0" borderId="106" xfId="0" applyNumberFormat="1" applyFont="1" applyFill="1" applyBorder="1" applyAlignment="1">
      <alignment vertical="center"/>
    </xf>
    <xf numFmtId="194" fontId="4" fillId="0" borderId="107" xfId="7" applyNumberFormat="1" applyFont="1" applyFill="1" applyBorder="1" applyAlignment="1">
      <alignment vertical="center"/>
    </xf>
    <xf numFmtId="194" fontId="4" fillId="0" borderId="105" xfId="7" applyNumberFormat="1" applyFont="1" applyFill="1" applyBorder="1" applyAlignment="1">
      <alignment vertical="center"/>
    </xf>
    <xf numFmtId="194" fontId="6" fillId="0" borderId="25" xfId="0" applyNumberFormat="1" applyFont="1" applyFill="1" applyBorder="1" applyAlignment="1">
      <alignment vertical="center"/>
    </xf>
    <xf numFmtId="194" fontId="6" fillId="0" borderId="118" xfId="0" applyNumberFormat="1" applyFont="1" applyFill="1" applyBorder="1" applyAlignment="1">
      <alignment vertical="center"/>
    </xf>
    <xf numFmtId="194" fontId="6" fillId="0" borderId="27" xfId="7" applyNumberFormat="1" applyFont="1" applyFill="1" applyBorder="1" applyAlignment="1">
      <alignment vertical="center"/>
    </xf>
    <xf numFmtId="194" fontId="6" fillId="0" borderId="142" xfId="0" applyNumberFormat="1" applyFont="1" applyFill="1" applyBorder="1" applyAlignment="1">
      <alignment vertical="center"/>
    </xf>
    <xf numFmtId="194" fontId="6" fillId="0" borderId="26" xfId="0" applyNumberFormat="1" applyFont="1" applyFill="1" applyBorder="1" applyAlignment="1">
      <alignment vertical="center"/>
    </xf>
    <xf numFmtId="194" fontId="4" fillId="0" borderId="125" xfId="7" applyNumberFormat="1" applyFont="1" applyFill="1" applyBorder="1" applyAlignment="1">
      <alignment vertical="center"/>
    </xf>
    <xf numFmtId="194" fontId="4" fillId="0" borderId="29" xfId="7" applyNumberFormat="1" applyFont="1" applyFill="1" applyBorder="1" applyAlignment="1">
      <alignment vertical="center"/>
    </xf>
    <xf numFmtId="194" fontId="6" fillId="0" borderId="21" xfId="7" applyNumberFormat="1" applyFont="1" applyFill="1" applyBorder="1" applyAlignment="1">
      <alignment vertical="center"/>
    </xf>
    <xf numFmtId="194" fontId="4" fillId="0" borderId="119" xfId="0" applyNumberFormat="1" applyFont="1" applyFill="1" applyBorder="1" applyAlignment="1">
      <alignment vertical="center"/>
    </xf>
    <xf numFmtId="194" fontId="4" fillId="0" borderId="102" xfId="7" applyNumberFormat="1" applyFont="1" applyFill="1" applyBorder="1" applyAlignment="1">
      <alignment vertical="center"/>
    </xf>
    <xf numFmtId="194" fontId="6" fillId="0" borderId="115" xfId="7" applyNumberFormat="1" applyFont="1" applyFill="1" applyBorder="1" applyAlignment="1">
      <alignment vertical="center"/>
    </xf>
    <xf numFmtId="43" fontId="4" fillId="0" borderId="119" xfId="0" applyNumberFormat="1" applyFont="1" applyFill="1" applyBorder="1" applyAlignment="1">
      <alignment vertical="center"/>
    </xf>
    <xf numFmtId="164" fontId="4" fillId="0" borderId="26" xfId="0" applyNumberFormat="1" applyFont="1" applyFill="1" applyBorder="1" applyAlignment="1">
      <alignment vertical="center"/>
    </xf>
    <xf numFmtId="10" fontId="6" fillId="0" borderId="143" xfId="20961" applyNumberFormat="1" applyFont="1" applyFill="1" applyBorder="1" applyAlignment="1">
      <alignment vertical="center"/>
    </xf>
    <xf numFmtId="10" fontId="6" fillId="0" borderId="100" xfId="20961" applyNumberFormat="1" applyFont="1" applyFill="1" applyBorder="1" applyAlignment="1">
      <alignment vertical="center"/>
    </xf>
    <xf numFmtId="10" fontId="6" fillId="0" borderId="117" xfId="20961" applyNumberFormat="1" applyFont="1" applyFill="1" applyBorder="1" applyAlignment="1">
      <alignment vertical="center"/>
    </xf>
    <xf numFmtId="164" fontId="112" fillId="0" borderId="106" xfId="7" applyNumberFormat="1" applyFont="1" applyFill="1" applyBorder="1" applyAlignment="1" applyProtection="1">
      <alignment horizontal="right" vertical="center"/>
      <protection locked="0"/>
    </xf>
    <xf numFmtId="10" fontId="141" fillId="80" borderId="106" xfId="20961" applyNumberFormat="1" applyFont="1" applyFill="1" applyBorder="1" applyAlignment="1" applyProtection="1">
      <alignment horizontal="right" vertical="center"/>
    </xf>
    <xf numFmtId="0" fontId="103" fillId="0" borderId="73" xfId="0" applyFont="1" applyBorder="1" applyAlignment="1">
      <alignment horizontal="left" vertical="center" wrapText="1"/>
    </xf>
    <xf numFmtId="0" fontId="103" fillId="0" borderId="72" xfId="0" applyFont="1" applyBorder="1" applyAlignment="1">
      <alignment horizontal="left" vertical="center" wrapText="1"/>
    </xf>
    <xf numFmtId="0" fontId="9" fillId="0" borderId="29" xfId="0" applyFont="1" applyFill="1" applyBorder="1" applyAlignment="1" applyProtection="1">
      <alignment horizontal="center"/>
    </xf>
    <xf numFmtId="0" fontId="9" fillId="0" borderId="30" xfId="0" applyFont="1" applyFill="1" applyBorder="1" applyAlignment="1" applyProtection="1">
      <alignment horizontal="center"/>
    </xf>
    <xf numFmtId="0" fontId="9" fillId="0" borderId="32" xfId="0" applyFont="1" applyFill="1" applyBorder="1" applyAlignment="1" applyProtection="1">
      <alignment horizontal="center"/>
    </xf>
    <xf numFmtId="0" fontId="9" fillId="0" borderId="31"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06" xfId="0" applyFont="1" applyFill="1" applyBorder="1" applyAlignment="1">
      <alignment horizontal="center" vertical="center" wrapText="1"/>
    </xf>
    <xf numFmtId="0" fontId="4" fillId="0" borderId="107" xfId="0" applyFont="1" applyFill="1" applyBorder="1" applyAlignment="1">
      <alignment horizontal="center"/>
    </xf>
    <xf numFmtId="0" fontId="4" fillId="0" borderId="24" xfId="0" applyFont="1" applyFill="1" applyBorder="1" applyAlignment="1">
      <alignment horizontal="center"/>
    </xf>
    <xf numFmtId="0" fontId="6" fillId="36" borderId="125" xfId="0" applyFont="1" applyFill="1" applyBorder="1" applyAlignment="1">
      <alignment horizontal="center" vertical="center" wrapText="1"/>
    </xf>
    <xf numFmtId="0" fontId="6" fillId="36" borderId="32" xfId="0" applyFont="1" applyFill="1" applyBorder="1" applyAlignment="1">
      <alignment horizontal="center" vertical="center" wrapText="1"/>
    </xf>
    <xf numFmtId="0" fontId="6" fillId="36" borderId="122" xfId="0" applyFont="1" applyFill="1" applyBorder="1" applyAlignment="1">
      <alignment horizontal="center" vertical="center" wrapText="1"/>
    </xf>
    <xf numFmtId="0" fontId="6" fillId="36" borderId="105" xfId="0" applyFont="1" applyFill="1" applyBorder="1" applyAlignment="1">
      <alignment horizontal="center" vertical="center" wrapText="1"/>
    </xf>
    <xf numFmtId="0" fontId="101" fillId="3" borderId="74" xfId="13" applyFont="1" applyFill="1" applyBorder="1" applyAlignment="1" applyProtection="1">
      <alignment horizontal="center" vertical="center" wrapText="1"/>
      <protection locked="0"/>
    </xf>
    <xf numFmtId="0" fontId="101"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97" xfId="1" applyNumberFormat="1" applyFont="1" applyFill="1" applyBorder="1" applyAlignment="1" applyProtection="1">
      <alignment horizontal="center" vertical="center" wrapText="1"/>
      <protection locked="0"/>
    </xf>
    <xf numFmtId="164" fontId="15" fillId="0" borderId="9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116" fillId="0" borderId="101" xfId="0" applyFont="1" applyBorder="1" applyAlignment="1">
      <alignment horizontal="center" vertical="center" wrapText="1"/>
    </xf>
    <xf numFmtId="0" fontId="116" fillId="0" borderId="7" xfId="0" applyFont="1" applyBorder="1" applyAlignment="1">
      <alignment horizontal="center" vertical="center" wrapText="1"/>
    </xf>
    <xf numFmtId="0" fontId="118" fillId="0" borderId="128" xfId="0" applyNumberFormat="1" applyFont="1" applyFill="1" applyBorder="1" applyAlignment="1">
      <alignment horizontal="left" vertical="center" wrapText="1"/>
    </xf>
    <xf numFmtId="0" fontId="118" fillId="0" borderId="129" xfId="0" applyNumberFormat="1" applyFont="1" applyFill="1" applyBorder="1" applyAlignment="1">
      <alignment horizontal="left" vertical="center" wrapText="1"/>
    </xf>
    <xf numFmtId="0" fontId="118" fillId="0" borderId="134" xfId="0" applyNumberFormat="1" applyFont="1" applyFill="1" applyBorder="1" applyAlignment="1">
      <alignment horizontal="left" vertical="center" wrapText="1"/>
    </xf>
    <xf numFmtId="0" fontId="118" fillId="0" borderId="135" xfId="0" applyNumberFormat="1" applyFont="1" applyFill="1" applyBorder="1" applyAlignment="1">
      <alignment horizontal="left" vertical="center" wrapText="1"/>
    </xf>
    <xf numFmtId="0" fontId="116" fillId="0" borderId="106" xfId="0" applyFont="1" applyBorder="1" applyAlignment="1">
      <alignment horizontal="center" vertical="center" wrapText="1"/>
    </xf>
    <xf numFmtId="0" fontId="119" fillId="0" borderId="106" xfId="0" applyFont="1" applyFill="1" applyBorder="1" applyAlignment="1">
      <alignment horizontal="center" vertical="center" wrapText="1"/>
    </xf>
    <xf numFmtId="0" fontId="116" fillId="0" borderId="138"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6" fillId="0" borderId="136"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137" xfId="0" applyFont="1" applyFill="1" applyBorder="1" applyAlignment="1">
      <alignment horizontal="center" vertical="center" wrapText="1"/>
    </xf>
    <xf numFmtId="0" fontId="116" fillId="0" borderId="11" xfId="0" applyFont="1" applyBorder="1" applyAlignment="1">
      <alignment horizontal="center" vertical="center" wrapText="1"/>
    </xf>
    <xf numFmtId="0" fontId="116" fillId="0" borderId="102" xfId="0" applyFont="1" applyBorder="1" applyAlignment="1">
      <alignment horizontal="center" vertical="top" wrapText="1"/>
    </xf>
    <xf numFmtId="0" fontId="116" fillId="0" borderId="120" xfId="0" applyFont="1" applyBorder="1" applyAlignment="1">
      <alignment horizontal="center" vertical="top" wrapText="1"/>
    </xf>
    <xf numFmtId="0" fontId="116" fillId="0" borderId="130" xfId="0" applyFont="1" applyBorder="1" applyAlignment="1">
      <alignment horizontal="center" vertical="top" wrapText="1"/>
    </xf>
    <xf numFmtId="0" fontId="116" fillId="0" borderId="102" xfId="0" applyFont="1" applyFill="1" applyBorder="1" applyAlignment="1">
      <alignment horizontal="center" vertical="top" wrapText="1"/>
    </xf>
    <xf numFmtId="0" fontId="116" fillId="0" borderId="104" xfId="0" applyFont="1" applyFill="1" applyBorder="1" applyAlignment="1">
      <alignment horizontal="center" vertical="top" wrapText="1"/>
    </xf>
    <xf numFmtId="0" fontId="116" fillId="0" borderId="105" xfId="0" applyFont="1" applyFill="1" applyBorder="1" applyAlignment="1">
      <alignment horizontal="center" vertical="top" wrapText="1"/>
    </xf>
    <xf numFmtId="0" fontId="116" fillId="0" borderId="101" xfId="0" applyFont="1" applyBorder="1" applyAlignment="1">
      <alignment horizontal="center" vertical="top" wrapText="1"/>
    </xf>
    <xf numFmtId="0" fontId="116" fillId="0" borderId="7" xfId="0" applyFont="1" applyBorder="1" applyAlignment="1">
      <alignment horizontal="center" vertical="top" wrapText="1"/>
    </xf>
    <xf numFmtId="0" fontId="104" fillId="76" borderId="106" xfId="0" applyFont="1" applyFill="1" applyBorder="1" applyAlignment="1">
      <alignment horizontal="center" vertical="center" wrapText="1"/>
    </xf>
    <xf numFmtId="0" fontId="105" fillId="0" borderId="106" xfId="0" applyFont="1" applyFill="1" applyBorder="1" applyAlignment="1">
      <alignment horizontal="left" vertical="top" wrapText="1"/>
    </xf>
    <xf numFmtId="0" fontId="104" fillId="76" borderId="107" xfId="0" applyFont="1" applyFill="1" applyBorder="1" applyAlignment="1">
      <alignment horizontal="center" vertical="center" wrapText="1"/>
    </xf>
    <xf numFmtId="0" fontId="104" fillId="76" borderId="105" xfId="0" applyFont="1" applyFill="1" applyBorder="1" applyAlignment="1">
      <alignment horizontal="center" vertical="center" wrapText="1"/>
    </xf>
    <xf numFmtId="0" fontId="105" fillId="81" borderId="107" xfId="0" applyNumberFormat="1" applyFont="1" applyFill="1" applyBorder="1" applyAlignment="1">
      <alignment horizontal="left" vertical="center" wrapText="1"/>
    </xf>
    <xf numFmtId="0" fontId="105" fillId="81" borderId="105" xfId="0" applyNumberFormat="1" applyFont="1" applyFill="1" applyBorder="1" applyAlignment="1">
      <alignment horizontal="left" vertical="center" wrapText="1"/>
    </xf>
    <xf numFmtId="0" fontId="105" fillId="0" borderId="107" xfId="0" applyNumberFormat="1" applyFont="1" applyFill="1" applyBorder="1" applyAlignment="1">
      <alignment horizontal="left" vertical="center" wrapText="1"/>
    </xf>
    <xf numFmtId="0" fontId="105" fillId="0" borderId="105" xfId="0" applyNumberFormat="1" applyFont="1" applyFill="1" applyBorder="1" applyAlignment="1">
      <alignment horizontal="left" vertical="center" wrapText="1"/>
    </xf>
    <xf numFmtId="0" fontId="105" fillId="81" borderId="107" xfId="0" applyNumberFormat="1" applyFont="1" applyFill="1" applyBorder="1" applyAlignment="1">
      <alignment horizontal="left" vertical="top" wrapText="1"/>
    </xf>
    <xf numFmtId="0" fontId="105" fillId="81" borderId="105" xfId="0" applyNumberFormat="1" applyFont="1" applyFill="1" applyBorder="1" applyAlignment="1">
      <alignment horizontal="left" vertical="top" wrapText="1"/>
    </xf>
    <xf numFmtId="0" fontId="105" fillId="0" borderId="107" xfId="13" applyFont="1" applyFill="1" applyBorder="1" applyAlignment="1" applyProtection="1">
      <alignment horizontal="left" vertical="top" wrapText="1"/>
      <protection locked="0"/>
    </xf>
    <xf numFmtId="0" fontId="105" fillId="0" borderId="105" xfId="13" applyFont="1" applyFill="1" applyBorder="1" applyAlignment="1" applyProtection="1">
      <alignment horizontal="left" vertical="top" wrapText="1"/>
      <protection locked="0"/>
    </xf>
    <xf numFmtId="0" fontId="105" fillId="0" borderId="107" xfId="0" applyFont="1" applyFill="1" applyBorder="1" applyAlignment="1">
      <alignment horizontal="left" vertical="center" wrapText="1"/>
    </xf>
    <xf numFmtId="0" fontId="105" fillId="0" borderId="105" xfId="0" applyFont="1" applyFill="1" applyBorder="1" applyAlignment="1">
      <alignment horizontal="left" vertical="center" wrapText="1"/>
    </xf>
    <xf numFmtId="0" fontId="104" fillId="0" borderId="106" xfId="0" applyFont="1" applyFill="1" applyBorder="1" applyAlignment="1">
      <alignment horizontal="center" vertical="center"/>
    </xf>
    <xf numFmtId="0" fontId="105" fillId="3" borderId="107" xfId="13" applyFont="1" applyFill="1" applyBorder="1" applyAlignment="1" applyProtection="1">
      <alignment horizontal="left" vertical="top" wrapText="1"/>
      <protection locked="0"/>
    </xf>
    <xf numFmtId="0" fontId="105" fillId="3" borderId="105" xfId="13" applyFont="1" applyFill="1" applyBorder="1" applyAlignment="1" applyProtection="1">
      <alignment horizontal="left" vertical="top" wrapText="1"/>
      <protection locked="0"/>
    </xf>
    <xf numFmtId="0" fontId="104" fillId="0" borderId="92" xfId="0" applyFont="1" applyFill="1" applyBorder="1" applyAlignment="1">
      <alignment horizontal="center" vertical="center"/>
    </xf>
    <xf numFmtId="0" fontId="104" fillId="76" borderId="89" xfId="0" applyFont="1" applyFill="1" applyBorder="1" applyAlignment="1">
      <alignment horizontal="center" vertical="center" wrapText="1"/>
    </xf>
    <xf numFmtId="0" fontId="104" fillId="76" borderId="0" xfId="0" applyFont="1" applyFill="1" applyBorder="1" applyAlignment="1">
      <alignment horizontal="center" vertical="center" wrapText="1"/>
    </xf>
    <xf numFmtId="0" fontId="104" fillId="76" borderId="90" xfId="0" applyFont="1" applyFill="1" applyBorder="1" applyAlignment="1">
      <alignment horizontal="center" vertical="center" wrapText="1"/>
    </xf>
    <xf numFmtId="0" fontId="105" fillId="78" borderId="107" xfId="0" applyFont="1" applyFill="1" applyBorder="1" applyAlignment="1">
      <alignment vertical="center" wrapText="1"/>
    </xf>
    <xf numFmtId="0" fontId="105" fillId="78" borderId="105" xfId="0" applyFont="1" applyFill="1" applyBorder="1" applyAlignment="1">
      <alignment vertical="center" wrapText="1"/>
    </xf>
    <xf numFmtId="0" fontId="105" fillId="0" borderId="107" xfId="0" applyFont="1" applyFill="1" applyBorder="1" applyAlignment="1">
      <alignment vertical="center" wrapText="1"/>
    </xf>
    <xf numFmtId="0" fontId="105" fillId="0" borderId="105" xfId="0" applyFont="1" applyFill="1" applyBorder="1" applyAlignment="1">
      <alignment vertical="center" wrapText="1"/>
    </xf>
    <xf numFmtId="0" fontId="104" fillId="76" borderId="94" xfId="0" applyFont="1" applyFill="1" applyBorder="1" applyAlignment="1">
      <alignment horizontal="center" vertical="center"/>
    </xf>
    <xf numFmtId="0" fontId="104" fillId="76" borderId="95" xfId="0" applyFont="1" applyFill="1" applyBorder="1" applyAlignment="1">
      <alignment horizontal="center" vertical="center"/>
    </xf>
    <xf numFmtId="0" fontId="104" fillId="76" borderId="96" xfId="0" applyFont="1" applyFill="1" applyBorder="1" applyAlignment="1">
      <alignment horizontal="center" vertical="center"/>
    </xf>
    <xf numFmtId="0" fontId="105" fillId="3" borderId="107" xfId="0" applyFont="1" applyFill="1" applyBorder="1" applyAlignment="1">
      <alignment horizontal="left" vertical="center" wrapText="1"/>
    </xf>
    <xf numFmtId="0" fontId="105" fillId="3" borderId="105" xfId="0" applyFont="1" applyFill="1" applyBorder="1" applyAlignment="1">
      <alignment horizontal="left" vertical="center" wrapText="1"/>
    </xf>
    <xf numFmtId="0" fontId="105" fillId="0" borderId="84" xfId="0" applyFont="1" applyFill="1" applyBorder="1" applyAlignment="1">
      <alignment horizontal="left" vertical="center" wrapText="1"/>
    </xf>
    <xf numFmtId="0" fontId="105" fillId="0" borderId="85" xfId="0" applyFont="1" applyFill="1" applyBorder="1" applyAlignment="1">
      <alignment horizontal="left" vertical="center" wrapText="1"/>
    </xf>
    <xf numFmtId="0" fontId="104" fillId="76" borderId="80" xfId="0" applyFont="1" applyFill="1" applyBorder="1" applyAlignment="1">
      <alignment horizontal="center" vertical="center" wrapText="1"/>
    </xf>
    <xf numFmtId="0" fontId="104" fillId="76" borderId="81" xfId="0" applyFont="1" applyFill="1" applyBorder="1" applyAlignment="1">
      <alignment horizontal="center" vertical="center" wrapText="1"/>
    </xf>
    <xf numFmtId="0" fontId="104" fillId="76" borderId="82" xfId="0" applyFont="1" applyFill="1" applyBorder="1" applyAlignment="1">
      <alignment horizontal="center" vertical="center" wrapText="1"/>
    </xf>
    <xf numFmtId="0" fontId="105" fillId="0" borderId="58"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05" fillId="3" borderId="107" xfId="0" applyFont="1" applyFill="1" applyBorder="1" applyAlignment="1">
      <alignment vertical="center" wrapText="1"/>
    </xf>
    <xf numFmtId="0" fontId="105" fillId="3" borderId="105" xfId="0" applyFont="1" applyFill="1" applyBorder="1" applyAlignment="1">
      <alignment vertical="center" wrapText="1"/>
    </xf>
    <xf numFmtId="0" fontId="105" fillId="0" borderId="84" xfId="0" applyFont="1" applyFill="1" applyBorder="1" applyAlignment="1">
      <alignment vertical="center" wrapText="1"/>
    </xf>
    <xf numFmtId="0" fontId="105" fillId="0" borderId="85" xfId="0" applyFont="1" applyFill="1" applyBorder="1" applyAlignment="1">
      <alignment vertical="center" wrapText="1"/>
    </xf>
    <xf numFmtId="0" fontId="105" fillId="3" borderId="84" xfId="0" applyFont="1" applyFill="1" applyBorder="1" applyAlignment="1">
      <alignment horizontal="left" vertical="center" wrapText="1"/>
    </xf>
    <xf numFmtId="0" fontId="105" fillId="3" borderId="85" xfId="0" applyFont="1" applyFill="1" applyBorder="1" applyAlignment="1">
      <alignment horizontal="left" vertical="center" wrapText="1"/>
    </xf>
    <xf numFmtId="0" fontId="105" fillId="0" borderId="87" xfId="0" applyFont="1" applyFill="1" applyBorder="1" applyAlignment="1">
      <alignment horizontal="left" vertical="center" wrapText="1"/>
    </xf>
    <xf numFmtId="0" fontId="105" fillId="0" borderId="88" xfId="0" applyFont="1" applyFill="1" applyBorder="1" applyAlignment="1">
      <alignment horizontal="left" vertical="center" wrapText="1"/>
    </xf>
    <xf numFmtId="0" fontId="105" fillId="0" borderId="58" xfId="0" applyFont="1" applyFill="1" applyBorder="1" applyAlignment="1">
      <alignment vertical="center" wrapText="1"/>
    </xf>
    <xf numFmtId="0" fontId="105" fillId="0" borderId="11" xfId="0" applyFont="1" applyFill="1" applyBorder="1" applyAlignment="1">
      <alignment vertical="center" wrapText="1"/>
    </xf>
    <xf numFmtId="0" fontId="105" fillId="0" borderId="107" xfId="0" applyFont="1" applyFill="1" applyBorder="1" applyAlignment="1">
      <alignment horizontal="left"/>
    </xf>
    <xf numFmtId="0" fontId="105" fillId="0" borderId="105" xfId="0" applyFont="1" applyFill="1" applyBorder="1" applyAlignment="1">
      <alignment horizontal="left"/>
    </xf>
    <xf numFmtId="0" fontId="104" fillId="0" borderId="77" xfId="0" applyFont="1" applyFill="1" applyBorder="1" applyAlignment="1">
      <alignment horizontal="center" vertical="center"/>
    </xf>
    <xf numFmtId="0" fontId="104" fillId="0" borderId="78" xfId="0" applyFont="1" applyFill="1" applyBorder="1" applyAlignment="1">
      <alignment horizontal="center" vertical="center"/>
    </xf>
    <xf numFmtId="0" fontId="104" fillId="0" borderId="79" xfId="0" applyFont="1" applyFill="1" applyBorder="1" applyAlignment="1">
      <alignment horizontal="center" vertical="center"/>
    </xf>
    <xf numFmtId="0" fontId="105" fillId="0" borderId="106" xfId="0" applyFont="1" applyFill="1" applyBorder="1" applyAlignment="1">
      <alignment horizontal="left" vertical="center" wrapText="1"/>
    </xf>
    <xf numFmtId="0" fontId="139" fillId="0" borderId="20" xfId="0" applyFont="1" applyBorder="1" applyAlignment="1">
      <alignment horizontal="center"/>
    </xf>
    <xf numFmtId="0" fontId="139" fillId="0" borderId="21" xfId="0" applyFont="1" applyBorder="1" applyAlignment="1">
      <alignment horizontal="center" vertical="center" wrapText="1"/>
    </xf>
    <xf numFmtId="0" fontId="139" fillId="0" borderId="106" xfId="0" applyFont="1" applyFill="1" applyBorder="1" applyAlignment="1">
      <alignment horizontal="center"/>
    </xf>
    <xf numFmtId="0" fontId="139" fillId="0" borderId="106" xfId="0" applyFont="1" applyBorder="1" applyAlignment="1">
      <alignment horizontal="center"/>
    </xf>
    <xf numFmtId="0" fontId="139" fillId="0" borderId="121" xfId="0" applyFont="1" applyBorder="1" applyAlignment="1">
      <alignment horizontal="center" vertical="center" wrapText="1"/>
    </xf>
    <xf numFmtId="164" fontId="139" fillId="0" borderId="106" xfId="7" applyNumberFormat="1" applyFont="1" applyBorder="1"/>
    <xf numFmtId="164" fontId="139" fillId="0" borderId="121" xfId="7" applyNumberFormat="1" applyFont="1" applyBorder="1"/>
    <xf numFmtId="164" fontId="4" fillId="0" borderId="106" xfId="7" applyNumberFormat="1" applyFont="1" applyBorder="1" applyAlignment="1"/>
    <xf numFmtId="164" fontId="4" fillId="0" borderId="121" xfId="7" applyNumberFormat="1" applyFont="1" applyBorder="1" applyAlignment="1"/>
    <xf numFmtId="164" fontId="139" fillId="0" borderId="106" xfId="7" applyNumberFormat="1" applyFont="1" applyBorder="1" applyAlignment="1">
      <alignment vertical="center"/>
    </xf>
    <xf numFmtId="0" fontId="119" fillId="0" borderId="102" xfId="0" applyFont="1" applyFill="1" applyBorder="1" applyAlignment="1">
      <alignment horizontal="center" vertical="center" wrapText="1"/>
    </xf>
    <xf numFmtId="0" fontId="119" fillId="0" borderId="120"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8" fillId="0" borderId="131" xfId="0" applyNumberFormat="1" applyFont="1" applyFill="1" applyBorder="1" applyAlignment="1">
      <alignment horizontal="left" vertical="center" wrapText="1"/>
    </xf>
    <xf numFmtId="0" fontId="118" fillId="0" borderId="132" xfId="0" applyNumberFormat="1" applyFont="1" applyFill="1" applyBorder="1" applyAlignment="1">
      <alignment horizontal="left" vertical="center" wrapText="1"/>
    </xf>
    <xf numFmtId="0" fontId="119" fillId="0" borderId="58" xfId="0" applyFont="1" applyFill="1" applyBorder="1" applyAlignment="1">
      <alignment horizontal="center" vertical="center" wrapText="1"/>
    </xf>
    <xf numFmtId="0" fontId="119" fillId="0" borderId="13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22" fillId="0" borderId="106" xfId="13" applyFont="1" applyFill="1" applyBorder="1" applyAlignment="1" applyProtection="1">
      <alignment horizontal="left" vertical="center" wrapText="1"/>
      <protection locked="0"/>
    </xf>
    <xf numFmtId="0" fontId="116" fillId="0" borderId="0" xfId="0" applyFont="1" applyFill="1" applyAlignment="1">
      <alignment horizontal="left" vertical="top" wrapText="1"/>
    </xf>
    <xf numFmtId="164" fontId="142" fillId="0" borderId="106" xfId="7" applyNumberFormat="1" applyFont="1" applyFill="1" applyBorder="1"/>
    <xf numFmtId="164" fontId="119" fillId="0" borderId="106" xfId="7" applyNumberFormat="1" applyFont="1" applyFill="1" applyBorder="1"/>
    <xf numFmtId="164" fontId="116" fillId="0" borderId="106" xfId="7" applyNumberFormat="1" applyFont="1" applyFill="1" applyBorder="1"/>
    <xf numFmtId="194" fontId="143" fillId="36" borderId="106" xfId="21413" applyNumberFormat="1" applyFont="1" applyFill="1" applyBorder="1"/>
    <xf numFmtId="0" fontId="123" fillId="0" borderId="106" xfId="0" applyFont="1" applyFill="1" applyBorder="1" applyAlignment="1">
      <alignment horizontal="center" vertical="center"/>
    </xf>
    <xf numFmtId="164" fontId="144" fillId="0" borderId="106" xfId="7" applyNumberFormat="1" applyFont="1" applyFill="1" applyBorder="1"/>
    <xf numFmtId="0" fontId="123" fillId="0" borderId="102" xfId="0" applyFont="1" applyFill="1" applyBorder="1" applyAlignment="1">
      <alignment horizontal="center" vertical="center"/>
    </xf>
    <xf numFmtId="0" fontId="123" fillId="0" borderId="130" xfId="0" applyFont="1" applyFill="1" applyBorder="1" applyAlignment="1">
      <alignment horizontal="center" vertical="center"/>
    </xf>
    <xf numFmtId="0" fontId="123" fillId="0" borderId="58" xfId="0" applyFont="1" applyFill="1" applyBorder="1" applyAlignment="1">
      <alignment horizontal="center" vertical="center"/>
    </xf>
    <xf numFmtId="0" fontId="123" fillId="0" borderId="11" xfId="0" applyFont="1" applyFill="1" applyBorder="1" applyAlignment="1">
      <alignment horizontal="center" vertical="center"/>
    </xf>
    <xf numFmtId="0" fontId="116" fillId="0" borderId="107" xfId="0" applyFont="1" applyFill="1" applyBorder="1" applyAlignment="1">
      <alignment horizontal="center" vertical="center" wrapText="1"/>
    </xf>
    <xf numFmtId="0" fontId="116" fillId="0" borderId="104" xfId="0" applyFont="1" applyFill="1" applyBorder="1" applyAlignment="1">
      <alignment horizontal="center" vertical="center" wrapText="1"/>
    </xf>
    <xf numFmtId="0" fontId="116" fillId="0" borderId="105" xfId="0" applyFont="1" applyFill="1" applyBorder="1" applyAlignment="1">
      <alignment horizontal="center" vertical="center" wrapText="1"/>
    </xf>
    <xf numFmtId="0" fontId="119" fillId="0" borderId="136" xfId="0" applyFont="1" applyFill="1" applyBorder="1" applyAlignment="1">
      <alignment horizontal="center" vertical="center" wrapText="1"/>
    </xf>
    <xf numFmtId="0" fontId="119" fillId="0" borderId="137" xfId="0" applyFont="1" applyFill="1" applyBorder="1" applyAlignment="1">
      <alignment horizontal="center" vertical="center" wrapText="1"/>
    </xf>
    <xf numFmtId="0" fontId="119" fillId="0" borderId="138"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6" fillId="0" borderId="106" xfId="0" applyFont="1" applyFill="1" applyBorder="1" applyAlignment="1">
      <alignment horizontal="center" vertical="center" wrapText="1"/>
    </xf>
    <xf numFmtId="164" fontId="119" fillId="0" borderId="106" xfId="0" applyNumberFormat="1" applyFont="1" applyFill="1" applyBorder="1"/>
    <xf numFmtId="164" fontId="116" fillId="0" borderId="106" xfId="7" applyNumberFormat="1" applyFont="1" applyFill="1" applyBorder="1" applyAlignment="1">
      <alignment horizontal="left" indent="1"/>
    </xf>
    <xf numFmtId="0" fontId="118" fillId="0" borderId="102" xfId="0" applyNumberFormat="1" applyFont="1" applyFill="1" applyBorder="1" applyAlignment="1">
      <alignment horizontal="left" vertical="top" wrapText="1"/>
    </xf>
    <xf numFmtId="0" fontId="118" fillId="0" borderId="130" xfId="0" applyNumberFormat="1" applyFont="1" applyFill="1" applyBorder="1" applyAlignment="1">
      <alignment horizontal="left" vertical="top" wrapText="1"/>
    </xf>
    <xf numFmtId="0" fontId="116" fillId="0" borderId="102" xfId="0" applyFont="1" applyFill="1" applyBorder="1" applyAlignment="1">
      <alignment horizontal="center" vertical="center"/>
    </xf>
    <xf numFmtId="0" fontId="116" fillId="0" borderId="120" xfId="0" applyFont="1" applyFill="1" applyBorder="1" applyAlignment="1">
      <alignment horizontal="center" vertical="center"/>
    </xf>
    <xf numFmtId="0" fontId="116" fillId="0" borderId="130" xfId="0" applyFont="1" applyFill="1" applyBorder="1" applyAlignment="1">
      <alignment horizontal="center" vertical="center"/>
    </xf>
    <xf numFmtId="0" fontId="118" fillId="0" borderId="136" xfId="0" applyNumberFormat="1" applyFont="1" applyFill="1" applyBorder="1" applyAlignment="1">
      <alignment horizontal="left" vertical="top" wrapText="1"/>
    </xf>
    <xf numFmtId="0" fontId="118" fillId="0" borderId="137" xfId="0" applyNumberFormat="1" applyFont="1" applyFill="1" applyBorder="1" applyAlignment="1">
      <alignment horizontal="left" vertical="top" wrapText="1"/>
    </xf>
    <xf numFmtId="0" fontId="116" fillId="0" borderId="102" xfId="0" applyFont="1" applyFill="1" applyBorder="1" applyAlignment="1">
      <alignment horizontal="center" vertical="center" wrapText="1"/>
    </xf>
    <xf numFmtId="0" fontId="116" fillId="0" borderId="120" xfId="0" applyFont="1" applyFill="1" applyBorder="1" applyAlignment="1">
      <alignment horizontal="center" vertical="center" wrapText="1"/>
    </xf>
    <xf numFmtId="0" fontId="116" fillId="0" borderId="130" xfId="0" applyFont="1" applyFill="1" applyBorder="1" applyAlignment="1">
      <alignment horizontal="center" vertical="center" wrapText="1"/>
    </xf>
    <xf numFmtId="0" fontId="118" fillId="0" borderId="58" xfId="0" applyNumberFormat="1" applyFont="1" applyFill="1" applyBorder="1" applyAlignment="1">
      <alignment horizontal="left" vertical="top" wrapText="1"/>
    </xf>
    <xf numFmtId="0" fontId="118" fillId="0" borderId="11" xfId="0" applyNumberFormat="1" applyFont="1" applyFill="1" applyBorder="1" applyAlignment="1">
      <alignment horizontal="left" vertical="top" wrapText="1"/>
    </xf>
    <xf numFmtId="0" fontId="116" fillId="0" borderId="7" xfId="0" applyFont="1" applyFill="1" applyBorder="1"/>
    <xf numFmtId="49" fontId="116" fillId="0" borderId="106" xfId="0" applyNumberFormat="1" applyFont="1" applyFill="1" applyBorder="1" applyAlignment="1">
      <alignment horizontal="center" vertical="center" wrapText="1"/>
    </xf>
    <xf numFmtId="164" fontId="119" fillId="0" borderId="7" xfId="7" applyNumberFormat="1" applyFont="1" applyFill="1" applyBorder="1"/>
    <xf numFmtId="164" fontId="116" fillId="0" borderId="106" xfId="7" applyNumberFormat="1" applyFont="1" applyFill="1" applyBorder="1" applyAlignment="1">
      <alignment horizontal="left" indent="2"/>
    </xf>
    <xf numFmtId="164" fontId="116" fillId="0" borderId="106" xfId="7" applyNumberFormat="1" applyFont="1" applyFill="1" applyBorder="1" applyAlignment="1">
      <alignment horizontal="left" indent="3"/>
    </xf>
    <xf numFmtId="164" fontId="116" fillId="0" borderId="106" xfId="7" applyNumberFormat="1" applyFont="1" applyFill="1" applyBorder="1" applyAlignment="1">
      <alignment horizontal="left" vertical="top" wrapText="1" indent="2"/>
    </xf>
    <xf numFmtId="164" fontId="116" fillId="0" borderId="106" xfId="7" applyNumberFormat="1" applyFont="1" applyFill="1" applyBorder="1" applyAlignment="1">
      <alignment horizontal="left" wrapText="1" indent="3"/>
    </xf>
    <xf numFmtId="164" fontId="116" fillId="0" borderId="106" xfId="7" applyNumberFormat="1" applyFont="1" applyFill="1" applyBorder="1" applyAlignment="1">
      <alignment horizontal="left" wrapText="1" indent="2"/>
    </xf>
    <xf numFmtId="164" fontId="116" fillId="0" borderId="106" xfId="7" applyNumberFormat="1" applyFont="1" applyFill="1" applyBorder="1" applyAlignment="1">
      <alignment horizontal="left" wrapText="1" indent="1"/>
    </xf>
    <xf numFmtId="164" fontId="115" fillId="0" borderId="106" xfId="7" applyNumberFormat="1" applyFont="1" applyFill="1" applyBorder="1" applyAlignment="1">
      <alignment horizontal="left" vertical="center" wrapText="1"/>
    </xf>
    <xf numFmtId="164" fontId="116" fillId="0" borderId="106" xfId="7" applyNumberFormat="1" applyFont="1" applyFill="1" applyBorder="1" applyAlignment="1">
      <alignment horizontal="center" vertical="center" textRotation="90" wrapText="1"/>
    </xf>
    <xf numFmtId="164" fontId="116" fillId="0" borderId="106" xfId="7" applyNumberFormat="1" applyFont="1" applyFill="1" applyBorder="1" applyAlignment="1">
      <alignment horizontal="center" vertical="center" wrapText="1"/>
    </xf>
    <xf numFmtId="164" fontId="116" fillId="0" borderId="106" xfId="7" applyNumberFormat="1" applyFont="1" applyFill="1" applyBorder="1" applyAlignment="1">
      <alignment horizontal="center" vertical="center"/>
    </xf>
    <xf numFmtId="164" fontId="118" fillId="0" borderId="106" xfId="7" applyNumberFormat="1" applyFont="1" applyFill="1" applyBorder="1" applyAlignment="1">
      <alignment horizontal="left" vertical="center" wrapText="1"/>
    </xf>
    <xf numFmtId="0" fontId="118" fillId="0" borderId="139" xfId="0" applyNumberFormat="1" applyFont="1" applyFill="1" applyBorder="1" applyAlignment="1">
      <alignment horizontal="left" vertical="top" wrapText="1"/>
    </xf>
    <xf numFmtId="0" fontId="118" fillId="0" borderId="140" xfId="0" applyNumberFormat="1" applyFont="1" applyFill="1" applyBorder="1" applyAlignment="1">
      <alignment horizontal="left" vertical="top" wrapText="1"/>
    </xf>
    <xf numFmtId="0" fontId="105" fillId="0" borderId="101" xfId="12672" applyFont="1" applyFill="1" applyBorder="1" applyAlignment="1">
      <alignment horizontal="left" vertical="center" wrapText="1"/>
    </xf>
    <xf numFmtId="0" fontId="105" fillId="0" borderId="138" xfId="12672" applyFont="1" applyFill="1" applyBorder="1" applyAlignment="1">
      <alignment horizontal="left" vertical="center" wrapText="1"/>
    </xf>
    <xf numFmtId="0" fontId="105" fillId="0" borderId="7" xfId="12672" applyFont="1" applyFill="1" applyBorder="1" applyAlignment="1">
      <alignment horizontal="left" vertical="center" wrapText="1"/>
    </xf>
    <xf numFmtId="49" fontId="104" fillId="0" borderId="106" xfId="0" applyNumberFormat="1" applyFont="1" applyFill="1" applyBorder="1" applyAlignment="1">
      <alignment horizontal="right" vertical="center"/>
    </xf>
    <xf numFmtId="0" fontId="105" fillId="0" borderId="107" xfId="0" applyFont="1" applyFill="1" applyBorder="1" applyAlignment="1">
      <alignment horizontal="left" vertical="top" wrapText="1"/>
    </xf>
    <xf numFmtId="0" fontId="105" fillId="0" borderId="106" xfId="0" applyNumberFormat="1" applyFont="1" applyFill="1" applyBorder="1" applyAlignment="1">
      <alignment horizontal="left" vertical="top" wrapText="1"/>
    </xf>
  </cellXfs>
  <cellStyles count="21414">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4"/>
  <sheetViews>
    <sheetView showGridLines="0" workbookViewId="0">
      <pane xSplit="1" ySplit="7" topLeftCell="B8" activePane="bottomRight" state="frozen"/>
      <selection pane="topRight" activeCell="B1" sqref="B1"/>
      <selection pane="bottomLeft" activeCell="A8" sqref="A8"/>
      <selection pane="bottomRight" activeCell="C2" sqref="C2"/>
    </sheetView>
  </sheetViews>
  <sheetFormatPr defaultRowHeight="15"/>
  <cols>
    <col min="1" max="1" width="10.28515625" style="2" customWidth="1"/>
    <col min="2" max="2" width="153" bestFit="1" customWidth="1"/>
    <col min="3" max="3" width="39.42578125" customWidth="1"/>
    <col min="7" max="7" width="25" customWidth="1"/>
  </cols>
  <sheetData>
    <row r="1" spans="1:3" ht="15.75">
      <c r="A1" s="10"/>
      <c r="B1" s="164" t="s">
        <v>254</v>
      </c>
      <c r="C1" s="76"/>
    </row>
    <row r="2" spans="1:3" s="161" customFormat="1" ht="15.75">
      <c r="A2" s="210">
        <v>1</v>
      </c>
      <c r="B2" s="162" t="s">
        <v>255</v>
      </c>
      <c r="C2" s="529" t="s">
        <v>960</v>
      </c>
    </row>
    <row r="3" spans="1:3" s="161" customFormat="1" ht="15.75">
      <c r="A3" s="210">
        <v>2</v>
      </c>
      <c r="B3" s="163" t="s">
        <v>256</v>
      </c>
      <c r="C3" s="529" t="s">
        <v>961</v>
      </c>
    </row>
    <row r="4" spans="1:3" s="161" customFormat="1" ht="15.75">
      <c r="A4" s="210">
        <v>3</v>
      </c>
      <c r="B4" s="163" t="s">
        <v>257</v>
      </c>
      <c r="C4" s="529" t="s">
        <v>962</v>
      </c>
    </row>
    <row r="5" spans="1:3" s="161" customFormat="1" ht="15.75">
      <c r="A5" s="211">
        <v>4</v>
      </c>
      <c r="B5" s="166" t="s">
        <v>258</v>
      </c>
      <c r="C5" s="530" t="s">
        <v>963</v>
      </c>
    </row>
    <row r="6" spans="1:3" s="165" customFormat="1" ht="65.25" customHeight="1">
      <c r="A6" s="714" t="s">
        <v>491</v>
      </c>
      <c r="B6" s="715"/>
      <c r="C6" s="715"/>
    </row>
    <row r="7" spans="1:3">
      <c r="A7" s="305" t="s">
        <v>404</v>
      </c>
      <c r="B7" s="306" t="s">
        <v>259</v>
      </c>
    </row>
    <row r="8" spans="1:3">
      <c r="A8" s="307">
        <v>1</v>
      </c>
      <c r="B8" s="303" t="s">
        <v>223</v>
      </c>
    </row>
    <row r="9" spans="1:3">
      <c r="A9" s="307">
        <v>2</v>
      </c>
      <c r="B9" s="303" t="s">
        <v>260</v>
      </c>
    </row>
    <row r="10" spans="1:3">
      <c r="A10" s="307">
        <v>3</v>
      </c>
      <c r="B10" s="303" t="s">
        <v>261</v>
      </c>
    </row>
    <row r="11" spans="1:3">
      <c r="A11" s="307">
        <v>4</v>
      </c>
      <c r="B11" s="303" t="s">
        <v>262</v>
      </c>
      <c r="C11" s="160"/>
    </row>
    <row r="12" spans="1:3">
      <c r="A12" s="307">
        <v>5</v>
      </c>
      <c r="B12" s="303" t="s">
        <v>187</v>
      </c>
    </row>
    <row r="13" spans="1:3">
      <c r="A13" s="307">
        <v>6</v>
      </c>
      <c r="B13" s="308" t="s">
        <v>149</v>
      </c>
    </row>
    <row r="14" spans="1:3">
      <c r="A14" s="307">
        <v>7</v>
      </c>
      <c r="B14" s="303" t="s">
        <v>263</v>
      </c>
    </row>
    <row r="15" spans="1:3">
      <c r="A15" s="307">
        <v>8</v>
      </c>
      <c r="B15" s="303" t="s">
        <v>266</v>
      </c>
    </row>
    <row r="16" spans="1:3">
      <c r="A16" s="307">
        <v>9</v>
      </c>
      <c r="B16" s="303" t="s">
        <v>88</v>
      </c>
    </row>
    <row r="17" spans="1:2">
      <c r="A17" s="309" t="s">
        <v>548</v>
      </c>
      <c r="B17" s="303" t="s">
        <v>528</v>
      </c>
    </row>
    <row r="18" spans="1:2">
      <c r="A18" s="307">
        <v>10</v>
      </c>
      <c r="B18" s="303" t="s">
        <v>269</v>
      </c>
    </row>
    <row r="19" spans="1:2">
      <c r="A19" s="307">
        <v>11</v>
      </c>
      <c r="B19" s="308" t="s">
        <v>250</v>
      </c>
    </row>
    <row r="20" spans="1:2">
      <c r="A20" s="307">
        <v>12</v>
      </c>
      <c r="B20" s="308" t="s">
        <v>247</v>
      </c>
    </row>
    <row r="21" spans="1:2">
      <c r="A21" s="307">
        <v>13</v>
      </c>
      <c r="B21" s="310" t="s">
        <v>461</v>
      </c>
    </row>
    <row r="22" spans="1:2">
      <c r="A22" s="307">
        <v>14</v>
      </c>
      <c r="B22" s="311" t="s">
        <v>521</v>
      </c>
    </row>
    <row r="23" spans="1:2">
      <c r="A23" s="312">
        <v>15</v>
      </c>
      <c r="B23" s="308" t="s">
        <v>77</v>
      </c>
    </row>
    <row r="24" spans="1:2">
      <c r="A24" s="312">
        <v>15.1</v>
      </c>
      <c r="B24" s="303" t="s">
        <v>557</v>
      </c>
    </row>
    <row r="25" spans="1:2">
      <c r="A25" s="312">
        <v>16</v>
      </c>
      <c r="B25" s="303" t="s">
        <v>625</v>
      </c>
    </row>
    <row r="26" spans="1:2">
      <c r="A26" s="312">
        <v>17</v>
      </c>
      <c r="B26" s="303" t="s">
        <v>938</v>
      </c>
    </row>
    <row r="27" spans="1:2">
      <c r="A27" s="312">
        <v>18</v>
      </c>
      <c r="B27" s="303" t="s">
        <v>939</v>
      </c>
    </row>
    <row r="28" spans="1:2">
      <c r="A28" s="312">
        <v>19</v>
      </c>
      <c r="B28" s="303" t="s">
        <v>940</v>
      </c>
    </row>
    <row r="29" spans="1:2">
      <c r="A29" s="312">
        <v>20</v>
      </c>
      <c r="B29" s="311" t="s">
        <v>724</v>
      </c>
    </row>
    <row r="30" spans="1:2">
      <c r="A30" s="312">
        <v>21</v>
      </c>
      <c r="B30" s="303" t="s">
        <v>742</v>
      </c>
    </row>
    <row r="31" spans="1:2">
      <c r="A31" s="312">
        <v>22</v>
      </c>
      <c r="B31" s="510" t="s">
        <v>759</v>
      </c>
    </row>
    <row r="32" spans="1:2" ht="26.25">
      <c r="A32" s="312">
        <v>23</v>
      </c>
      <c r="B32" s="510" t="s">
        <v>941</v>
      </c>
    </row>
    <row r="33" spans="1:2">
      <c r="A33" s="312">
        <v>24</v>
      </c>
      <c r="B33" s="303" t="s">
        <v>942</v>
      </c>
    </row>
    <row r="34" spans="1:2">
      <c r="A34" s="312">
        <v>25</v>
      </c>
      <c r="B34" s="303" t="s">
        <v>943</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531" t="s">
        <v>188</v>
      </c>
      <c r="B1" s="532" t="s">
        <v>960</v>
      </c>
      <c r="D1" s="2"/>
      <c r="E1" s="2"/>
      <c r="F1" s="2"/>
    </row>
    <row r="2" spans="1:6" s="22" customFormat="1" ht="15.75" customHeight="1">
      <c r="A2" s="531" t="s">
        <v>189</v>
      </c>
      <c r="B2" s="533">
        <f>'1. key ratios'!B2</f>
        <v>44377</v>
      </c>
    </row>
    <row r="3" spans="1:6" s="22" customFormat="1" ht="15.75" customHeight="1"/>
    <row r="4" spans="1:6" ht="15.75" thickBot="1">
      <c r="A4" s="5" t="s">
        <v>413</v>
      </c>
      <c r="B4" s="43" t="s">
        <v>88</v>
      </c>
    </row>
    <row r="5" spans="1:6">
      <c r="A5" s="113" t="s">
        <v>26</v>
      </c>
      <c r="B5" s="114"/>
      <c r="C5" s="115" t="s">
        <v>27</v>
      </c>
    </row>
    <row r="6" spans="1:6">
      <c r="A6" s="116">
        <v>1</v>
      </c>
      <c r="B6" s="65" t="s">
        <v>28</v>
      </c>
      <c r="C6" s="649">
        <f>SUM(C7:C11)</f>
        <v>88730133.407445937</v>
      </c>
    </row>
    <row r="7" spans="1:6">
      <c r="A7" s="116">
        <v>2</v>
      </c>
      <c r="B7" s="62" t="s">
        <v>29</v>
      </c>
      <c r="C7" s="650">
        <f>'2. RC'!E33</f>
        <v>69161600</v>
      </c>
    </row>
    <row r="8" spans="1:6">
      <c r="A8" s="116">
        <v>3</v>
      </c>
      <c r="B8" s="56" t="s">
        <v>30</v>
      </c>
      <c r="C8" s="650"/>
    </row>
    <row r="9" spans="1:6">
      <c r="A9" s="116">
        <v>4</v>
      </c>
      <c r="B9" s="56" t="s">
        <v>31</v>
      </c>
      <c r="C9" s="650"/>
    </row>
    <row r="10" spans="1:6">
      <c r="A10" s="116">
        <v>5</v>
      </c>
      <c r="B10" s="56" t="s">
        <v>32</v>
      </c>
      <c r="C10" s="650"/>
    </row>
    <row r="11" spans="1:6">
      <c r="A11" s="116">
        <v>6</v>
      </c>
      <c r="B11" s="63" t="s">
        <v>33</v>
      </c>
      <c r="C11" s="650">
        <f>'2. RC'!E38</f>
        <v>19568533.40744593</v>
      </c>
    </row>
    <row r="12" spans="1:6" s="4" customFormat="1">
      <c r="A12" s="116">
        <v>7</v>
      </c>
      <c r="B12" s="65" t="s">
        <v>34</v>
      </c>
      <c r="C12" s="651">
        <f>SUM(C13:C27)</f>
        <v>264536.74999999988</v>
      </c>
    </row>
    <row r="13" spans="1:6" s="4" customFormat="1">
      <c r="A13" s="116">
        <v>8</v>
      </c>
      <c r="B13" s="64" t="s">
        <v>35</v>
      </c>
      <c r="C13" s="652"/>
    </row>
    <row r="14" spans="1:6" s="4" customFormat="1" ht="25.5">
      <c r="A14" s="116">
        <v>9</v>
      </c>
      <c r="B14" s="57" t="s">
        <v>36</v>
      </c>
      <c r="C14" s="652"/>
    </row>
    <row r="15" spans="1:6" s="4" customFormat="1">
      <c r="A15" s="116">
        <v>10</v>
      </c>
      <c r="B15" s="58" t="s">
        <v>37</v>
      </c>
      <c r="C15" s="652">
        <f>'7. LI1'!D19</f>
        <v>264536.74999999988</v>
      </c>
    </row>
    <row r="16" spans="1:6" s="4" customFormat="1">
      <c r="A16" s="116">
        <v>11</v>
      </c>
      <c r="B16" s="59" t="s">
        <v>38</v>
      </c>
      <c r="C16" s="652"/>
    </row>
    <row r="17" spans="1:3" s="4" customFormat="1">
      <c r="A17" s="116">
        <v>12</v>
      </c>
      <c r="B17" s="58" t="s">
        <v>39</v>
      </c>
      <c r="C17" s="652"/>
    </row>
    <row r="18" spans="1:3" s="4" customFormat="1">
      <c r="A18" s="116">
        <v>13</v>
      </c>
      <c r="B18" s="58" t="s">
        <v>40</v>
      </c>
      <c r="C18" s="652"/>
    </row>
    <row r="19" spans="1:3" s="4" customFormat="1">
      <c r="A19" s="116">
        <v>14</v>
      </c>
      <c r="B19" s="58" t="s">
        <v>41</v>
      </c>
      <c r="C19" s="652"/>
    </row>
    <row r="20" spans="1:3" s="4" customFormat="1" ht="25.5">
      <c r="A20" s="116">
        <v>15</v>
      </c>
      <c r="B20" s="58" t="s">
        <v>42</v>
      </c>
      <c r="C20" s="652"/>
    </row>
    <row r="21" spans="1:3" s="4" customFormat="1" ht="25.5">
      <c r="A21" s="116">
        <v>16</v>
      </c>
      <c r="B21" s="57" t="s">
        <v>43</v>
      </c>
      <c r="C21" s="652"/>
    </row>
    <row r="22" spans="1:3" s="4" customFormat="1">
      <c r="A22" s="116">
        <v>17</v>
      </c>
      <c r="B22" s="117" t="s">
        <v>44</v>
      </c>
      <c r="C22" s="652"/>
    </row>
    <row r="23" spans="1:3" s="4" customFormat="1" ht="25.5">
      <c r="A23" s="116">
        <v>18</v>
      </c>
      <c r="B23" s="57" t="s">
        <v>45</v>
      </c>
      <c r="C23" s="652"/>
    </row>
    <row r="24" spans="1:3" s="4" customFormat="1" ht="25.5">
      <c r="A24" s="116">
        <v>19</v>
      </c>
      <c r="B24" s="57" t="s">
        <v>46</v>
      </c>
      <c r="C24" s="652"/>
    </row>
    <row r="25" spans="1:3" s="4" customFormat="1" ht="25.5">
      <c r="A25" s="116">
        <v>20</v>
      </c>
      <c r="B25" s="60" t="s">
        <v>47</v>
      </c>
      <c r="C25" s="652"/>
    </row>
    <row r="26" spans="1:3" s="4" customFormat="1">
      <c r="A26" s="116">
        <v>21</v>
      </c>
      <c r="B26" s="60" t="s">
        <v>48</v>
      </c>
      <c r="C26" s="652"/>
    </row>
    <row r="27" spans="1:3" s="4" customFormat="1" ht="25.5">
      <c r="A27" s="116">
        <v>22</v>
      </c>
      <c r="B27" s="60" t="s">
        <v>49</v>
      </c>
      <c r="C27" s="652"/>
    </row>
    <row r="28" spans="1:3" s="4" customFormat="1">
      <c r="A28" s="116">
        <v>23</v>
      </c>
      <c r="B28" s="66" t="s">
        <v>23</v>
      </c>
      <c r="C28" s="651">
        <f>C6-C12</f>
        <v>88465596.657445937</v>
      </c>
    </row>
    <row r="29" spans="1:3" s="4" customFormat="1">
      <c r="A29" s="118"/>
      <c r="B29" s="61"/>
      <c r="C29" s="652"/>
    </row>
    <row r="30" spans="1:3" s="4" customFormat="1">
      <c r="A30" s="118">
        <v>24</v>
      </c>
      <c r="B30" s="66" t="s">
        <v>50</v>
      </c>
      <c r="C30" s="651">
        <f>C31+C34</f>
        <v>0</v>
      </c>
    </row>
    <row r="31" spans="1:3" s="4" customFormat="1">
      <c r="A31" s="118">
        <v>25</v>
      </c>
      <c r="B31" s="56" t="s">
        <v>51</v>
      </c>
      <c r="C31" s="653">
        <f>C32+C33</f>
        <v>0</v>
      </c>
    </row>
    <row r="32" spans="1:3" s="4" customFormat="1">
      <c r="A32" s="118">
        <v>26</v>
      </c>
      <c r="B32" s="158" t="s">
        <v>52</v>
      </c>
      <c r="C32" s="652"/>
    </row>
    <row r="33" spans="1:3" s="4" customFormat="1">
      <c r="A33" s="118">
        <v>27</v>
      </c>
      <c r="B33" s="158" t="s">
        <v>53</v>
      </c>
      <c r="C33" s="652"/>
    </row>
    <row r="34" spans="1:3" s="4" customFormat="1">
      <c r="A34" s="118">
        <v>28</v>
      </c>
      <c r="B34" s="56" t="s">
        <v>54</v>
      </c>
      <c r="C34" s="652"/>
    </row>
    <row r="35" spans="1:3" s="4" customFormat="1">
      <c r="A35" s="118">
        <v>29</v>
      </c>
      <c r="B35" s="66" t="s">
        <v>55</v>
      </c>
      <c r="C35" s="651">
        <f>SUM(C36:C40)</f>
        <v>0</v>
      </c>
    </row>
    <row r="36" spans="1:3" s="4" customFormat="1">
      <c r="A36" s="118">
        <v>30</v>
      </c>
      <c r="B36" s="57" t="s">
        <v>56</v>
      </c>
      <c r="C36" s="652"/>
    </row>
    <row r="37" spans="1:3" s="4" customFormat="1">
      <c r="A37" s="118">
        <v>31</v>
      </c>
      <c r="B37" s="58" t="s">
        <v>57</v>
      </c>
      <c r="C37" s="652"/>
    </row>
    <row r="38" spans="1:3" s="4" customFormat="1" ht="25.5">
      <c r="A38" s="118">
        <v>32</v>
      </c>
      <c r="B38" s="57" t="s">
        <v>58</v>
      </c>
      <c r="C38" s="652"/>
    </row>
    <row r="39" spans="1:3" s="4" customFormat="1" ht="25.5">
      <c r="A39" s="118">
        <v>33</v>
      </c>
      <c r="B39" s="57" t="s">
        <v>46</v>
      </c>
      <c r="C39" s="652"/>
    </row>
    <row r="40" spans="1:3" s="4" customFormat="1" ht="25.5">
      <c r="A40" s="118">
        <v>34</v>
      </c>
      <c r="B40" s="60" t="s">
        <v>59</v>
      </c>
      <c r="C40" s="652"/>
    </row>
    <row r="41" spans="1:3" s="4" customFormat="1">
      <c r="A41" s="118">
        <v>35</v>
      </c>
      <c r="B41" s="66" t="s">
        <v>24</v>
      </c>
      <c r="C41" s="651">
        <f>C30-C35</f>
        <v>0</v>
      </c>
    </row>
    <row r="42" spans="1:3" s="4" customFormat="1">
      <c r="A42" s="118"/>
      <c r="B42" s="61"/>
      <c r="C42" s="652"/>
    </row>
    <row r="43" spans="1:3" s="4" customFormat="1">
      <c r="A43" s="118">
        <v>36</v>
      </c>
      <c r="B43" s="67" t="s">
        <v>60</v>
      </c>
      <c r="C43" s="651">
        <f>SUM(C44:C46)</f>
        <v>4591003.9415600095</v>
      </c>
    </row>
    <row r="44" spans="1:3" s="4" customFormat="1">
      <c r="A44" s="118">
        <v>37</v>
      </c>
      <c r="B44" s="56" t="s">
        <v>61</v>
      </c>
      <c r="C44" s="652"/>
    </row>
    <row r="45" spans="1:3" s="4" customFormat="1">
      <c r="A45" s="118">
        <v>38</v>
      </c>
      <c r="B45" s="56" t="s">
        <v>62</v>
      </c>
      <c r="C45" s="652"/>
    </row>
    <row r="46" spans="1:3" s="4" customFormat="1">
      <c r="A46" s="118">
        <v>39</v>
      </c>
      <c r="B46" s="56" t="s">
        <v>63</v>
      </c>
      <c r="C46" s="652">
        <f>'8. LI2'!C9</f>
        <v>4591003.9415600095</v>
      </c>
    </row>
    <row r="47" spans="1:3" s="4" customFormat="1">
      <c r="A47" s="118">
        <v>40</v>
      </c>
      <c r="B47" s="67" t="s">
        <v>64</v>
      </c>
      <c r="C47" s="651">
        <f>SUM(C48:C51)</f>
        <v>0</v>
      </c>
    </row>
    <row r="48" spans="1:3" s="4" customFormat="1">
      <c r="A48" s="118">
        <v>41</v>
      </c>
      <c r="B48" s="57" t="s">
        <v>65</v>
      </c>
      <c r="C48" s="652"/>
    </row>
    <row r="49" spans="1:3" s="4" customFormat="1">
      <c r="A49" s="118">
        <v>42</v>
      </c>
      <c r="B49" s="58" t="s">
        <v>66</v>
      </c>
      <c r="C49" s="652"/>
    </row>
    <row r="50" spans="1:3" s="4" customFormat="1" ht="25.5">
      <c r="A50" s="118">
        <v>43</v>
      </c>
      <c r="B50" s="57" t="s">
        <v>67</v>
      </c>
      <c r="C50" s="652"/>
    </row>
    <row r="51" spans="1:3" s="4" customFormat="1" ht="25.5">
      <c r="A51" s="118">
        <v>44</v>
      </c>
      <c r="B51" s="57" t="s">
        <v>46</v>
      </c>
      <c r="C51" s="652"/>
    </row>
    <row r="52" spans="1:3" s="4" customFormat="1" ht="15.75" thickBot="1">
      <c r="A52" s="119">
        <v>45</v>
      </c>
      <c r="B52" s="120" t="s">
        <v>25</v>
      </c>
      <c r="C52" s="654">
        <f>C43-C47</f>
        <v>4591003.9415600095</v>
      </c>
    </row>
    <row r="55" spans="1:3">
      <c r="B55" s="2" t="s">
        <v>225</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workbookViewId="0">
      <selection activeCell="B4" sqref="B4"/>
    </sheetView>
  </sheetViews>
  <sheetFormatPr defaultColWidth="9.140625" defaultRowHeight="12.75"/>
  <cols>
    <col min="1" max="1" width="11.85546875" style="262" bestFit="1" customWidth="1"/>
    <col min="2" max="2" width="59" style="262" customWidth="1"/>
    <col min="3" max="3" width="16.7109375" style="262" bestFit="1" customWidth="1"/>
    <col min="4" max="4" width="22.140625" style="262" customWidth="1"/>
    <col min="5" max="16384" width="9.140625" style="262"/>
  </cols>
  <sheetData>
    <row r="1" spans="1:4" ht="15">
      <c r="A1" s="531" t="s">
        <v>188</v>
      </c>
      <c r="B1" s="532" t="s">
        <v>960</v>
      </c>
    </row>
    <row r="2" spans="1:4" s="22" customFormat="1" ht="15.75" customHeight="1">
      <c r="A2" s="531" t="s">
        <v>189</v>
      </c>
      <c r="B2" s="533">
        <f>'1. key ratios'!B2</f>
        <v>44377</v>
      </c>
    </row>
    <row r="3" spans="1:4" s="22" customFormat="1" ht="15.75" customHeight="1"/>
    <row r="4" spans="1:4" ht="13.5" thickBot="1">
      <c r="A4" s="660" t="s">
        <v>527</v>
      </c>
      <c r="B4" s="294" t="s">
        <v>528</v>
      </c>
    </row>
    <row r="5" spans="1:4" s="295" customFormat="1">
      <c r="A5" s="733" t="s">
        <v>529</v>
      </c>
      <c r="B5" s="734"/>
      <c r="C5" s="284" t="s">
        <v>530</v>
      </c>
      <c r="D5" s="285" t="s">
        <v>531</v>
      </c>
    </row>
    <row r="6" spans="1:4" s="296" customFormat="1">
      <c r="A6" s="286">
        <v>1</v>
      </c>
      <c r="B6" s="287" t="s">
        <v>532</v>
      </c>
      <c r="C6" s="287"/>
      <c r="D6" s="288"/>
    </row>
    <row r="7" spans="1:4" s="296" customFormat="1">
      <c r="A7" s="289" t="s">
        <v>533</v>
      </c>
      <c r="B7" s="290" t="s">
        <v>534</v>
      </c>
      <c r="C7" s="341">
        <v>4.4999999999999998E-2</v>
      </c>
      <c r="D7" s="655">
        <f>C7*'5. RWA'!$C$13</f>
        <v>17772697.261016395</v>
      </c>
    </row>
    <row r="8" spans="1:4" s="296" customFormat="1">
      <c r="A8" s="289" t="s">
        <v>535</v>
      </c>
      <c r="B8" s="290" t="s">
        <v>536</v>
      </c>
      <c r="C8" s="342">
        <v>0.06</v>
      </c>
      <c r="D8" s="655">
        <f>C8*'5. RWA'!$C$13</f>
        <v>23696929.681355193</v>
      </c>
    </row>
    <row r="9" spans="1:4" s="296" customFormat="1">
      <c r="A9" s="289" t="s">
        <v>537</v>
      </c>
      <c r="B9" s="290" t="s">
        <v>538</v>
      </c>
      <c r="C9" s="342">
        <v>0.08</v>
      </c>
      <c r="D9" s="655">
        <f>C9*'5. RWA'!$C$13</f>
        <v>31595906.241806928</v>
      </c>
    </row>
    <row r="10" spans="1:4" s="296" customFormat="1">
      <c r="A10" s="286" t="s">
        <v>539</v>
      </c>
      <c r="B10" s="287" t="s">
        <v>540</v>
      </c>
      <c r="C10" s="343"/>
      <c r="D10" s="339"/>
    </row>
    <row r="11" spans="1:4" s="297" customFormat="1">
      <c r="A11" s="291" t="s">
        <v>541</v>
      </c>
      <c r="B11" s="292" t="s">
        <v>603</v>
      </c>
      <c r="C11" s="344">
        <v>0</v>
      </c>
      <c r="D11" s="656">
        <f>C11*'5. RWA'!$C$13</f>
        <v>0</v>
      </c>
    </row>
    <row r="12" spans="1:4" s="297" customFormat="1">
      <c r="A12" s="291" t="s">
        <v>542</v>
      </c>
      <c r="B12" s="292" t="s">
        <v>543</v>
      </c>
      <c r="C12" s="344">
        <v>0</v>
      </c>
      <c r="D12" s="656">
        <f>C12*'5. RWA'!$C$13</f>
        <v>0</v>
      </c>
    </row>
    <row r="13" spans="1:4" s="297" customFormat="1">
      <c r="A13" s="291" t="s">
        <v>544</v>
      </c>
      <c r="B13" s="292" t="s">
        <v>545</v>
      </c>
      <c r="C13" s="344"/>
      <c r="D13" s="656">
        <f>C13*'5. RWA'!$C$13</f>
        <v>0</v>
      </c>
    </row>
    <row r="14" spans="1:4" s="296" customFormat="1">
      <c r="A14" s="286" t="s">
        <v>546</v>
      </c>
      <c r="B14" s="287" t="s">
        <v>601</v>
      </c>
      <c r="C14" s="345"/>
      <c r="D14" s="657"/>
    </row>
    <row r="15" spans="1:4" s="296" customFormat="1">
      <c r="A15" s="304" t="s">
        <v>549</v>
      </c>
      <c r="B15" s="292" t="s">
        <v>602</v>
      </c>
      <c r="C15" s="344">
        <v>2.5395330143872751E-2</v>
      </c>
      <c r="D15" s="656">
        <f>C15*'5. RWA'!$C$13</f>
        <v>10029855.877569208</v>
      </c>
    </row>
    <row r="16" spans="1:4" s="296" customFormat="1">
      <c r="A16" s="304" t="s">
        <v>550</v>
      </c>
      <c r="B16" s="292" t="s">
        <v>552</v>
      </c>
      <c r="C16" s="344">
        <v>3.3881700329327115E-2</v>
      </c>
      <c r="D16" s="656">
        <f>C16*'5. RWA'!$C$13</f>
        <v>13381537.83648023</v>
      </c>
    </row>
    <row r="17" spans="1:6" s="296" customFormat="1">
      <c r="A17" s="304" t="s">
        <v>551</v>
      </c>
      <c r="B17" s="292" t="s">
        <v>599</v>
      </c>
      <c r="C17" s="659">
        <v>7.9123464730413512E-2</v>
      </c>
      <c r="D17" s="656">
        <f>C17*'5. RWA'!$C$13</f>
        <v>31249719.66436328</v>
      </c>
    </row>
    <row r="18" spans="1:6" s="295" customFormat="1">
      <c r="A18" s="735" t="s">
        <v>600</v>
      </c>
      <c r="B18" s="736"/>
      <c r="C18" s="346" t="s">
        <v>530</v>
      </c>
      <c r="D18" s="340" t="s">
        <v>531</v>
      </c>
    </row>
    <row r="19" spans="1:6" s="296" customFormat="1">
      <c r="A19" s="293">
        <v>4</v>
      </c>
      <c r="B19" s="292" t="s">
        <v>23</v>
      </c>
      <c r="C19" s="344">
        <f>C7+C11+C12+C13+C15</f>
        <v>7.0395330143872753E-2</v>
      </c>
      <c r="D19" s="655">
        <f>C19*'5. RWA'!$C$13</f>
        <v>27802553.138585605</v>
      </c>
    </row>
    <row r="20" spans="1:6" s="296" customFormat="1">
      <c r="A20" s="293">
        <v>5</v>
      </c>
      <c r="B20" s="292" t="s">
        <v>89</v>
      </c>
      <c r="C20" s="344">
        <f>C8+C11+C12+C13+C16</f>
        <v>9.3881700329327106E-2</v>
      </c>
      <c r="D20" s="655">
        <f>C20*'5. RWA'!$C$13</f>
        <v>37078467.517835423</v>
      </c>
    </row>
    <row r="21" spans="1:6" s="296" customFormat="1" ht="13.5" thickBot="1">
      <c r="A21" s="298" t="s">
        <v>547</v>
      </c>
      <c r="B21" s="299" t="s">
        <v>88</v>
      </c>
      <c r="C21" s="347">
        <f>C9+C11+C12+C13+C17</f>
        <v>0.1591234647304135</v>
      </c>
      <c r="D21" s="658">
        <f>C21*'5. RWA'!$C$13</f>
        <v>62845625.906170204</v>
      </c>
    </row>
    <row r="22" spans="1:6">
      <c r="F22" s="263"/>
    </row>
    <row r="23" spans="1:6" ht="63.75">
      <c r="B23" s="24" t="s">
        <v>604</v>
      </c>
    </row>
  </sheetData>
  <mergeCells count="2">
    <mergeCell ref="A5:B5"/>
    <mergeCell ref="A18:B18"/>
  </mergeCells>
  <conditionalFormatting sqref="C21">
    <cfRule type="cellIs" dxfId="3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7109375" style="52" customWidth="1"/>
    <col min="2" max="2" width="91.85546875" style="52" customWidth="1"/>
    <col min="3" max="3" width="53.140625" style="52" customWidth="1"/>
    <col min="4" max="4" width="32.28515625" style="52" customWidth="1"/>
    <col min="5" max="5" width="9.42578125" customWidth="1"/>
  </cols>
  <sheetData>
    <row r="1" spans="1:6">
      <c r="A1" s="531" t="s">
        <v>188</v>
      </c>
      <c r="B1" s="532" t="s">
        <v>960</v>
      </c>
      <c r="E1" s="2"/>
      <c r="F1" s="2"/>
    </row>
    <row r="2" spans="1:6" s="22" customFormat="1" ht="15.75" customHeight="1">
      <c r="A2" s="531" t="s">
        <v>189</v>
      </c>
      <c r="B2" s="533">
        <f>'1. key ratios'!B2</f>
        <v>44377</v>
      </c>
    </row>
    <row r="3" spans="1:6" s="22" customFormat="1" ht="15.75" customHeight="1">
      <c r="A3" s="27"/>
    </row>
    <row r="4" spans="1:6" s="22" customFormat="1" ht="15.75" customHeight="1" thickBot="1">
      <c r="A4" s="22" t="s">
        <v>414</v>
      </c>
      <c r="B4" s="181" t="s">
        <v>269</v>
      </c>
      <c r="D4" s="183" t="s">
        <v>93</v>
      </c>
    </row>
    <row r="5" spans="1:6" ht="38.25">
      <c r="A5" s="131" t="s">
        <v>26</v>
      </c>
      <c r="B5" s="132" t="s">
        <v>231</v>
      </c>
      <c r="C5" s="133" t="s">
        <v>237</v>
      </c>
      <c r="D5" s="182" t="s">
        <v>270</v>
      </c>
    </row>
    <row r="6" spans="1:6">
      <c r="A6" s="121">
        <v>1</v>
      </c>
      <c r="B6" s="68" t="s">
        <v>154</v>
      </c>
      <c r="C6" s="214">
        <f>'2. RC'!E7</f>
        <v>4686125.87</v>
      </c>
      <c r="D6" s="122"/>
      <c r="E6" s="8"/>
    </row>
    <row r="7" spans="1:6">
      <c r="A7" s="121">
        <v>2</v>
      </c>
      <c r="B7" s="69" t="s">
        <v>155</v>
      </c>
      <c r="C7" s="214">
        <f>'2. RC'!E8</f>
        <v>39137315.289999999</v>
      </c>
      <c r="D7" s="123"/>
      <c r="E7" s="8"/>
    </row>
    <row r="8" spans="1:6">
      <c r="A8" s="121">
        <v>3</v>
      </c>
      <c r="B8" s="69" t="s">
        <v>156</v>
      </c>
      <c r="C8" s="214">
        <f>'2. RC'!E9</f>
        <v>55519481.272181004</v>
      </c>
      <c r="D8" s="123"/>
      <c r="E8" s="8"/>
    </row>
    <row r="9" spans="1:6">
      <c r="A9" s="121">
        <v>4</v>
      </c>
      <c r="B9" s="69" t="s">
        <v>185</v>
      </c>
      <c r="C9" s="214">
        <f>'2. RC'!E10</f>
        <v>0</v>
      </c>
      <c r="D9" s="123"/>
      <c r="E9" s="8"/>
    </row>
    <row r="10" spans="1:6">
      <c r="A10" s="121">
        <v>5</v>
      </c>
      <c r="B10" s="69" t="s">
        <v>157</v>
      </c>
      <c r="C10" s="214">
        <f>'2. RC'!E11</f>
        <v>31703137.519051705</v>
      </c>
      <c r="D10" s="123"/>
      <c r="E10" s="8"/>
    </row>
    <row r="11" spans="1:6">
      <c r="A11" s="121">
        <v>6.1</v>
      </c>
      <c r="B11" s="69" t="s">
        <v>158</v>
      </c>
      <c r="C11" s="214">
        <f>'2. RC'!E12</f>
        <v>227525963.69999999</v>
      </c>
      <c r="D11" s="124"/>
      <c r="E11" s="9"/>
    </row>
    <row r="12" spans="1:6">
      <c r="A12" s="121">
        <v>6.2</v>
      </c>
      <c r="B12" s="70" t="s">
        <v>159</v>
      </c>
      <c r="C12" s="214">
        <f>'2. RC'!E13</f>
        <v>-11233870.4036</v>
      </c>
      <c r="D12" s="124"/>
      <c r="E12" s="9"/>
    </row>
    <row r="13" spans="1:6">
      <c r="A13" s="121" t="s">
        <v>488</v>
      </c>
      <c r="B13" s="71" t="s">
        <v>489</v>
      </c>
      <c r="C13" s="216">
        <v>-3983689.9746000003</v>
      </c>
      <c r="D13" s="124"/>
      <c r="E13" s="9"/>
    </row>
    <row r="14" spans="1:6">
      <c r="A14" s="121" t="s">
        <v>623</v>
      </c>
      <c r="B14" s="71" t="s">
        <v>612</v>
      </c>
      <c r="C14" s="216">
        <f>-'8. LI2'!C12</f>
        <v>-3402357</v>
      </c>
      <c r="D14" s="124"/>
      <c r="E14" s="9"/>
    </row>
    <row r="15" spans="1:6">
      <c r="A15" s="121">
        <v>6</v>
      </c>
      <c r="B15" s="69" t="s">
        <v>160</v>
      </c>
      <c r="C15" s="661">
        <f>C11+C12</f>
        <v>216292093.29639998</v>
      </c>
      <c r="D15" s="124"/>
      <c r="E15" s="8"/>
    </row>
    <row r="16" spans="1:6">
      <c r="A16" s="121">
        <v>7</v>
      </c>
      <c r="B16" s="69" t="s">
        <v>161</v>
      </c>
      <c r="C16" s="215">
        <f>'2. RC'!E15</f>
        <v>2218518.020819</v>
      </c>
      <c r="D16" s="123"/>
      <c r="E16" s="8"/>
    </row>
    <row r="17" spans="1:5">
      <c r="A17" s="121">
        <v>8</v>
      </c>
      <c r="B17" s="69" t="s">
        <v>162</v>
      </c>
      <c r="C17" s="215">
        <f>'2. RC'!E16</f>
        <v>1102532.9100000001</v>
      </c>
      <c r="D17" s="123"/>
      <c r="E17" s="8"/>
    </row>
    <row r="18" spans="1:5">
      <c r="A18" s="121">
        <v>9</v>
      </c>
      <c r="B18" s="69" t="s">
        <v>163</v>
      </c>
      <c r="C18" s="215">
        <f>'2. RC'!E17</f>
        <v>0</v>
      </c>
      <c r="D18" s="123"/>
      <c r="E18" s="8"/>
    </row>
    <row r="19" spans="1:5">
      <c r="A19" s="121">
        <v>9.1</v>
      </c>
      <c r="B19" s="71" t="s">
        <v>246</v>
      </c>
      <c r="C19" s="216"/>
      <c r="D19" s="123"/>
      <c r="E19" s="8"/>
    </row>
    <row r="20" spans="1:5">
      <c r="A20" s="121">
        <v>9.1999999999999993</v>
      </c>
      <c r="B20" s="71" t="s">
        <v>236</v>
      </c>
      <c r="C20" s="216"/>
      <c r="D20" s="123"/>
      <c r="E20" s="8"/>
    </row>
    <row r="21" spans="1:5">
      <c r="A21" s="121">
        <v>9.3000000000000007</v>
      </c>
      <c r="B21" s="71" t="s">
        <v>235</v>
      </c>
      <c r="C21" s="216"/>
      <c r="D21" s="123"/>
      <c r="E21" s="8"/>
    </row>
    <row r="22" spans="1:5">
      <c r="A22" s="121">
        <v>10</v>
      </c>
      <c r="B22" s="69" t="s">
        <v>164</v>
      </c>
      <c r="C22" s="215">
        <f>'2. RC'!E18</f>
        <v>1184989.0100000007</v>
      </c>
      <c r="D22" s="123"/>
      <c r="E22" s="8"/>
    </row>
    <row r="23" spans="1:5">
      <c r="A23" s="121">
        <v>10.1</v>
      </c>
      <c r="B23" s="71" t="s">
        <v>234</v>
      </c>
      <c r="C23" s="662">
        <f>'9. Capital'!C15</f>
        <v>264536.74999999988</v>
      </c>
      <c r="D23" s="212" t="s">
        <v>441</v>
      </c>
      <c r="E23" s="8"/>
    </row>
    <row r="24" spans="1:5">
      <c r="A24" s="121">
        <v>11</v>
      </c>
      <c r="B24" s="72" t="s">
        <v>165</v>
      </c>
      <c r="C24" s="215">
        <f>'2. RC'!E19</f>
        <v>3867769.2741649295</v>
      </c>
      <c r="D24" s="125"/>
      <c r="E24" s="8"/>
    </row>
    <row r="25" spans="1:5">
      <c r="A25" s="121">
        <v>12</v>
      </c>
      <c r="B25" s="74" t="s">
        <v>166</v>
      </c>
      <c r="C25" s="218">
        <f>SUM(C6:C10,C15:C18,C22,C24)</f>
        <v>355711962.46261662</v>
      </c>
      <c r="D25" s="126"/>
      <c r="E25" s="7"/>
    </row>
    <row r="26" spans="1:5">
      <c r="A26" s="121">
        <v>13</v>
      </c>
      <c r="B26" s="69" t="s">
        <v>167</v>
      </c>
      <c r="C26" s="219">
        <f>'2. RC'!E22</f>
        <v>107001375.06999999</v>
      </c>
      <c r="D26" s="127"/>
      <c r="E26" s="8"/>
    </row>
    <row r="27" spans="1:5">
      <c r="A27" s="121">
        <v>14</v>
      </c>
      <c r="B27" s="69" t="s">
        <v>168</v>
      </c>
      <c r="C27" s="219">
        <f>'2. RC'!E23</f>
        <v>53366515.310000002</v>
      </c>
      <c r="D27" s="123"/>
      <c r="E27" s="8"/>
    </row>
    <row r="28" spans="1:5">
      <c r="A28" s="121">
        <v>15</v>
      </c>
      <c r="B28" s="69" t="s">
        <v>169</v>
      </c>
      <c r="C28" s="219">
        <f>'2. RC'!E24</f>
        <v>0</v>
      </c>
      <c r="D28" s="123"/>
      <c r="E28" s="8"/>
    </row>
    <row r="29" spans="1:5">
      <c r="A29" s="121">
        <v>16</v>
      </c>
      <c r="B29" s="69" t="s">
        <v>170</v>
      </c>
      <c r="C29" s="219">
        <f>'2. RC'!E25</f>
        <v>61143355.32</v>
      </c>
      <c r="D29" s="123"/>
      <c r="E29" s="8"/>
    </row>
    <row r="30" spans="1:5">
      <c r="A30" s="121">
        <v>17</v>
      </c>
      <c r="B30" s="69" t="s">
        <v>171</v>
      </c>
      <c r="C30" s="219">
        <f>'2. RC'!E26</f>
        <v>0</v>
      </c>
      <c r="D30" s="123"/>
      <c r="E30" s="8"/>
    </row>
    <row r="31" spans="1:5">
      <c r="A31" s="121">
        <v>18</v>
      </c>
      <c r="B31" s="69" t="s">
        <v>172</v>
      </c>
      <c r="C31" s="219">
        <f>'2. RC'!E27</f>
        <v>41435044.409329996</v>
      </c>
      <c r="D31" s="123"/>
      <c r="E31" s="8"/>
    </row>
    <row r="32" spans="1:5">
      <c r="A32" s="121">
        <v>19</v>
      </c>
      <c r="B32" s="69" t="s">
        <v>173</v>
      </c>
      <c r="C32" s="219">
        <f>'2. RC'!E28</f>
        <v>700156.89999999991</v>
      </c>
      <c r="D32" s="123"/>
      <c r="E32" s="8"/>
    </row>
    <row r="33" spans="1:5">
      <c r="A33" s="121">
        <v>20</v>
      </c>
      <c r="B33" s="69" t="s">
        <v>95</v>
      </c>
      <c r="C33" s="219">
        <f>'2. RC'!E29</f>
        <v>3335382.6603999999</v>
      </c>
      <c r="D33" s="123"/>
      <c r="E33" s="8"/>
    </row>
    <row r="34" spans="1:5">
      <c r="A34" s="121">
        <v>20.100000000000001</v>
      </c>
      <c r="B34" s="73" t="s">
        <v>487</v>
      </c>
      <c r="C34" s="217">
        <v>-734714.32039999997</v>
      </c>
      <c r="D34" s="125"/>
      <c r="E34" s="8"/>
    </row>
    <row r="35" spans="1:5">
      <c r="A35" s="121">
        <v>21</v>
      </c>
      <c r="B35" s="72" t="s">
        <v>174</v>
      </c>
      <c r="C35" s="219">
        <f>'2. RC'!E30</f>
        <v>0</v>
      </c>
      <c r="D35" s="125"/>
      <c r="E35" s="8"/>
    </row>
    <row r="36" spans="1:5">
      <c r="A36" s="121">
        <v>21.1</v>
      </c>
      <c r="B36" s="73" t="s">
        <v>233</v>
      </c>
      <c r="C36" s="220">
        <f>'9. Capital'!C44</f>
        <v>0</v>
      </c>
      <c r="D36" s="212" t="s">
        <v>981</v>
      </c>
      <c r="E36" s="8"/>
    </row>
    <row r="37" spans="1:5">
      <c r="A37" s="121">
        <v>22</v>
      </c>
      <c r="B37" s="74" t="s">
        <v>175</v>
      </c>
      <c r="C37" s="218">
        <f>SUM(C26:C33,C35)</f>
        <v>266981829.66973001</v>
      </c>
      <c r="D37" s="126"/>
      <c r="E37" s="7"/>
    </row>
    <row r="38" spans="1:5">
      <c r="A38" s="121">
        <v>23</v>
      </c>
      <c r="B38" s="72" t="s">
        <v>176</v>
      </c>
      <c r="C38" s="215">
        <f>'9. Capital'!C7</f>
        <v>69161600</v>
      </c>
      <c r="D38" s="212" t="s">
        <v>982</v>
      </c>
      <c r="E38" s="8"/>
    </row>
    <row r="39" spans="1:5">
      <c r="A39" s="121">
        <v>24</v>
      </c>
      <c r="B39" s="72" t="s">
        <v>177</v>
      </c>
      <c r="C39" s="215"/>
      <c r="D39" s="123"/>
      <c r="E39" s="8"/>
    </row>
    <row r="40" spans="1:5">
      <c r="A40" s="121">
        <v>25</v>
      </c>
      <c r="B40" s="72" t="s">
        <v>232</v>
      </c>
      <c r="C40" s="215"/>
      <c r="D40" s="123"/>
      <c r="E40" s="8"/>
    </row>
    <row r="41" spans="1:5">
      <c r="A41" s="121">
        <v>26</v>
      </c>
      <c r="B41" s="72" t="s">
        <v>179</v>
      </c>
      <c r="C41" s="215"/>
      <c r="D41" s="123"/>
      <c r="E41" s="8"/>
    </row>
    <row r="42" spans="1:5">
      <c r="A42" s="121">
        <v>27</v>
      </c>
      <c r="B42" s="72" t="s">
        <v>180</v>
      </c>
      <c r="C42" s="215"/>
      <c r="D42" s="123"/>
      <c r="E42" s="8"/>
    </row>
    <row r="43" spans="1:5">
      <c r="A43" s="121">
        <v>28</v>
      </c>
      <c r="B43" s="72" t="s">
        <v>181</v>
      </c>
      <c r="C43" s="215">
        <f>'9. Capital'!C11</f>
        <v>19568533.40744593</v>
      </c>
      <c r="D43" s="212" t="s">
        <v>983</v>
      </c>
      <c r="E43" s="8"/>
    </row>
    <row r="44" spans="1:5">
      <c r="A44" s="121">
        <v>29</v>
      </c>
      <c r="B44" s="72" t="s">
        <v>35</v>
      </c>
      <c r="C44" s="215"/>
      <c r="D44" s="123"/>
      <c r="E44" s="8"/>
    </row>
    <row r="45" spans="1:5" ht="16.5" thickBot="1">
      <c r="A45" s="128">
        <v>30</v>
      </c>
      <c r="B45" s="129" t="s">
        <v>182</v>
      </c>
      <c r="C45" s="221">
        <f>SUM(C38:C44)</f>
        <v>88730133.407445937</v>
      </c>
      <c r="D45" s="130"/>
      <c r="E45"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5" style="2" customWidth="1"/>
    <col min="3" max="3" width="10.7109375" style="2" bestFit="1" customWidth="1"/>
    <col min="4" max="4" width="13.28515625" style="2" bestFit="1" customWidth="1"/>
    <col min="5" max="5" width="10.7109375" style="2" bestFit="1" customWidth="1"/>
    <col min="6" max="6" width="13.28515625" style="2" bestFit="1" customWidth="1"/>
    <col min="7" max="7" width="9.42578125" style="2" bestFit="1" customWidth="1"/>
    <col min="8" max="8" width="13.28515625" style="2" bestFit="1" customWidth="1"/>
    <col min="9" max="9" width="10.7109375" style="2" bestFit="1" customWidth="1"/>
    <col min="10" max="10" width="13.28515625" style="2" bestFit="1" customWidth="1"/>
    <col min="11" max="11" width="9.42578125" style="2" bestFit="1" customWidth="1"/>
    <col min="12" max="12" width="13.28515625" style="2" bestFit="1" customWidth="1"/>
    <col min="13" max="13" width="11.710937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ht="15">
      <c r="A1" s="531" t="s">
        <v>188</v>
      </c>
      <c r="B1" s="532" t="s">
        <v>960</v>
      </c>
    </row>
    <row r="2" spans="1:19" ht="15">
      <c r="A2" s="531" t="s">
        <v>189</v>
      </c>
      <c r="B2" s="533">
        <f>'1. key ratios'!B2</f>
        <v>44377</v>
      </c>
    </row>
    <row r="4" spans="1:19" ht="26.25" thickBot="1">
      <c r="A4" s="51" t="s">
        <v>415</v>
      </c>
      <c r="B4" s="235" t="s">
        <v>458</v>
      </c>
    </row>
    <row r="5" spans="1:19">
      <c r="A5" s="110"/>
      <c r="B5" s="112"/>
      <c r="C5" s="100" t="s">
        <v>0</v>
      </c>
      <c r="D5" s="100" t="s">
        <v>1</v>
      </c>
      <c r="E5" s="100" t="s">
        <v>2</v>
      </c>
      <c r="F5" s="100" t="s">
        <v>3</v>
      </c>
      <c r="G5" s="100" t="s">
        <v>4</v>
      </c>
      <c r="H5" s="100" t="s">
        <v>5</v>
      </c>
      <c r="I5" s="100" t="s">
        <v>238</v>
      </c>
      <c r="J5" s="100" t="s">
        <v>239</v>
      </c>
      <c r="K5" s="100" t="s">
        <v>240</v>
      </c>
      <c r="L5" s="100" t="s">
        <v>241</v>
      </c>
      <c r="M5" s="100" t="s">
        <v>242</v>
      </c>
      <c r="N5" s="100" t="s">
        <v>243</v>
      </c>
      <c r="O5" s="100" t="s">
        <v>445</v>
      </c>
      <c r="P5" s="100" t="s">
        <v>446</v>
      </c>
      <c r="Q5" s="100" t="s">
        <v>447</v>
      </c>
      <c r="R5" s="230" t="s">
        <v>448</v>
      </c>
      <c r="S5" s="101" t="s">
        <v>449</v>
      </c>
    </row>
    <row r="6" spans="1:19" ht="46.5" customHeight="1">
      <c r="A6" s="135"/>
      <c r="B6" s="741" t="s">
        <v>450</v>
      </c>
      <c r="C6" s="739">
        <v>0</v>
      </c>
      <c r="D6" s="740"/>
      <c r="E6" s="739">
        <v>0.2</v>
      </c>
      <c r="F6" s="740"/>
      <c r="G6" s="739">
        <v>0.35</v>
      </c>
      <c r="H6" s="740"/>
      <c r="I6" s="739">
        <v>0.5</v>
      </c>
      <c r="J6" s="740"/>
      <c r="K6" s="739">
        <v>0.75</v>
      </c>
      <c r="L6" s="740"/>
      <c r="M6" s="739">
        <v>1</v>
      </c>
      <c r="N6" s="740"/>
      <c r="O6" s="739">
        <v>1.5</v>
      </c>
      <c r="P6" s="740"/>
      <c r="Q6" s="739">
        <v>2.5</v>
      </c>
      <c r="R6" s="740"/>
      <c r="S6" s="737" t="s">
        <v>251</v>
      </c>
    </row>
    <row r="7" spans="1:19">
      <c r="A7" s="135"/>
      <c r="B7" s="742"/>
      <c r="C7" s="234" t="s">
        <v>443</v>
      </c>
      <c r="D7" s="234" t="s">
        <v>444</v>
      </c>
      <c r="E7" s="234" t="s">
        <v>443</v>
      </c>
      <c r="F7" s="234" t="s">
        <v>444</v>
      </c>
      <c r="G7" s="234" t="s">
        <v>443</v>
      </c>
      <c r="H7" s="234" t="s">
        <v>444</v>
      </c>
      <c r="I7" s="234" t="s">
        <v>443</v>
      </c>
      <c r="J7" s="234" t="s">
        <v>444</v>
      </c>
      <c r="K7" s="234" t="s">
        <v>443</v>
      </c>
      <c r="L7" s="234" t="s">
        <v>444</v>
      </c>
      <c r="M7" s="234" t="s">
        <v>443</v>
      </c>
      <c r="N7" s="234" t="s">
        <v>444</v>
      </c>
      <c r="O7" s="234" t="s">
        <v>443</v>
      </c>
      <c r="P7" s="234" t="s">
        <v>444</v>
      </c>
      <c r="Q7" s="234" t="s">
        <v>443</v>
      </c>
      <c r="R7" s="234" t="s">
        <v>444</v>
      </c>
      <c r="S7" s="738"/>
    </row>
    <row r="8" spans="1:19" s="139" customFormat="1">
      <c r="A8" s="104">
        <v>1</v>
      </c>
      <c r="B8" s="157" t="s">
        <v>216</v>
      </c>
      <c r="C8" s="663">
        <v>8914089.0849132426</v>
      </c>
      <c r="D8" s="663"/>
      <c r="E8" s="663"/>
      <c r="F8" s="663"/>
      <c r="G8" s="663"/>
      <c r="H8" s="663"/>
      <c r="I8" s="663"/>
      <c r="J8" s="663"/>
      <c r="K8" s="663"/>
      <c r="L8" s="663"/>
      <c r="M8" s="663">
        <v>46928217.231728449</v>
      </c>
      <c r="N8" s="663"/>
      <c r="O8" s="663"/>
      <c r="P8" s="663"/>
      <c r="Q8" s="663"/>
      <c r="R8" s="663"/>
      <c r="S8" s="664">
        <f>$C$6*SUM(C8:D8)+$E$6*SUM(E8:F8)+$G$6*SUM(G8:H8)+$I$6*SUM(I8:J8)+$K$6*SUM(K8:L8)+$M$6*SUM(M8:N8)+$O$6*SUM(O8:P8)+$Q$6*SUM(Q8:R8)</f>
        <v>46928217.231728449</v>
      </c>
    </row>
    <row r="9" spans="1:19" s="139" customFormat="1">
      <c r="A9" s="104">
        <v>2</v>
      </c>
      <c r="B9" s="157" t="s">
        <v>217</v>
      </c>
      <c r="C9" s="663"/>
      <c r="D9" s="663"/>
      <c r="E9" s="663"/>
      <c r="F9" s="663"/>
      <c r="G9" s="663"/>
      <c r="H9" s="663"/>
      <c r="I9" s="663"/>
      <c r="J9" s="663"/>
      <c r="K9" s="663"/>
      <c r="L9" s="663"/>
      <c r="M9" s="663"/>
      <c r="N9" s="663"/>
      <c r="O9" s="663"/>
      <c r="P9" s="663"/>
      <c r="Q9" s="663"/>
      <c r="R9" s="663"/>
      <c r="S9" s="664">
        <f t="shared" ref="S9:S21" si="0">$C$6*SUM(C9:D9)+$E$6*SUM(E9:F9)+$G$6*SUM(G9:H9)+$I$6*SUM(I9:J9)+$K$6*SUM(K9:L9)+$M$6*SUM(M9:N9)+$O$6*SUM(O9:P9)+$Q$6*SUM(Q9:R9)</f>
        <v>0</v>
      </c>
    </row>
    <row r="10" spans="1:19" s="139" customFormat="1">
      <c r="A10" s="104">
        <v>3</v>
      </c>
      <c r="B10" s="157" t="s">
        <v>218</v>
      </c>
      <c r="C10" s="663"/>
      <c r="D10" s="663"/>
      <c r="E10" s="663"/>
      <c r="F10" s="663"/>
      <c r="G10" s="663"/>
      <c r="H10" s="663"/>
      <c r="I10" s="663"/>
      <c r="J10" s="663"/>
      <c r="K10" s="663"/>
      <c r="L10" s="663"/>
      <c r="M10" s="663"/>
      <c r="N10" s="663"/>
      <c r="O10" s="663"/>
      <c r="P10" s="663"/>
      <c r="Q10" s="663"/>
      <c r="R10" s="663"/>
      <c r="S10" s="664">
        <f t="shared" si="0"/>
        <v>0</v>
      </c>
    </row>
    <row r="11" spans="1:19" s="139" customFormat="1">
      <c r="A11" s="104">
        <v>4</v>
      </c>
      <c r="B11" s="157" t="s">
        <v>219</v>
      </c>
      <c r="C11" s="663"/>
      <c r="D11" s="663"/>
      <c r="E11" s="663"/>
      <c r="F11" s="663"/>
      <c r="G11" s="663"/>
      <c r="H11" s="663"/>
      <c r="I11" s="663"/>
      <c r="J11" s="663"/>
      <c r="K11" s="663"/>
      <c r="L11" s="663"/>
      <c r="M11" s="663"/>
      <c r="N11" s="663"/>
      <c r="O11" s="663"/>
      <c r="P11" s="663"/>
      <c r="Q11" s="663"/>
      <c r="R11" s="663"/>
      <c r="S11" s="664">
        <f t="shared" si="0"/>
        <v>0</v>
      </c>
    </row>
    <row r="12" spans="1:19" s="139" customFormat="1">
      <c r="A12" s="104">
        <v>5</v>
      </c>
      <c r="B12" s="157" t="s">
        <v>220</v>
      </c>
      <c r="C12" s="663"/>
      <c r="D12" s="663"/>
      <c r="E12" s="663"/>
      <c r="F12" s="663"/>
      <c r="G12" s="663"/>
      <c r="H12" s="663"/>
      <c r="I12" s="663"/>
      <c r="J12" s="663"/>
      <c r="K12" s="663"/>
      <c r="L12" s="663"/>
      <c r="M12" s="663"/>
      <c r="N12" s="663"/>
      <c r="O12" s="663"/>
      <c r="P12" s="663"/>
      <c r="Q12" s="663"/>
      <c r="R12" s="663"/>
      <c r="S12" s="664">
        <f t="shared" si="0"/>
        <v>0</v>
      </c>
    </row>
    <row r="13" spans="1:19" s="139" customFormat="1">
      <c r="A13" s="104">
        <v>6</v>
      </c>
      <c r="B13" s="157" t="s">
        <v>221</v>
      </c>
      <c r="C13" s="663"/>
      <c r="D13" s="663"/>
      <c r="E13" s="663">
        <v>10111234.470000001</v>
      </c>
      <c r="F13" s="663"/>
      <c r="G13" s="663"/>
      <c r="H13" s="663"/>
      <c r="I13" s="663">
        <v>50010876.070000008</v>
      </c>
      <c r="J13" s="663">
        <v>21893009.629999999</v>
      </c>
      <c r="K13" s="663"/>
      <c r="L13" s="663"/>
      <c r="M13" s="663">
        <v>3237950.692181</v>
      </c>
      <c r="N13" s="663">
        <v>17484126.93</v>
      </c>
      <c r="O13" s="663"/>
      <c r="P13" s="663"/>
      <c r="Q13" s="663"/>
      <c r="R13" s="663"/>
      <c r="S13" s="664">
        <f t="shared" si="0"/>
        <v>58696267.366181001</v>
      </c>
    </row>
    <row r="14" spans="1:19" s="139" customFormat="1">
      <c r="A14" s="104">
        <v>7</v>
      </c>
      <c r="B14" s="157" t="s">
        <v>73</v>
      </c>
      <c r="C14" s="663"/>
      <c r="D14" s="663"/>
      <c r="E14" s="663"/>
      <c r="F14" s="663"/>
      <c r="G14" s="663"/>
      <c r="H14" s="663"/>
      <c r="I14" s="663"/>
      <c r="J14" s="663"/>
      <c r="K14" s="663"/>
      <c r="L14" s="663"/>
      <c r="M14" s="663">
        <v>225933272.68482637</v>
      </c>
      <c r="N14" s="663">
        <v>30553732.579999994</v>
      </c>
      <c r="O14" s="663"/>
      <c r="P14" s="663"/>
      <c r="Q14" s="663"/>
      <c r="R14" s="663"/>
      <c r="S14" s="664">
        <f t="shared" si="0"/>
        <v>256487005.26482636</v>
      </c>
    </row>
    <row r="15" spans="1:19" s="139" customFormat="1">
      <c r="A15" s="104">
        <v>8</v>
      </c>
      <c r="B15" s="157" t="s">
        <v>74</v>
      </c>
      <c r="C15" s="663"/>
      <c r="D15" s="663"/>
      <c r="E15" s="663"/>
      <c r="F15" s="663"/>
      <c r="G15" s="663"/>
      <c r="H15" s="663"/>
      <c r="I15" s="663"/>
      <c r="J15" s="663"/>
      <c r="K15" s="663"/>
      <c r="L15" s="663"/>
      <c r="M15" s="663"/>
      <c r="N15" s="663">
        <v>24750.19</v>
      </c>
      <c r="O15" s="663"/>
      <c r="P15" s="663"/>
      <c r="Q15" s="663"/>
      <c r="R15" s="663"/>
      <c r="S15" s="664">
        <f t="shared" si="0"/>
        <v>24750.19</v>
      </c>
    </row>
    <row r="16" spans="1:19" s="139" customFormat="1">
      <c r="A16" s="104">
        <v>9</v>
      </c>
      <c r="B16" s="157" t="s">
        <v>75</v>
      </c>
      <c r="C16" s="663"/>
      <c r="D16" s="663"/>
      <c r="E16" s="663"/>
      <c r="F16" s="663"/>
      <c r="G16" s="663"/>
      <c r="H16" s="663"/>
      <c r="I16" s="663"/>
      <c r="J16" s="663"/>
      <c r="K16" s="663"/>
      <c r="L16" s="663"/>
      <c r="M16" s="663"/>
      <c r="N16" s="663"/>
      <c r="O16" s="663"/>
      <c r="P16" s="663"/>
      <c r="Q16" s="663"/>
      <c r="R16" s="663"/>
      <c r="S16" s="664">
        <f t="shared" si="0"/>
        <v>0</v>
      </c>
    </row>
    <row r="17" spans="1:19" s="139" customFormat="1">
      <c r="A17" s="104">
        <v>10</v>
      </c>
      <c r="B17" s="157" t="s">
        <v>69</v>
      </c>
      <c r="C17" s="663"/>
      <c r="D17" s="663"/>
      <c r="E17" s="663"/>
      <c r="F17" s="663"/>
      <c r="G17" s="663"/>
      <c r="H17" s="663"/>
      <c r="I17" s="663"/>
      <c r="J17" s="663"/>
      <c r="K17" s="663"/>
      <c r="L17" s="663"/>
      <c r="M17" s="663">
        <v>1381748.676</v>
      </c>
      <c r="N17" s="663"/>
      <c r="O17" s="663"/>
      <c r="P17" s="663"/>
      <c r="Q17" s="663"/>
      <c r="R17" s="663"/>
      <c r="S17" s="664">
        <f t="shared" si="0"/>
        <v>1381748.676</v>
      </c>
    </row>
    <row r="18" spans="1:19" s="139" customFormat="1">
      <c r="A18" s="104">
        <v>11</v>
      </c>
      <c r="B18" s="157" t="s">
        <v>70</v>
      </c>
      <c r="C18" s="663"/>
      <c r="D18" s="663"/>
      <c r="E18" s="663"/>
      <c r="F18" s="663"/>
      <c r="G18" s="663"/>
      <c r="H18" s="663"/>
      <c r="I18" s="663"/>
      <c r="J18" s="663"/>
      <c r="K18" s="663"/>
      <c r="L18" s="663"/>
      <c r="M18" s="663"/>
      <c r="N18" s="663"/>
      <c r="O18" s="663">
        <v>763.3149999999996</v>
      </c>
      <c r="P18" s="663"/>
      <c r="Q18" s="663"/>
      <c r="R18" s="663"/>
      <c r="S18" s="664">
        <f t="shared" si="0"/>
        <v>1144.9724999999994</v>
      </c>
    </row>
    <row r="19" spans="1:19" s="139" customFormat="1">
      <c r="A19" s="104">
        <v>12</v>
      </c>
      <c r="B19" s="157" t="s">
        <v>71</v>
      </c>
      <c r="C19" s="663"/>
      <c r="D19" s="663"/>
      <c r="E19" s="663"/>
      <c r="F19" s="663"/>
      <c r="G19" s="663"/>
      <c r="H19" s="663"/>
      <c r="I19" s="663"/>
      <c r="J19" s="663"/>
      <c r="K19" s="663"/>
      <c r="L19" s="663"/>
      <c r="M19" s="663"/>
      <c r="N19" s="663"/>
      <c r="O19" s="663"/>
      <c r="P19" s="663"/>
      <c r="Q19" s="663"/>
      <c r="R19" s="663"/>
      <c r="S19" s="664">
        <f t="shared" si="0"/>
        <v>0</v>
      </c>
    </row>
    <row r="20" spans="1:19" s="139" customFormat="1">
      <c r="A20" s="104">
        <v>13</v>
      </c>
      <c r="B20" s="157" t="s">
        <v>72</v>
      </c>
      <c r="C20" s="663"/>
      <c r="D20" s="663"/>
      <c r="E20" s="663"/>
      <c r="F20" s="663"/>
      <c r="G20" s="663"/>
      <c r="H20" s="663"/>
      <c r="I20" s="663"/>
      <c r="J20" s="663"/>
      <c r="K20" s="663"/>
      <c r="L20" s="663"/>
      <c r="M20" s="663"/>
      <c r="N20" s="663"/>
      <c r="O20" s="663"/>
      <c r="P20" s="663"/>
      <c r="Q20" s="663"/>
      <c r="R20" s="663"/>
      <c r="S20" s="664">
        <f t="shared" si="0"/>
        <v>0</v>
      </c>
    </row>
    <row r="21" spans="1:19" s="139" customFormat="1">
      <c r="A21" s="104">
        <v>14</v>
      </c>
      <c r="B21" s="157" t="s">
        <v>249</v>
      </c>
      <c r="C21" s="663">
        <v>4686125.87</v>
      </c>
      <c r="D21" s="663"/>
      <c r="E21" s="663"/>
      <c r="F21" s="663"/>
      <c r="G21" s="663"/>
      <c r="H21" s="663"/>
      <c r="I21" s="663"/>
      <c r="J21" s="663"/>
      <c r="K21" s="663"/>
      <c r="L21" s="663"/>
      <c r="M21" s="663">
        <v>12145818.013164936</v>
      </c>
      <c r="N21" s="663"/>
      <c r="O21" s="663"/>
      <c r="P21" s="663"/>
      <c r="Q21" s="663"/>
      <c r="R21" s="663"/>
      <c r="S21" s="664">
        <f t="shared" si="0"/>
        <v>12145818.013164936</v>
      </c>
    </row>
    <row r="22" spans="1:19" ht="13.5" thickBot="1">
      <c r="A22" s="86"/>
      <c r="B22" s="141" t="s">
        <v>68</v>
      </c>
      <c r="C22" s="665">
        <f>SUM(C8:C21)</f>
        <v>13600214.954913244</v>
      </c>
      <c r="D22" s="665">
        <f t="shared" ref="D22:S22" si="1">SUM(D8:D21)</f>
        <v>0</v>
      </c>
      <c r="E22" s="665">
        <f t="shared" si="1"/>
        <v>10111234.470000001</v>
      </c>
      <c r="F22" s="665">
        <f t="shared" si="1"/>
        <v>0</v>
      </c>
      <c r="G22" s="665">
        <f t="shared" si="1"/>
        <v>0</v>
      </c>
      <c r="H22" s="665">
        <f t="shared" si="1"/>
        <v>0</v>
      </c>
      <c r="I22" s="665">
        <f t="shared" si="1"/>
        <v>50010876.070000008</v>
      </c>
      <c r="J22" s="665">
        <f t="shared" si="1"/>
        <v>21893009.629999999</v>
      </c>
      <c r="K22" s="665">
        <f t="shared" si="1"/>
        <v>0</v>
      </c>
      <c r="L22" s="665">
        <f t="shared" si="1"/>
        <v>0</v>
      </c>
      <c r="M22" s="665">
        <f t="shared" si="1"/>
        <v>289627007.29790074</v>
      </c>
      <c r="N22" s="665">
        <f t="shared" si="1"/>
        <v>48062609.699999988</v>
      </c>
      <c r="O22" s="665">
        <f t="shared" si="1"/>
        <v>763.3149999999996</v>
      </c>
      <c r="P22" s="665">
        <f t="shared" si="1"/>
        <v>0</v>
      </c>
      <c r="Q22" s="665">
        <f t="shared" si="1"/>
        <v>0</v>
      </c>
      <c r="R22" s="665">
        <f t="shared" si="1"/>
        <v>0</v>
      </c>
      <c r="S22" s="666">
        <f t="shared" si="1"/>
        <v>375664951.71440077</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ht="15">
      <c r="A1" s="531" t="s">
        <v>188</v>
      </c>
      <c r="B1" s="532" t="s">
        <v>960</v>
      </c>
    </row>
    <row r="2" spans="1:22" ht="15">
      <c r="A2" s="531" t="s">
        <v>189</v>
      </c>
      <c r="B2" s="533">
        <f>'1. key ratios'!B2</f>
        <v>44377</v>
      </c>
    </row>
    <row r="4" spans="1:22" ht="27.75" thickBot="1">
      <c r="A4" s="2" t="s">
        <v>416</v>
      </c>
      <c r="B4" s="236" t="s">
        <v>459</v>
      </c>
      <c r="V4" s="183" t="s">
        <v>93</v>
      </c>
    </row>
    <row r="5" spans="1:22">
      <c r="A5" s="84"/>
      <c r="B5" s="85"/>
      <c r="C5" s="743" t="s">
        <v>198</v>
      </c>
      <c r="D5" s="744"/>
      <c r="E5" s="744"/>
      <c r="F5" s="744"/>
      <c r="G5" s="744"/>
      <c r="H5" s="744"/>
      <c r="I5" s="744"/>
      <c r="J5" s="744"/>
      <c r="K5" s="744"/>
      <c r="L5" s="745"/>
      <c r="M5" s="743" t="s">
        <v>199</v>
      </c>
      <c r="N5" s="744"/>
      <c r="O5" s="744"/>
      <c r="P5" s="744"/>
      <c r="Q5" s="744"/>
      <c r="R5" s="744"/>
      <c r="S5" s="745"/>
      <c r="T5" s="748" t="s">
        <v>457</v>
      </c>
      <c r="U5" s="748" t="s">
        <v>456</v>
      </c>
      <c r="V5" s="746" t="s">
        <v>200</v>
      </c>
    </row>
    <row r="6" spans="1:22" s="51" customFormat="1" ht="127.5">
      <c r="A6" s="102"/>
      <c r="B6" s="159"/>
      <c r="C6" s="82" t="s">
        <v>201</v>
      </c>
      <c r="D6" s="81" t="s">
        <v>202</v>
      </c>
      <c r="E6" s="78" t="s">
        <v>203</v>
      </c>
      <c r="F6" s="237" t="s">
        <v>451</v>
      </c>
      <c r="G6" s="81" t="s">
        <v>204</v>
      </c>
      <c r="H6" s="81" t="s">
        <v>205</v>
      </c>
      <c r="I6" s="81" t="s">
        <v>206</v>
      </c>
      <c r="J6" s="81" t="s">
        <v>248</v>
      </c>
      <c r="K6" s="81" t="s">
        <v>207</v>
      </c>
      <c r="L6" s="83" t="s">
        <v>208</v>
      </c>
      <c r="M6" s="82" t="s">
        <v>209</v>
      </c>
      <c r="N6" s="81" t="s">
        <v>210</v>
      </c>
      <c r="O6" s="81" t="s">
        <v>211</v>
      </c>
      <c r="P6" s="81" t="s">
        <v>212</v>
      </c>
      <c r="Q6" s="81" t="s">
        <v>213</v>
      </c>
      <c r="R6" s="81" t="s">
        <v>214</v>
      </c>
      <c r="S6" s="83" t="s">
        <v>215</v>
      </c>
      <c r="T6" s="749"/>
      <c r="U6" s="749"/>
      <c r="V6" s="747"/>
    </row>
    <row r="7" spans="1:22" s="139" customFormat="1">
      <c r="A7" s="140">
        <v>1</v>
      </c>
      <c r="B7" s="138" t="s">
        <v>216</v>
      </c>
      <c r="C7" s="667"/>
      <c r="D7" s="663"/>
      <c r="E7" s="663"/>
      <c r="F7" s="663"/>
      <c r="G7" s="663"/>
      <c r="H7" s="663"/>
      <c r="I7" s="663"/>
      <c r="J7" s="663"/>
      <c r="K7" s="663"/>
      <c r="L7" s="644"/>
      <c r="M7" s="667"/>
      <c r="N7" s="663"/>
      <c r="O7" s="663"/>
      <c r="P7" s="663"/>
      <c r="Q7" s="663"/>
      <c r="R7" s="663"/>
      <c r="S7" s="644"/>
      <c r="T7" s="668"/>
      <c r="U7" s="668"/>
      <c r="V7" s="669">
        <f>SUM(C7:S7)</f>
        <v>0</v>
      </c>
    </row>
    <row r="8" spans="1:22" s="139" customFormat="1">
      <c r="A8" s="140">
        <v>2</v>
      </c>
      <c r="B8" s="138" t="s">
        <v>217</v>
      </c>
      <c r="C8" s="667"/>
      <c r="D8" s="663"/>
      <c r="E8" s="663"/>
      <c r="F8" s="663"/>
      <c r="G8" s="663"/>
      <c r="H8" s="663"/>
      <c r="I8" s="663"/>
      <c r="J8" s="663"/>
      <c r="K8" s="663"/>
      <c r="L8" s="644"/>
      <c r="M8" s="667"/>
      <c r="N8" s="663"/>
      <c r="O8" s="663"/>
      <c r="P8" s="663"/>
      <c r="Q8" s="663"/>
      <c r="R8" s="663"/>
      <c r="S8" s="644"/>
      <c r="T8" s="668"/>
      <c r="U8" s="668"/>
      <c r="V8" s="669">
        <f t="shared" ref="V8:V20" si="0">SUM(C8:S8)</f>
        <v>0</v>
      </c>
    </row>
    <row r="9" spans="1:22" s="139" customFormat="1">
      <c r="A9" s="140">
        <v>3</v>
      </c>
      <c r="B9" s="138" t="s">
        <v>218</v>
      </c>
      <c r="C9" s="667"/>
      <c r="D9" s="663"/>
      <c r="E9" s="663"/>
      <c r="F9" s="663"/>
      <c r="G9" s="663"/>
      <c r="H9" s="663"/>
      <c r="I9" s="663"/>
      <c r="J9" s="663"/>
      <c r="K9" s="663"/>
      <c r="L9" s="644"/>
      <c r="M9" s="667"/>
      <c r="N9" s="663"/>
      <c r="O9" s="663"/>
      <c r="P9" s="663"/>
      <c r="Q9" s="663"/>
      <c r="R9" s="663"/>
      <c r="S9" s="644"/>
      <c r="T9" s="668"/>
      <c r="U9" s="668"/>
      <c r="V9" s="669">
        <f t="shared" si="0"/>
        <v>0</v>
      </c>
    </row>
    <row r="10" spans="1:22" s="139" customFormat="1">
      <c r="A10" s="140">
        <v>4</v>
      </c>
      <c r="B10" s="138" t="s">
        <v>219</v>
      </c>
      <c r="C10" s="667"/>
      <c r="D10" s="663"/>
      <c r="E10" s="663"/>
      <c r="F10" s="663"/>
      <c r="G10" s="663"/>
      <c r="H10" s="663"/>
      <c r="I10" s="663"/>
      <c r="J10" s="663"/>
      <c r="K10" s="663"/>
      <c r="L10" s="644"/>
      <c r="M10" s="667"/>
      <c r="N10" s="663"/>
      <c r="O10" s="663"/>
      <c r="P10" s="663"/>
      <c r="Q10" s="663"/>
      <c r="R10" s="663"/>
      <c r="S10" s="644"/>
      <c r="T10" s="668"/>
      <c r="U10" s="668"/>
      <c r="V10" s="669">
        <f t="shared" si="0"/>
        <v>0</v>
      </c>
    </row>
    <row r="11" spans="1:22" s="139" customFormat="1">
      <c r="A11" s="140">
        <v>5</v>
      </c>
      <c r="B11" s="138" t="s">
        <v>220</v>
      </c>
      <c r="C11" s="667"/>
      <c r="D11" s="663"/>
      <c r="E11" s="663"/>
      <c r="F11" s="663"/>
      <c r="G11" s="663"/>
      <c r="H11" s="663"/>
      <c r="I11" s="663"/>
      <c r="J11" s="663"/>
      <c r="K11" s="663"/>
      <c r="L11" s="644"/>
      <c r="M11" s="667"/>
      <c r="N11" s="663"/>
      <c r="O11" s="663"/>
      <c r="P11" s="663"/>
      <c r="Q11" s="663"/>
      <c r="R11" s="663"/>
      <c r="S11" s="644"/>
      <c r="T11" s="668"/>
      <c r="U11" s="668"/>
      <c r="V11" s="669">
        <f t="shared" si="0"/>
        <v>0</v>
      </c>
    </row>
    <row r="12" spans="1:22" s="139" customFormat="1">
      <c r="A12" s="140">
        <v>6</v>
      </c>
      <c r="B12" s="138" t="s">
        <v>221</v>
      </c>
      <c r="C12" s="667"/>
      <c r="D12" s="663"/>
      <c r="E12" s="663"/>
      <c r="F12" s="663"/>
      <c r="G12" s="663"/>
      <c r="H12" s="663"/>
      <c r="I12" s="663"/>
      <c r="J12" s="663"/>
      <c r="K12" s="663"/>
      <c r="L12" s="644"/>
      <c r="M12" s="667"/>
      <c r="N12" s="663"/>
      <c r="O12" s="663"/>
      <c r="P12" s="663"/>
      <c r="Q12" s="663"/>
      <c r="R12" s="663"/>
      <c r="S12" s="644"/>
      <c r="T12" s="668"/>
      <c r="U12" s="668"/>
      <c r="V12" s="669">
        <f t="shared" si="0"/>
        <v>0</v>
      </c>
    </row>
    <row r="13" spans="1:22" s="139" customFormat="1">
      <c r="A13" s="140">
        <v>7</v>
      </c>
      <c r="B13" s="138" t="s">
        <v>73</v>
      </c>
      <c r="C13" s="667"/>
      <c r="D13" s="663">
        <v>4751695.4736000001</v>
      </c>
      <c r="E13" s="663"/>
      <c r="F13" s="663"/>
      <c r="G13" s="663"/>
      <c r="H13" s="663"/>
      <c r="I13" s="663"/>
      <c r="J13" s="663"/>
      <c r="K13" s="663"/>
      <c r="L13" s="644"/>
      <c r="M13" s="667"/>
      <c r="N13" s="663"/>
      <c r="O13" s="663"/>
      <c r="P13" s="663"/>
      <c r="Q13" s="663"/>
      <c r="R13" s="663"/>
      <c r="S13" s="644"/>
      <c r="T13" s="668">
        <v>4165151.4736000001</v>
      </c>
      <c r="U13" s="668">
        <v>586544</v>
      </c>
      <c r="V13" s="669">
        <f t="shared" si="0"/>
        <v>4751695.4736000001</v>
      </c>
    </row>
    <row r="14" spans="1:22" s="139" customFormat="1">
      <c r="A14" s="140">
        <v>8</v>
      </c>
      <c r="B14" s="138" t="s">
        <v>74</v>
      </c>
      <c r="C14" s="667"/>
      <c r="D14" s="663"/>
      <c r="E14" s="663"/>
      <c r="F14" s="663"/>
      <c r="G14" s="663"/>
      <c r="H14" s="663"/>
      <c r="I14" s="663"/>
      <c r="J14" s="663"/>
      <c r="K14" s="663"/>
      <c r="L14" s="644"/>
      <c r="M14" s="667"/>
      <c r="N14" s="663"/>
      <c r="O14" s="663"/>
      <c r="P14" s="663"/>
      <c r="Q14" s="663"/>
      <c r="R14" s="663"/>
      <c r="S14" s="644"/>
      <c r="T14" s="668"/>
      <c r="U14" s="668"/>
      <c r="V14" s="669">
        <f t="shared" si="0"/>
        <v>0</v>
      </c>
    </row>
    <row r="15" spans="1:22" s="139" customFormat="1">
      <c r="A15" s="140">
        <v>9</v>
      </c>
      <c r="B15" s="138" t="s">
        <v>75</v>
      </c>
      <c r="C15" s="667"/>
      <c r="D15" s="663"/>
      <c r="E15" s="663"/>
      <c r="F15" s="663"/>
      <c r="G15" s="663"/>
      <c r="H15" s="663"/>
      <c r="I15" s="663"/>
      <c r="J15" s="663"/>
      <c r="K15" s="663"/>
      <c r="L15" s="644"/>
      <c r="M15" s="667"/>
      <c r="N15" s="663"/>
      <c r="O15" s="663"/>
      <c r="P15" s="663"/>
      <c r="Q15" s="663"/>
      <c r="R15" s="663"/>
      <c r="S15" s="644"/>
      <c r="T15" s="668"/>
      <c r="U15" s="668"/>
      <c r="V15" s="669">
        <f t="shared" si="0"/>
        <v>0</v>
      </c>
    </row>
    <row r="16" spans="1:22" s="139" customFormat="1">
      <c r="A16" s="140">
        <v>10</v>
      </c>
      <c r="B16" s="138" t="s">
        <v>69</v>
      </c>
      <c r="C16" s="667"/>
      <c r="D16" s="663"/>
      <c r="E16" s="663"/>
      <c r="F16" s="663"/>
      <c r="G16" s="663"/>
      <c r="H16" s="663"/>
      <c r="I16" s="663"/>
      <c r="J16" s="663"/>
      <c r="K16" s="663"/>
      <c r="L16" s="644"/>
      <c r="M16" s="667"/>
      <c r="N16" s="663"/>
      <c r="O16" s="663"/>
      <c r="P16" s="663"/>
      <c r="Q16" s="663"/>
      <c r="R16" s="663"/>
      <c r="S16" s="644"/>
      <c r="T16" s="668"/>
      <c r="U16" s="668"/>
      <c r="V16" s="669">
        <f t="shared" si="0"/>
        <v>0</v>
      </c>
    </row>
    <row r="17" spans="1:22" s="139" customFormat="1">
      <c r="A17" s="140">
        <v>11</v>
      </c>
      <c r="B17" s="138" t="s">
        <v>70</v>
      </c>
      <c r="C17" s="667"/>
      <c r="D17" s="663"/>
      <c r="E17" s="663"/>
      <c r="F17" s="663"/>
      <c r="G17" s="663"/>
      <c r="H17" s="663"/>
      <c r="I17" s="663"/>
      <c r="J17" s="663"/>
      <c r="K17" s="663"/>
      <c r="L17" s="644"/>
      <c r="M17" s="667"/>
      <c r="N17" s="663"/>
      <c r="O17" s="663"/>
      <c r="P17" s="663"/>
      <c r="Q17" s="663"/>
      <c r="R17" s="663"/>
      <c r="S17" s="644"/>
      <c r="T17" s="668"/>
      <c r="U17" s="668"/>
      <c r="V17" s="669">
        <f t="shared" si="0"/>
        <v>0</v>
      </c>
    </row>
    <row r="18" spans="1:22" s="139" customFormat="1">
      <c r="A18" s="140">
        <v>12</v>
      </c>
      <c r="B18" s="138" t="s">
        <v>71</v>
      </c>
      <c r="C18" s="667"/>
      <c r="D18" s="663"/>
      <c r="E18" s="663"/>
      <c r="F18" s="663"/>
      <c r="G18" s="663"/>
      <c r="H18" s="663"/>
      <c r="I18" s="663"/>
      <c r="J18" s="663"/>
      <c r="K18" s="663"/>
      <c r="L18" s="644"/>
      <c r="M18" s="667"/>
      <c r="N18" s="663"/>
      <c r="O18" s="663"/>
      <c r="P18" s="663"/>
      <c r="Q18" s="663"/>
      <c r="R18" s="663"/>
      <c r="S18" s="644"/>
      <c r="T18" s="668"/>
      <c r="U18" s="668"/>
      <c r="V18" s="669">
        <f t="shared" si="0"/>
        <v>0</v>
      </c>
    </row>
    <row r="19" spans="1:22" s="139" customFormat="1">
      <c r="A19" s="140">
        <v>13</v>
      </c>
      <c r="B19" s="138" t="s">
        <v>72</v>
      </c>
      <c r="C19" s="667"/>
      <c r="D19" s="663"/>
      <c r="E19" s="663"/>
      <c r="F19" s="663"/>
      <c r="G19" s="663"/>
      <c r="H19" s="663"/>
      <c r="I19" s="663"/>
      <c r="J19" s="663"/>
      <c r="K19" s="663"/>
      <c r="L19" s="644"/>
      <c r="M19" s="667"/>
      <c r="N19" s="663"/>
      <c r="O19" s="663"/>
      <c r="P19" s="663"/>
      <c r="Q19" s="663"/>
      <c r="R19" s="663"/>
      <c r="S19" s="644"/>
      <c r="T19" s="668"/>
      <c r="U19" s="668"/>
      <c r="V19" s="669">
        <f t="shared" si="0"/>
        <v>0</v>
      </c>
    </row>
    <row r="20" spans="1:22" s="139" customFormat="1">
      <c r="A20" s="140">
        <v>14</v>
      </c>
      <c r="B20" s="138" t="s">
        <v>249</v>
      </c>
      <c r="C20" s="667"/>
      <c r="D20" s="663">
        <v>230583.916</v>
      </c>
      <c r="E20" s="663"/>
      <c r="F20" s="663"/>
      <c r="G20" s="663"/>
      <c r="H20" s="663"/>
      <c r="I20" s="663"/>
      <c r="J20" s="663"/>
      <c r="K20" s="663"/>
      <c r="L20" s="644"/>
      <c r="M20" s="667"/>
      <c r="N20" s="663"/>
      <c r="O20" s="663"/>
      <c r="P20" s="663"/>
      <c r="Q20" s="663"/>
      <c r="R20" s="663"/>
      <c r="S20" s="644"/>
      <c r="T20" s="668">
        <v>230583.916</v>
      </c>
      <c r="U20" s="668"/>
      <c r="V20" s="669">
        <f t="shared" si="0"/>
        <v>230583.916</v>
      </c>
    </row>
    <row r="21" spans="1:22" ht="13.5" thickBot="1">
      <c r="A21" s="86"/>
      <c r="B21" s="87" t="s">
        <v>68</v>
      </c>
      <c r="C21" s="670">
        <f>SUM(C7:C20)</f>
        <v>0</v>
      </c>
      <c r="D21" s="671">
        <f t="shared" ref="D21:V21" si="1">SUM(D7:D20)</f>
        <v>4982279.3896000003</v>
      </c>
      <c r="E21" s="671">
        <f t="shared" si="1"/>
        <v>0</v>
      </c>
      <c r="F21" s="671">
        <f t="shared" si="1"/>
        <v>0</v>
      </c>
      <c r="G21" s="671">
        <f t="shared" si="1"/>
        <v>0</v>
      </c>
      <c r="H21" s="671">
        <f t="shared" si="1"/>
        <v>0</v>
      </c>
      <c r="I21" s="671">
        <f t="shared" si="1"/>
        <v>0</v>
      </c>
      <c r="J21" s="671">
        <f t="shared" si="1"/>
        <v>0</v>
      </c>
      <c r="K21" s="671">
        <f t="shared" si="1"/>
        <v>0</v>
      </c>
      <c r="L21" s="672">
        <f t="shared" si="1"/>
        <v>0</v>
      </c>
      <c r="M21" s="670">
        <f t="shared" si="1"/>
        <v>0</v>
      </c>
      <c r="N21" s="671">
        <f t="shared" si="1"/>
        <v>0</v>
      </c>
      <c r="O21" s="671">
        <f t="shared" si="1"/>
        <v>0</v>
      </c>
      <c r="P21" s="671">
        <f t="shared" si="1"/>
        <v>0</v>
      </c>
      <c r="Q21" s="671">
        <f t="shared" si="1"/>
        <v>0</v>
      </c>
      <c r="R21" s="671">
        <f t="shared" si="1"/>
        <v>0</v>
      </c>
      <c r="S21" s="672">
        <f>SUM(S7:S20)</f>
        <v>0</v>
      </c>
      <c r="T21" s="672">
        <f>SUM(T7:T20)</f>
        <v>4395735.3896000003</v>
      </c>
      <c r="U21" s="672">
        <f t="shared" ref="U21" si="2">SUM(U7:U20)</f>
        <v>586544</v>
      </c>
      <c r="V21" s="673">
        <f t="shared" si="1"/>
        <v>4982279.3896000003</v>
      </c>
    </row>
    <row r="24" spans="1:22">
      <c r="A24" s="19"/>
      <c r="B24" s="19"/>
      <c r="C24" s="55"/>
      <c r="D24" s="55"/>
      <c r="E24" s="55"/>
    </row>
    <row r="25" spans="1:22">
      <c r="A25" s="79"/>
      <c r="B25" s="79"/>
      <c r="C25" s="19"/>
      <c r="D25" s="55"/>
      <c r="E25" s="55"/>
    </row>
    <row r="26" spans="1:22">
      <c r="A26" s="79"/>
      <c r="B26" s="80"/>
      <c r="C26" s="19"/>
      <c r="D26" s="55"/>
      <c r="E26" s="55"/>
    </row>
    <row r="27" spans="1:22">
      <c r="A27" s="79"/>
      <c r="B27" s="79"/>
      <c r="C27" s="19"/>
      <c r="D27" s="55"/>
      <c r="E27" s="55"/>
    </row>
    <row r="28" spans="1:22">
      <c r="A28" s="79"/>
      <c r="B28" s="80"/>
      <c r="C28" s="19"/>
      <c r="D28" s="55"/>
      <c r="E28" s="5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ht="15">
      <c r="A1" s="531" t="s">
        <v>188</v>
      </c>
      <c r="B1" s="532" t="s">
        <v>960</v>
      </c>
    </row>
    <row r="2" spans="1:9" ht="15">
      <c r="A2" s="531" t="s">
        <v>189</v>
      </c>
      <c r="B2" s="533">
        <f>'1. key ratios'!B2</f>
        <v>44377</v>
      </c>
    </row>
    <row r="4" spans="1:9" ht="13.5" thickBot="1">
      <c r="A4" s="2" t="s">
        <v>417</v>
      </c>
      <c r="B4" s="233" t="s">
        <v>460</v>
      </c>
    </row>
    <row r="5" spans="1:9">
      <c r="A5" s="84"/>
      <c r="B5" s="136"/>
      <c r="C5" s="142" t="s">
        <v>0</v>
      </c>
      <c r="D5" s="142" t="s">
        <v>1</v>
      </c>
      <c r="E5" s="142" t="s">
        <v>2</v>
      </c>
      <c r="F5" s="142" t="s">
        <v>3</v>
      </c>
      <c r="G5" s="231" t="s">
        <v>4</v>
      </c>
      <c r="H5" s="143" t="s">
        <v>5</v>
      </c>
      <c r="I5" s="25"/>
    </row>
    <row r="6" spans="1:9" ht="15" customHeight="1">
      <c r="A6" s="135"/>
      <c r="B6" s="23"/>
      <c r="C6" s="750" t="s">
        <v>452</v>
      </c>
      <c r="D6" s="754" t="s">
        <v>473</v>
      </c>
      <c r="E6" s="755"/>
      <c r="F6" s="750" t="s">
        <v>479</v>
      </c>
      <c r="G6" s="750" t="s">
        <v>480</v>
      </c>
      <c r="H6" s="752" t="s">
        <v>454</v>
      </c>
      <c r="I6" s="25"/>
    </row>
    <row r="7" spans="1:9" ht="63.75">
      <c r="A7" s="135"/>
      <c r="B7" s="23"/>
      <c r="C7" s="751"/>
      <c r="D7" s="232" t="s">
        <v>455</v>
      </c>
      <c r="E7" s="232" t="s">
        <v>453</v>
      </c>
      <c r="F7" s="751"/>
      <c r="G7" s="751"/>
      <c r="H7" s="753"/>
      <c r="I7" s="25"/>
    </row>
    <row r="8" spans="1:9">
      <c r="A8" s="75">
        <v>1</v>
      </c>
      <c r="B8" s="57" t="s">
        <v>216</v>
      </c>
      <c r="C8" s="676">
        <f>'11. CRWA'!C8+'11. CRWA'!E8+'11. CRWA'!G8+'11. CRWA'!I8+'11. CRWA'!K8+'11. CRWA'!M8+'11. CRWA'!O8+'11. CRWA'!Q8</f>
        <v>55842306.316641688</v>
      </c>
      <c r="D8" s="677"/>
      <c r="E8" s="676">
        <f>'11. CRWA'!D8+'11. CRWA'!F8+'11. CRWA'!H8+'11. CRWA'!J8+'11. CRWA'!L8+'11. CRWA'!N8+'11. CRWA'!P8+'11. CRWA'!R8</f>
        <v>0</v>
      </c>
      <c r="F8" s="676">
        <f>'11. CRWA'!S8</f>
        <v>46928217.231728449</v>
      </c>
      <c r="G8" s="678">
        <f>F8-'12. CRM'!V7</f>
        <v>46928217.231728449</v>
      </c>
      <c r="H8" s="674">
        <f>IFERROR(G8/(C8+E8),0)</f>
        <v>0.84037032721449878</v>
      </c>
    </row>
    <row r="9" spans="1:9" ht="15" customHeight="1">
      <c r="A9" s="75">
        <v>2</v>
      </c>
      <c r="B9" s="57" t="s">
        <v>217</v>
      </c>
      <c r="C9" s="676">
        <f>'11. CRWA'!C9+'11. CRWA'!E9+'11. CRWA'!G9+'11. CRWA'!I9+'11. CRWA'!K9+'11. CRWA'!M9+'11. CRWA'!O9+'11. CRWA'!Q9</f>
        <v>0</v>
      </c>
      <c r="D9" s="677"/>
      <c r="E9" s="676">
        <f>'11. CRWA'!D9+'11. CRWA'!F9+'11. CRWA'!H9+'11. CRWA'!J9+'11. CRWA'!L9+'11. CRWA'!N9+'11. CRWA'!P9+'11. CRWA'!R9</f>
        <v>0</v>
      </c>
      <c r="F9" s="676">
        <f>'11. CRWA'!S9</f>
        <v>0</v>
      </c>
      <c r="G9" s="678">
        <f>F9-'12. CRM'!V8</f>
        <v>0</v>
      </c>
      <c r="H9" s="674">
        <f t="shared" ref="H9:H21" si="0">IFERROR(G9/(C9+E9),0)</f>
        <v>0</v>
      </c>
    </row>
    <row r="10" spans="1:9">
      <c r="A10" s="75">
        <v>3</v>
      </c>
      <c r="B10" s="57" t="s">
        <v>218</v>
      </c>
      <c r="C10" s="676">
        <f>'11. CRWA'!C10+'11. CRWA'!E10+'11. CRWA'!G10+'11. CRWA'!I10+'11. CRWA'!K10+'11. CRWA'!M10+'11. CRWA'!O10+'11. CRWA'!Q10</f>
        <v>0</v>
      </c>
      <c r="D10" s="677"/>
      <c r="E10" s="676">
        <f>'11. CRWA'!D10+'11. CRWA'!F10+'11. CRWA'!H10+'11. CRWA'!J10+'11. CRWA'!L10+'11. CRWA'!N10+'11. CRWA'!P10+'11. CRWA'!R10</f>
        <v>0</v>
      </c>
      <c r="F10" s="676">
        <f>'11. CRWA'!S10</f>
        <v>0</v>
      </c>
      <c r="G10" s="678">
        <f>F10-'12. CRM'!V9</f>
        <v>0</v>
      </c>
      <c r="H10" s="674">
        <f t="shared" si="0"/>
        <v>0</v>
      </c>
    </row>
    <row r="11" spans="1:9">
      <c r="A11" s="75">
        <v>4</v>
      </c>
      <c r="B11" s="57" t="s">
        <v>219</v>
      </c>
      <c r="C11" s="676">
        <f>'11. CRWA'!C11+'11. CRWA'!E11+'11. CRWA'!G11+'11. CRWA'!I11+'11. CRWA'!K11+'11. CRWA'!M11+'11. CRWA'!O11+'11. CRWA'!Q11</f>
        <v>0</v>
      </c>
      <c r="D11" s="677"/>
      <c r="E11" s="676">
        <f>'11. CRWA'!D11+'11. CRWA'!F11+'11. CRWA'!H11+'11. CRWA'!J11+'11. CRWA'!L11+'11. CRWA'!N11+'11. CRWA'!P11+'11. CRWA'!R11</f>
        <v>0</v>
      </c>
      <c r="F11" s="676">
        <f>'11. CRWA'!S11</f>
        <v>0</v>
      </c>
      <c r="G11" s="678">
        <f>F11-'12. CRM'!V10</f>
        <v>0</v>
      </c>
      <c r="H11" s="674">
        <f t="shared" si="0"/>
        <v>0</v>
      </c>
    </row>
    <row r="12" spans="1:9">
      <c r="A12" s="75">
        <v>5</v>
      </c>
      <c r="B12" s="57" t="s">
        <v>220</v>
      </c>
      <c r="C12" s="676">
        <f>'11. CRWA'!C12+'11. CRWA'!E12+'11. CRWA'!G12+'11. CRWA'!I12+'11. CRWA'!K12+'11. CRWA'!M12+'11. CRWA'!O12+'11. CRWA'!Q12</f>
        <v>0</v>
      </c>
      <c r="D12" s="677"/>
      <c r="E12" s="676">
        <f>'11. CRWA'!D12+'11. CRWA'!F12+'11. CRWA'!H12+'11. CRWA'!J12+'11. CRWA'!L12+'11. CRWA'!N12+'11. CRWA'!P12+'11. CRWA'!R12</f>
        <v>0</v>
      </c>
      <c r="F12" s="676">
        <f>'11. CRWA'!S12</f>
        <v>0</v>
      </c>
      <c r="G12" s="678">
        <f>F12-'12. CRM'!V11</f>
        <v>0</v>
      </c>
      <c r="H12" s="674">
        <f t="shared" si="0"/>
        <v>0</v>
      </c>
    </row>
    <row r="13" spans="1:9">
      <c r="A13" s="75">
        <v>6</v>
      </c>
      <c r="B13" s="57" t="s">
        <v>221</v>
      </c>
      <c r="C13" s="676">
        <f>'11. CRWA'!C13+'11. CRWA'!E13+'11. CRWA'!G13+'11. CRWA'!I13+'11. CRWA'!K13+'11. CRWA'!M13+'11. CRWA'!O13+'11. CRWA'!Q13</f>
        <v>63360061.232181005</v>
      </c>
      <c r="D13" s="677">
        <f>'11. CRWA'!D13+'11. CRWA'!F13+'11. CRWA'!H13+'11. CRWA'!J13+'11. CRWA'!L13+'11. CRWA'!N13+'11. CRWA'!P13+'11. CRWA'!R13</f>
        <v>39377136.560000002</v>
      </c>
      <c r="E13" s="676">
        <f>'11. CRWA'!D13+'11. CRWA'!F13+'11. CRWA'!H13+'11. CRWA'!J13+'11. CRWA'!L13+'11. CRWA'!N13+'11. CRWA'!P13+'11. CRWA'!R13</f>
        <v>39377136.560000002</v>
      </c>
      <c r="F13" s="676">
        <f>'11. CRWA'!S13</f>
        <v>58696267.366181001</v>
      </c>
      <c r="G13" s="678">
        <f>F13-'12. CRM'!V12</f>
        <v>58696267.366181001</v>
      </c>
      <c r="H13" s="674">
        <f t="shared" si="0"/>
        <v>0.57132439493739218</v>
      </c>
    </row>
    <row r="14" spans="1:9">
      <c r="A14" s="75">
        <v>7</v>
      </c>
      <c r="B14" s="57" t="s">
        <v>73</v>
      </c>
      <c r="C14" s="676">
        <f>'11. CRWA'!C14+'11. CRWA'!E14+'11. CRWA'!G14+'11. CRWA'!I14+'11. CRWA'!K14+'11. CRWA'!M14+'11. CRWA'!O14+'11. CRWA'!Q14</f>
        <v>225933272.68482637</v>
      </c>
      <c r="D14" s="677">
        <f>'4. Off-Balance'!E7-D13</f>
        <v>76793082.959999993</v>
      </c>
      <c r="E14" s="676">
        <f>'11. CRWA'!D14+'11. CRWA'!F14+'11. CRWA'!H14+'11. CRWA'!J14+'11. CRWA'!L14+'11. CRWA'!N14+'11. CRWA'!P14+'11. CRWA'!R14</f>
        <v>30553732.579999994</v>
      </c>
      <c r="F14" s="676">
        <f>'11. CRWA'!S14</f>
        <v>256487005.26482636</v>
      </c>
      <c r="G14" s="678">
        <f>F14-'12. CRM'!V13</f>
        <v>251735309.79122636</v>
      </c>
      <c r="H14" s="674">
        <f t="shared" si="0"/>
        <v>0.98147393288523987</v>
      </c>
    </row>
    <row r="15" spans="1:9">
      <c r="A15" s="75">
        <v>8</v>
      </c>
      <c r="B15" s="57" t="s">
        <v>74</v>
      </c>
      <c r="C15" s="676">
        <f>'11. CRWA'!C15+'11. CRWA'!E15+'11. CRWA'!G15+'11. CRWA'!I15+'11. CRWA'!K15+'11. CRWA'!M15+'11. CRWA'!O15+'11. CRWA'!Q15</f>
        <v>0</v>
      </c>
      <c r="D15" s="677"/>
      <c r="E15" s="676">
        <f>'11. CRWA'!D15+'11. CRWA'!F15+'11. CRWA'!H15+'11. CRWA'!J15+'11. CRWA'!L15+'11. CRWA'!N15+'11. CRWA'!P15+'11. CRWA'!R15</f>
        <v>24750.19</v>
      </c>
      <c r="F15" s="676">
        <f>'11. CRWA'!S15</f>
        <v>24750.19</v>
      </c>
      <c r="G15" s="678">
        <f>F15-'12. CRM'!V14</f>
        <v>24750.19</v>
      </c>
      <c r="H15" s="674">
        <f t="shared" si="0"/>
        <v>1</v>
      </c>
    </row>
    <row r="16" spans="1:9">
      <c r="A16" s="75">
        <v>9</v>
      </c>
      <c r="B16" s="57" t="s">
        <v>75</v>
      </c>
      <c r="C16" s="676">
        <f>'11. CRWA'!C16+'11. CRWA'!E16+'11. CRWA'!G16+'11. CRWA'!I16+'11. CRWA'!K16+'11. CRWA'!M16+'11. CRWA'!O16+'11. CRWA'!Q16</f>
        <v>0</v>
      </c>
      <c r="D16" s="677"/>
      <c r="E16" s="676">
        <f>'11. CRWA'!D16+'11. CRWA'!F16+'11. CRWA'!H16+'11. CRWA'!J16+'11. CRWA'!L16+'11. CRWA'!N16+'11. CRWA'!P16+'11. CRWA'!R16</f>
        <v>0</v>
      </c>
      <c r="F16" s="676">
        <f>'11. CRWA'!S16</f>
        <v>0</v>
      </c>
      <c r="G16" s="678">
        <f>F16-'12. CRM'!V15</f>
        <v>0</v>
      </c>
      <c r="H16" s="674">
        <f t="shared" si="0"/>
        <v>0</v>
      </c>
    </row>
    <row r="17" spans="1:8">
      <c r="A17" s="75">
        <v>10</v>
      </c>
      <c r="B17" s="57" t="s">
        <v>69</v>
      </c>
      <c r="C17" s="676">
        <f>'11. CRWA'!C17+'11. CRWA'!E17+'11. CRWA'!G17+'11. CRWA'!I17+'11. CRWA'!K17+'11. CRWA'!M17+'11. CRWA'!O17+'11. CRWA'!Q17</f>
        <v>1381748.676</v>
      </c>
      <c r="D17" s="677"/>
      <c r="E17" s="676">
        <f>'11. CRWA'!D17+'11. CRWA'!F17+'11. CRWA'!H17+'11. CRWA'!J17+'11. CRWA'!L17+'11. CRWA'!N17+'11. CRWA'!P17+'11. CRWA'!R17</f>
        <v>0</v>
      </c>
      <c r="F17" s="676">
        <f>'11. CRWA'!S17</f>
        <v>1381748.676</v>
      </c>
      <c r="G17" s="678">
        <f>F17-'12. CRM'!V16</f>
        <v>1381748.676</v>
      </c>
      <c r="H17" s="674">
        <f t="shared" si="0"/>
        <v>1</v>
      </c>
    </row>
    <row r="18" spans="1:8">
      <c r="A18" s="75">
        <v>11</v>
      </c>
      <c r="B18" s="57" t="s">
        <v>70</v>
      </c>
      <c r="C18" s="676">
        <f>'11. CRWA'!C18+'11. CRWA'!E18+'11. CRWA'!G18+'11. CRWA'!I18+'11. CRWA'!K18+'11. CRWA'!M18+'11. CRWA'!O18+'11. CRWA'!Q18</f>
        <v>763.3149999999996</v>
      </c>
      <c r="D18" s="677"/>
      <c r="E18" s="676">
        <f>'11. CRWA'!D18+'11. CRWA'!F18+'11. CRWA'!H18+'11. CRWA'!J18+'11. CRWA'!L18+'11. CRWA'!N18+'11. CRWA'!P18+'11. CRWA'!R18</f>
        <v>0</v>
      </c>
      <c r="F18" s="676">
        <f>'11. CRWA'!S18</f>
        <v>1144.9724999999994</v>
      </c>
      <c r="G18" s="678">
        <f>F18-'12. CRM'!V17</f>
        <v>1144.9724999999994</v>
      </c>
      <c r="H18" s="674">
        <f t="shared" si="0"/>
        <v>1.5</v>
      </c>
    </row>
    <row r="19" spans="1:8">
      <c r="A19" s="75">
        <v>12</v>
      </c>
      <c r="B19" s="57" t="s">
        <v>71</v>
      </c>
      <c r="C19" s="676">
        <f>'11. CRWA'!C19+'11. CRWA'!E19+'11. CRWA'!G19+'11. CRWA'!I19+'11. CRWA'!K19+'11. CRWA'!M19+'11. CRWA'!O19+'11. CRWA'!Q19</f>
        <v>0</v>
      </c>
      <c r="D19" s="677"/>
      <c r="E19" s="676">
        <f>'11. CRWA'!D19+'11. CRWA'!F19+'11. CRWA'!H19+'11. CRWA'!J19+'11. CRWA'!L19+'11. CRWA'!N19+'11. CRWA'!P19+'11. CRWA'!R19</f>
        <v>0</v>
      </c>
      <c r="F19" s="676">
        <f>'11. CRWA'!S19</f>
        <v>0</v>
      </c>
      <c r="G19" s="678">
        <f>F19-'12. CRM'!V18</f>
        <v>0</v>
      </c>
      <c r="H19" s="674">
        <f t="shared" si="0"/>
        <v>0</v>
      </c>
    </row>
    <row r="20" spans="1:8">
      <c r="A20" s="75">
        <v>13</v>
      </c>
      <c r="B20" s="57" t="s">
        <v>72</v>
      </c>
      <c r="C20" s="676">
        <f>'11. CRWA'!C20+'11. CRWA'!E20+'11. CRWA'!G20+'11. CRWA'!I20+'11. CRWA'!K20+'11. CRWA'!M20+'11. CRWA'!O20+'11. CRWA'!Q20</f>
        <v>0</v>
      </c>
      <c r="D20" s="677"/>
      <c r="E20" s="676">
        <f>'11. CRWA'!D20+'11. CRWA'!F20+'11. CRWA'!H20+'11. CRWA'!J20+'11. CRWA'!L20+'11. CRWA'!N20+'11. CRWA'!P20+'11. CRWA'!R20</f>
        <v>0</v>
      </c>
      <c r="F20" s="676">
        <f>'11. CRWA'!S20</f>
        <v>0</v>
      </c>
      <c r="G20" s="678">
        <f>F20-'12. CRM'!V19</f>
        <v>0</v>
      </c>
      <c r="H20" s="674">
        <f t="shared" si="0"/>
        <v>0</v>
      </c>
    </row>
    <row r="21" spans="1:8">
      <c r="A21" s="75">
        <v>14</v>
      </c>
      <c r="B21" s="57" t="s">
        <v>249</v>
      </c>
      <c r="C21" s="676">
        <f>'11. CRWA'!C21+'11. CRWA'!E21+'11. CRWA'!G21+'11. CRWA'!I21+'11. CRWA'!K21+'11. CRWA'!M21+'11. CRWA'!O21+'11. CRWA'!Q21</f>
        <v>16831943.883164935</v>
      </c>
      <c r="D21" s="677"/>
      <c r="E21" s="676">
        <f>'11. CRWA'!D21+'11. CRWA'!F21+'11. CRWA'!H21+'11. CRWA'!J21+'11. CRWA'!L21+'11. CRWA'!N21+'11. CRWA'!P21+'11. CRWA'!R21</f>
        <v>0</v>
      </c>
      <c r="F21" s="676">
        <f>'11. CRWA'!S21</f>
        <v>12145818.013164936</v>
      </c>
      <c r="G21" s="678">
        <f>F21-'12. CRM'!V20</f>
        <v>11915234.097164936</v>
      </c>
      <c r="H21" s="674">
        <f t="shared" si="0"/>
        <v>0.70789411964962523</v>
      </c>
    </row>
    <row r="22" spans="1:8" ht="13.5" thickBot="1">
      <c r="A22" s="137"/>
      <c r="B22" s="144" t="s">
        <v>68</v>
      </c>
      <c r="C22" s="679">
        <f>SUM(C8:C21)</f>
        <v>363350096.10781401</v>
      </c>
      <c r="D22" s="679">
        <f>SUM(D8:D21)</f>
        <v>116170219.52</v>
      </c>
      <c r="E22" s="679">
        <f>SUM(E8:E21)</f>
        <v>69955619.329999998</v>
      </c>
      <c r="F22" s="679">
        <f>SUM(F8:F21)</f>
        <v>375664951.71440077</v>
      </c>
      <c r="G22" s="679">
        <f>SUM(G8:G21)</f>
        <v>370682672.32480079</v>
      </c>
      <c r="H22" s="675">
        <f>G22/(C22+E22)</f>
        <v>0.85547607409300241</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62" bestFit="1" customWidth="1"/>
    <col min="2" max="2" width="104.140625" style="262" customWidth="1"/>
    <col min="3" max="11" width="12.7109375" style="262" customWidth="1"/>
    <col min="12" max="16384" width="9.140625" style="262"/>
  </cols>
  <sheetData>
    <row r="1" spans="1:11" ht="15">
      <c r="A1" s="531" t="s">
        <v>188</v>
      </c>
      <c r="B1" s="532" t="s">
        <v>960</v>
      </c>
    </row>
    <row r="2" spans="1:11" ht="15">
      <c r="A2" s="531" t="s">
        <v>189</v>
      </c>
      <c r="B2" s="533">
        <f>'1. key ratios'!B2</f>
        <v>44377</v>
      </c>
      <c r="C2" s="263"/>
      <c r="D2" s="263"/>
    </row>
    <row r="3" spans="1:11">
      <c r="B3" s="263"/>
      <c r="C3" s="263"/>
      <c r="D3" s="263"/>
    </row>
    <row r="4" spans="1:11" ht="13.5" thickBot="1">
      <c r="A4" s="262" t="s">
        <v>522</v>
      </c>
      <c r="B4" s="233" t="s">
        <v>521</v>
      </c>
      <c r="C4" s="263"/>
      <c r="D4" s="263"/>
    </row>
    <row r="5" spans="1:11" ht="30" customHeight="1">
      <c r="A5" s="759"/>
      <c r="B5" s="760"/>
      <c r="C5" s="757" t="s">
        <v>554</v>
      </c>
      <c r="D5" s="757"/>
      <c r="E5" s="757"/>
      <c r="F5" s="757" t="s">
        <v>555</v>
      </c>
      <c r="G5" s="757"/>
      <c r="H5" s="757"/>
      <c r="I5" s="757" t="s">
        <v>556</v>
      </c>
      <c r="J5" s="757"/>
      <c r="K5" s="758"/>
    </row>
    <row r="6" spans="1:11">
      <c r="A6" s="260"/>
      <c r="B6" s="261"/>
      <c r="C6" s="264" t="s">
        <v>27</v>
      </c>
      <c r="D6" s="264" t="s">
        <v>96</v>
      </c>
      <c r="E6" s="264" t="s">
        <v>68</v>
      </c>
      <c r="F6" s="264" t="s">
        <v>27</v>
      </c>
      <c r="G6" s="264" t="s">
        <v>96</v>
      </c>
      <c r="H6" s="264" t="s">
        <v>68</v>
      </c>
      <c r="I6" s="264" t="s">
        <v>27</v>
      </c>
      <c r="J6" s="264" t="s">
        <v>96</v>
      </c>
      <c r="K6" s="266" t="s">
        <v>68</v>
      </c>
    </row>
    <row r="7" spans="1:11">
      <c r="A7" s="267" t="s">
        <v>492</v>
      </c>
      <c r="B7" s="259"/>
      <c r="C7" s="680"/>
      <c r="D7" s="259"/>
      <c r="E7" s="268"/>
      <c r="F7" s="680"/>
      <c r="G7" s="259"/>
      <c r="H7" s="268"/>
      <c r="I7" s="259"/>
      <c r="J7" s="259"/>
      <c r="K7" s="268"/>
    </row>
    <row r="8" spans="1:11">
      <c r="A8" s="258">
        <v>1</v>
      </c>
      <c r="B8" s="242" t="s">
        <v>492</v>
      </c>
      <c r="C8" s="681"/>
      <c r="D8" s="240"/>
      <c r="E8" s="241"/>
      <c r="F8" s="682">
        <v>27958839.078232042</v>
      </c>
      <c r="G8" s="683">
        <v>69904270.51701656</v>
      </c>
      <c r="H8" s="684">
        <f>G8+F8</f>
        <v>97863109.59524861</v>
      </c>
      <c r="I8" s="685">
        <v>24654578.070607733</v>
      </c>
      <c r="J8" s="683">
        <v>40022879.580497243</v>
      </c>
      <c r="K8" s="684">
        <f>I8+J8</f>
        <v>64677457.651104972</v>
      </c>
    </row>
    <row r="9" spans="1:11">
      <c r="A9" s="267" t="s">
        <v>493</v>
      </c>
      <c r="B9" s="259"/>
      <c r="C9" s="680"/>
      <c r="D9" s="259"/>
      <c r="E9" s="268"/>
      <c r="F9" s="680"/>
      <c r="G9" s="259"/>
      <c r="H9" s="268"/>
      <c r="I9" s="259"/>
      <c r="J9" s="259"/>
      <c r="K9" s="268"/>
    </row>
    <row r="10" spans="1:11">
      <c r="A10" s="269">
        <v>2</v>
      </c>
      <c r="B10" s="243" t="s">
        <v>494</v>
      </c>
      <c r="C10" s="682">
        <v>1541277.0935690601</v>
      </c>
      <c r="D10" s="686">
        <v>23627835.536077362</v>
      </c>
      <c r="E10" s="684">
        <f>C10+D10</f>
        <v>25169112.62964642</v>
      </c>
      <c r="F10" s="682">
        <v>518450.67502955795</v>
      </c>
      <c r="G10" s="686">
        <v>5745299.0659856377</v>
      </c>
      <c r="H10" s="684">
        <f>G10+F10</f>
        <v>6263749.7410151958</v>
      </c>
      <c r="I10" s="685">
        <v>121383.49716574598</v>
      </c>
      <c r="J10" s="686">
        <v>1438983.2468674039</v>
      </c>
      <c r="K10" s="684">
        <f>I10+J10</f>
        <v>1560366.7440331499</v>
      </c>
    </row>
    <row r="11" spans="1:11">
      <c r="A11" s="269">
        <v>3</v>
      </c>
      <c r="B11" s="243" t="s">
        <v>495</v>
      </c>
      <c r="C11" s="682">
        <v>12351738.399005525</v>
      </c>
      <c r="D11" s="686">
        <v>205535623.03027642</v>
      </c>
      <c r="E11" s="684">
        <f t="shared" ref="E11:E16" si="0">C11+D11</f>
        <v>217887361.42928195</v>
      </c>
      <c r="F11" s="687">
        <v>7994936.3764268002</v>
      </c>
      <c r="G11" s="685">
        <v>49821658.028342523</v>
      </c>
      <c r="H11" s="684">
        <f t="shared" ref="H11:H16" si="1">G11+F11</f>
        <v>57816594.404769324</v>
      </c>
      <c r="I11" s="687">
        <v>6787688.0147209903</v>
      </c>
      <c r="J11" s="685">
        <v>54524025.332268015</v>
      </c>
      <c r="K11" s="684">
        <f t="shared" ref="K11:K16" si="2">I11+J11</f>
        <v>61311713.346989006</v>
      </c>
    </row>
    <row r="12" spans="1:11">
      <c r="A12" s="269">
        <v>4</v>
      </c>
      <c r="B12" s="243" t="s">
        <v>496</v>
      </c>
      <c r="C12" s="688"/>
      <c r="D12" s="244"/>
      <c r="E12" s="684">
        <f t="shared" si="0"/>
        <v>0</v>
      </c>
      <c r="F12" s="688"/>
      <c r="G12" s="244"/>
      <c r="H12" s="684">
        <f t="shared" si="1"/>
        <v>0</v>
      </c>
      <c r="I12" s="689"/>
      <c r="J12" s="244"/>
      <c r="K12" s="684">
        <f t="shared" si="2"/>
        <v>0</v>
      </c>
    </row>
    <row r="13" spans="1:11">
      <c r="A13" s="269">
        <v>5</v>
      </c>
      <c r="B13" s="243" t="s">
        <v>497</v>
      </c>
      <c r="C13" s="682">
        <v>27159792.922706082</v>
      </c>
      <c r="D13" s="686">
        <v>50500584.857234225</v>
      </c>
      <c r="E13" s="684">
        <f t="shared" si="0"/>
        <v>77660377.779940307</v>
      </c>
      <c r="F13" s="682">
        <v>2766314.1119977897</v>
      </c>
      <c r="G13" s="686">
        <v>5121650.1134323748</v>
      </c>
      <c r="H13" s="684">
        <f t="shared" si="1"/>
        <v>7887964.2254301645</v>
      </c>
      <c r="I13" s="685">
        <v>1357989.6461353041</v>
      </c>
      <c r="J13" s="686">
        <v>2525029.2428617133</v>
      </c>
      <c r="K13" s="684">
        <f t="shared" si="2"/>
        <v>3883018.8889970174</v>
      </c>
    </row>
    <row r="14" spans="1:11">
      <c r="A14" s="269">
        <v>6</v>
      </c>
      <c r="B14" s="243" t="s">
        <v>512</v>
      </c>
      <c r="C14" s="688"/>
      <c r="D14" s="244"/>
      <c r="E14" s="684">
        <f t="shared" si="0"/>
        <v>0</v>
      </c>
      <c r="F14" s="688"/>
      <c r="G14" s="244"/>
      <c r="H14" s="684">
        <f t="shared" si="1"/>
        <v>0</v>
      </c>
      <c r="I14" s="689"/>
      <c r="J14" s="244"/>
      <c r="K14" s="684">
        <f t="shared" si="2"/>
        <v>0</v>
      </c>
    </row>
    <row r="15" spans="1:11">
      <c r="A15" s="269">
        <v>7</v>
      </c>
      <c r="B15" s="243" t="s">
        <v>499</v>
      </c>
      <c r="C15" s="682">
        <v>563070.65535911557</v>
      </c>
      <c r="D15" s="686">
        <v>1333574.1179558008</v>
      </c>
      <c r="E15" s="684">
        <f t="shared" si="0"/>
        <v>1896644.7733149165</v>
      </c>
      <c r="F15" s="682">
        <v>6291.2983425414368</v>
      </c>
      <c r="G15" s="686">
        <v>0</v>
      </c>
      <c r="H15" s="684">
        <f t="shared" si="1"/>
        <v>6291.2983425414368</v>
      </c>
      <c r="I15" s="685">
        <v>6291.2983425414368</v>
      </c>
      <c r="J15" s="686">
        <v>0</v>
      </c>
      <c r="K15" s="684">
        <f t="shared" si="2"/>
        <v>6291.2983425414368</v>
      </c>
    </row>
    <row r="16" spans="1:11">
      <c r="A16" s="269">
        <v>8</v>
      </c>
      <c r="B16" s="245" t="s">
        <v>500</v>
      </c>
      <c r="C16" s="690">
        <f>SUM(C10:C15)</f>
        <v>41615879.070639789</v>
      </c>
      <c r="D16" s="691">
        <f>SUM(D10:D15)</f>
        <v>280997617.54154378</v>
      </c>
      <c r="E16" s="684">
        <f t="shared" si="0"/>
        <v>322613496.61218357</v>
      </c>
      <c r="F16" s="692">
        <f>SUM(F10:F15)</f>
        <v>11285992.46179669</v>
      </c>
      <c r="G16" s="693">
        <f>SUM(G10:G15)</f>
        <v>60688607.207760535</v>
      </c>
      <c r="H16" s="684">
        <f t="shared" si="1"/>
        <v>71974599.669557229</v>
      </c>
      <c r="I16" s="691">
        <f>SUM(I10:I15)</f>
        <v>8273352.4563645823</v>
      </c>
      <c r="J16" s="693">
        <f>SUM(J10:J15)</f>
        <v>58488037.821997128</v>
      </c>
      <c r="K16" s="684">
        <f t="shared" si="2"/>
        <v>66761390.278361708</v>
      </c>
    </row>
    <row r="17" spans="1:11">
      <c r="A17" s="267" t="s">
        <v>501</v>
      </c>
      <c r="B17" s="259"/>
      <c r="C17" s="680"/>
      <c r="D17" s="259"/>
      <c r="E17" s="268"/>
      <c r="F17" s="680"/>
      <c r="G17" s="259"/>
      <c r="H17" s="268"/>
      <c r="I17" s="259"/>
      <c r="J17" s="259"/>
      <c r="K17" s="268"/>
    </row>
    <row r="18" spans="1:11">
      <c r="A18" s="269">
        <v>9</v>
      </c>
      <c r="B18" s="243" t="s">
        <v>502</v>
      </c>
      <c r="C18" s="688"/>
      <c r="D18" s="244"/>
      <c r="E18" s="684">
        <f>C18+D18</f>
        <v>0</v>
      </c>
      <c r="F18" s="688"/>
      <c r="G18" s="244"/>
      <c r="H18" s="684">
        <f>F18+G18</f>
        <v>0</v>
      </c>
      <c r="I18" s="689"/>
      <c r="J18" s="244"/>
      <c r="K18" s="684">
        <f>I18+J18</f>
        <v>0</v>
      </c>
    </row>
    <row r="19" spans="1:11">
      <c r="A19" s="269">
        <v>10</v>
      </c>
      <c r="B19" s="243" t="s">
        <v>503</v>
      </c>
      <c r="C19" s="682">
        <v>62905887.853813276</v>
      </c>
      <c r="D19" s="686">
        <v>161663124.55759785</v>
      </c>
      <c r="E19" s="684">
        <f t="shared" ref="E19:E21" si="3">C19+D19</f>
        <v>224569012.41141111</v>
      </c>
      <c r="F19" s="682">
        <v>6755518.9502944732</v>
      </c>
      <c r="G19" s="686">
        <v>7019717.6368519301</v>
      </c>
      <c r="H19" s="684">
        <f t="shared" ref="H19:H21" si="4">F19+G19</f>
        <v>13775236.587146403</v>
      </c>
      <c r="I19" s="685">
        <v>10059779.957918782</v>
      </c>
      <c r="J19" s="686">
        <v>41964737.883592263</v>
      </c>
      <c r="K19" s="684">
        <f t="shared" ref="K19:K21" si="5">I19+J19</f>
        <v>52024517.841511041</v>
      </c>
    </row>
    <row r="20" spans="1:11">
      <c r="A20" s="269">
        <v>11</v>
      </c>
      <c r="B20" s="243" t="s">
        <v>504</v>
      </c>
      <c r="C20" s="687">
        <v>3249320.2285173554</v>
      </c>
      <c r="D20" s="694">
        <v>8896360.8276248854</v>
      </c>
      <c r="E20" s="684">
        <f t="shared" si="3"/>
        <v>12145681.056142241</v>
      </c>
      <c r="F20" s="687">
        <v>261291.74288365702</v>
      </c>
      <c r="G20" s="694">
        <v>48431.35637287447</v>
      </c>
      <c r="H20" s="684">
        <f t="shared" si="4"/>
        <v>309723.09925653151</v>
      </c>
      <c r="I20" s="695">
        <v>261291.74288365702</v>
      </c>
      <c r="J20" s="694">
        <v>48431.35637287447</v>
      </c>
      <c r="K20" s="684">
        <f t="shared" si="5"/>
        <v>309723.09925653151</v>
      </c>
    </row>
    <row r="21" spans="1:11" ht="13.5" thickBot="1">
      <c r="A21" s="196">
        <v>12</v>
      </c>
      <c r="B21" s="270" t="s">
        <v>505</v>
      </c>
      <c r="C21" s="696">
        <f>SUM(C18:C20)</f>
        <v>66155208.082330629</v>
      </c>
      <c r="D21" s="697">
        <f>SUM(D18:D20)</f>
        <v>170559485.38522273</v>
      </c>
      <c r="E21" s="698">
        <f t="shared" si="3"/>
        <v>236714693.46755338</v>
      </c>
      <c r="F21" s="699">
        <f>SUM(F18:F20)</f>
        <v>7016810.6931781303</v>
      </c>
      <c r="G21" s="700">
        <f>SUM(G18:G20)</f>
        <v>7068148.9932248043</v>
      </c>
      <c r="H21" s="698">
        <f t="shared" si="4"/>
        <v>14084959.686402936</v>
      </c>
      <c r="I21" s="697">
        <f>SUM(I18:I20)</f>
        <v>10321071.700802438</v>
      </c>
      <c r="J21" s="700">
        <f>SUM(J18:J20)</f>
        <v>42013169.239965141</v>
      </c>
      <c r="K21" s="698">
        <f t="shared" si="5"/>
        <v>52334240.940767579</v>
      </c>
    </row>
    <row r="22" spans="1:11" ht="38.25" customHeight="1" thickBot="1">
      <c r="A22" s="256"/>
      <c r="B22" s="257"/>
      <c r="C22" s="257"/>
      <c r="D22" s="257"/>
      <c r="E22" s="257"/>
      <c r="F22" s="756" t="s">
        <v>506</v>
      </c>
      <c r="G22" s="757"/>
      <c r="H22" s="757"/>
      <c r="I22" s="756" t="s">
        <v>507</v>
      </c>
      <c r="J22" s="757"/>
      <c r="K22" s="758"/>
    </row>
    <row r="23" spans="1:11">
      <c r="A23" s="249">
        <v>13</v>
      </c>
      <c r="B23" s="246" t="s">
        <v>492</v>
      </c>
      <c r="C23" s="255"/>
      <c r="D23" s="255"/>
      <c r="E23" s="255"/>
      <c r="F23" s="701">
        <f>F8</f>
        <v>27958839.078232042</v>
      </c>
      <c r="G23" s="702">
        <f>G8</f>
        <v>69904270.51701656</v>
      </c>
      <c r="H23" s="703">
        <f>F23+G23</f>
        <v>97863109.59524861</v>
      </c>
      <c r="I23" s="701">
        <f>I8</f>
        <v>24654578.070607733</v>
      </c>
      <c r="J23" s="702">
        <f>J8</f>
        <v>40022879.580497243</v>
      </c>
      <c r="K23" s="703">
        <f>I23+J23</f>
        <v>64677457.651104972</v>
      </c>
    </row>
    <row r="24" spans="1:11" ht="13.5" thickBot="1">
      <c r="A24" s="250">
        <v>14</v>
      </c>
      <c r="B24" s="247" t="s">
        <v>508</v>
      </c>
      <c r="C24" s="271"/>
      <c r="D24" s="253"/>
      <c r="E24" s="254"/>
      <c r="F24" s="704">
        <f>F16-F21</f>
        <v>4269181.7686185595</v>
      </c>
      <c r="G24" s="705">
        <f>G16-G21</f>
        <v>53620458.214535728</v>
      </c>
      <c r="H24" s="706">
        <f>F24+G24</f>
        <v>57889639.983154289</v>
      </c>
      <c r="I24" s="707">
        <f>I16-MIN(I16*75%,I21)</f>
        <v>2068338.1140911458</v>
      </c>
      <c r="J24" s="708">
        <f>J16-MIN(J16*75%,J21)</f>
        <v>16474868.582031988</v>
      </c>
      <c r="K24" s="706">
        <f t="shared" ref="K24" si="6">I24+J24</f>
        <v>18543206.696123134</v>
      </c>
    </row>
    <row r="25" spans="1:11" ht="13.5" thickBot="1">
      <c r="A25" s="251">
        <v>15</v>
      </c>
      <c r="B25" s="248" t="s">
        <v>509</v>
      </c>
      <c r="C25" s="252"/>
      <c r="D25" s="252"/>
      <c r="E25" s="252"/>
      <c r="F25" s="709">
        <f t="shared" ref="F25:G25" si="7">F23/F24</f>
        <v>6.5489924284200915</v>
      </c>
      <c r="G25" s="710">
        <f t="shared" si="7"/>
        <v>1.3036865563014999</v>
      </c>
      <c r="H25" s="711">
        <f>H23/H24</f>
        <v>1.690511629088149</v>
      </c>
      <c r="I25" s="709">
        <f t="shared" ref="I25:J25" si="8">I23/I24</f>
        <v>11.919994077680704</v>
      </c>
      <c r="J25" s="710">
        <f t="shared" si="8"/>
        <v>2.4293292162674645</v>
      </c>
      <c r="K25" s="711">
        <f>K23/K24</f>
        <v>3.4879327352063232</v>
      </c>
    </row>
    <row r="28" spans="1:11" ht="38.25">
      <c r="B28" s="24" t="s">
        <v>553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8" activePane="bottomRight" state="frozen"/>
      <selection pane="topRight" activeCell="B1" sqref="B1"/>
      <selection pane="bottomLeft" activeCell="A5" sqref="A5"/>
      <selection pane="bottomRight" activeCell="B4" sqref="B4"/>
    </sheetView>
  </sheetViews>
  <sheetFormatPr defaultColWidth="9.140625" defaultRowHeight="15"/>
  <cols>
    <col min="1" max="1" width="10.5703125" style="52" bestFit="1" customWidth="1"/>
    <col min="2" max="2" width="95" style="52" customWidth="1"/>
    <col min="3" max="3" width="12.5703125" style="52" bestFit="1" customWidth="1"/>
    <col min="4" max="4" width="10" style="52" bestFit="1" customWidth="1"/>
    <col min="5" max="5" width="18.28515625" style="52" bestFit="1" customWidth="1"/>
    <col min="6" max="13" width="10.7109375" style="52" customWidth="1"/>
    <col min="14" max="14" width="31" style="52" bestFit="1" customWidth="1"/>
    <col min="15" max="16384" width="9.140625" style="13"/>
  </cols>
  <sheetData>
    <row r="1" spans="1:14">
      <c r="A1" s="531" t="s">
        <v>188</v>
      </c>
      <c r="B1" s="532" t="s">
        <v>960</v>
      </c>
    </row>
    <row r="2" spans="1:14" ht="14.25" customHeight="1">
      <c r="A2" s="531" t="s">
        <v>189</v>
      </c>
      <c r="B2" s="533">
        <f>'1. key ratios'!B2</f>
        <v>44377</v>
      </c>
    </row>
    <row r="3" spans="1:14" ht="14.25" customHeight="1"/>
    <row r="4" spans="1:14" ht="15.75" thickBot="1">
      <c r="A4" s="2" t="s">
        <v>418</v>
      </c>
      <c r="B4" s="77" t="s">
        <v>77</v>
      </c>
    </row>
    <row r="5" spans="1:14" s="26" customFormat="1" ht="12.75">
      <c r="A5" s="153"/>
      <c r="B5" s="154"/>
      <c r="C5" s="155" t="s">
        <v>0</v>
      </c>
      <c r="D5" s="155" t="s">
        <v>1</v>
      </c>
      <c r="E5" s="155" t="s">
        <v>2</v>
      </c>
      <c r="F5" s="155" t="s">
        <v>3</v>
      </c>
      <c r="G5" s="155" t="s">
        <v>4</v>
      </c>
      <c r="H5" s="155" t="s">
        <v>5</v>
      </c>
      <c r="I5" s="155" t="s">
        <v>238</v>
      </c>
      <c r="J5" s="155" t="s">
        <v>239</v>
      </c>
      <c r="K5" s="155" t="s">
        <v>240</v>
      </c>
      <c r="L5" s="155" t="s">
        <v>241</v>
      </c>
      <c r="M5" s="155" t="s">
        <v>242</v>
      </c>
      <c r="N5" s="156" t="s">
        <v>243</v>
      </c>
    </row>
    <row r="6" spans="1:14" ht="45">
      <c r="A6" s="145"/>
      <c r="B6" s="89"/>
      <c r="C6" s="90" t="s">
        <v>87</v>
      </c>
      <c r="D6" s="91" t="s">
        <v>76</v>
      </c>
      <c r="E6" s="92" t="s">
        <v>86</v>
      </c>
      <c r="F6" s="93">
        <v>0</v>
      </c>
      <c r="G6" s="93">
        <v>0.2</v>
      </c>
      <c r="H6" s="93">
        <v>0.35</v>
      </c>
      <c r="I6" s="93">
        <v>0.5</v>
      </c>
      <c r="J6" s="93">
        <v>0.75</v>
      </c>
      <c r="K6" s="93">
        <v>1</v>
      </c>
      <c r="L6" s="93">
        <v>1.5</v>
      </c>
      <c r="M6" s="93">
        <v>2.5</v>
      </c>
      <c r="N6" s="146" t="s">
        <v>77</v>
      </c>
    </row>
    <row r="7" spans="1:14">
      <c r="A7" s="147">
        <v>1</v>
      </c>
      <c r="B7" s="94" t="s">
        <v>78</v>
      </c>
      <c r="C7" s="222">
        <f>SUM(C8:C13)</f>
        <v>0</v>
      </c>
      <c r="D7" s="89"/>
      <c r="E7" s="225">
        <f t="shared" ref="E7:M7" si="0">SUM(E8:E13)</f>
        <v>0</v>
      </c>
      <c r="F7" s="222">
        <f>SUM(F8:F13)</f>
        <v>0</v>
      </c>
      <c r="G7" s="222">
        <f t="shared" si="0"/>
        <v>0</v>
      </c>
      <c r="H7" s="222">
        <f t="shared" si="0"/>
        <v>0</v>
      </c>
      <c r="I7" s="222">
        <f t="shared" si="0"/>
        <v>0</v>
      </c>
      <c r="J7" s="222">
        <f t="shared" si="0"/>
        <v>0</v>
      </c>
      <c r="K7" s="222">
        <f t="shared" si="0"/>
        <v>0</v>
      </c>
      <c r="L7" s="222">
        <f t="shared" si="0"/>
        <v>0</v>
      </c>
      <c r="M7" s="222">
        <f t="shared" si="0"/>
        <v>0</v>
      </c>
      <c r="N7" s="148">
        <f>SUM(N8:N13)</f>
        <v>0</v>
      </c>
    </row>
    <row r="8" spans="1:14">
      <c r="A8" s="147">
        <v>1.1000000000000001</v>
      </c>
      <c r="B8" s="95" t="s">
        <v>79</v>
      </c>
      <c r="C8" s="223">
        <v>0</v>
      </c>
      <c r="D8" s="96">
        <v>0.02</v>
      </c>
      <c r="E8" s="225">
        <f>C8*D8</f>
        <v>0</v>
      </c>
      <c r="F8" s="223"/>
      <c r="G8" s="223"/>
      <c r="H8" s="223"/>
      <c r="I8" s="223"/>
      <c r="J8" s="223"/>
      <c r="K8" s="223"/>
      <c r="L8" s="223"/>
      <c r="M8" s="223"/>
      <c r="N8" s="148">
        <f>SUMPRODUCT($F$6:$M$6,F8:M8)</f>
        <v>0</v>
      </c>
    </row>
    <row r="9" spans="1:14">
      <c r="A9" s="147">
        <v>1.2</v>
      </c>
      <c r="B9" s="95" t="s">
        <v>80</v>
      </c>
      <c r="C9" s="223">
        <v>0</v>
      </c>
      <c r="D9" s="96">
        <v>0.05</v>
      </c>
      <c r="E9" s="225">
        <f>C9*D9</f>
        <v>0</v>
      </c>
      <c r="F9" s="223"/>
      <c r="G9" s="223"/>
      <c r="H9" s="223"/>
      <c r="I9" s="223"/>
      <c r="J9" s="223"/>
      <c r="K9" s="223"/>
      <c r="L9" s="223"/>
      <c r="M9" s="223"/>
      <c r="N9" s="148">
        <f t="shared" ref="N9:N12" si="1">SUMPRODUCT($F$6:$M$6,F9:M9)</f>
        <v>0</v>
      </c>
    </row>
    <row r="10" spans="1:14">
      <c r="A10" s="147">
        <v>1.3</v>
      </c>
      <c r="B10" s="95" t="s">
        <v>81</v>
      </c>
      <c r="C10" s="223">
        <v>0</v>
      </c>
      <c r="D10" s="96">
        <v>0.08</v>
      </c>
      <c r="E10" s="225">
        <f>C10*D10</f>
        <v>0</v>
      </c>
      <c r="F10" s="223"/>
      <c r="G10" s="223"/>
      <c r="H10" s="223"/>
      <c r="I10" s="223"/>
      <c r="J10" s="223"/>
      <c r="K10" s="223"/>
      <c r="L10" s="223"/>
      <c r="M10" s="223"/>
      <c r="N10" s="148">
        <f>SUMPRODUCT($F$6:$M$6,F10:M10)</f>
        <v>0</v>
      </c>
    </row>
    <row r="11" spans="1:14">
      <c r="A11" s="147">
        <v>1.4</v>
      </c>
      <c r="B11" s="95" t="s">
        <v>82</v>
      </c>
      <c r="C11" s="223">
        <v>0</v>
      </c>
      <c r="D11" s="96">
        <v>0.11</v>
      </c>
      <c r="E11" s="225">
        <f>C11*D11</f>
        <v>0</v>
      </c>
      <c r="F11" s="223"/>
      <c r="G11" s="223"/>
      <c r="H11" s="223"/>
      <c r="I11" s="223"/>
      <c r="J11" s="223"/>
      <c r="K11" s="223"/>
      <c r="L11" s="223"/>
      <c r="M11" s="223"/>
      <c r="N11" s="148">
        <f t="shared" si="1"/>
        <v>0</v>
      </c>
    </row>
    <row r="12" spans="1:14">
      <c r="A12" s="147">
        <v>1.5</v>
      </c>
      <c r="B12" s="95" t="s">
        <v>83</v>
      </c>
      <c r="C12" s="223">
        <v>0</v>
      </c>
      <c r="D12" s="96">
        <v>0.14000000000000001</v>
      </c>
      <c r="E12" s="225">
        <f>C12*D12</f>
        <v>0</v>
      </c>
      <c r="F12" s="223"/>
      <c r="G12" s="223"/>
      <c r="H12" s="223"/>
      <c r="I12" s="223"/>
      <c r="J12" s="223"/>
      <c r="K12" s="223"/>
      <c r="L12" s="223"/>
      <c r="M12" s="223"/>
      <c r="N12" s="148">
        <f t="shared" si="1"/>
        <v>0</v>
      </c>
    </row>
    <row r="13" spans="1:14">
      <c r="A13" s="147">
        <v>1.6</v>
      </c>
      <c r="B13" s="97" t="s">
        <v>84</v>
      </c>
      <c r="C13" s="223">
        <v>0</v>
      </c>
      <c r="D13" s="98"/>
      <c r="E13" s="223"/>
      <c r="F13" s="223"/>
      <c r="G13" s="223"/>
      <c r="H13" s="223"/>
      <c r="I13" s="223"/>
      <c r="J13" s="223"/>
      <c r="K13" s="223"/>
      <c r="L13" s="223"/>
      <c r="M13" s="223"/>
      <c r="N13" s="148">
        <f>SUMPRODUCT($F$6:$M$6,F13:M13)</f>
        <v>0</v>
      </c>
    </row>
    <row r="14" spans="1:14">
      <c r="A14" s="147">
        <v>2</v>
      </c>
      <c r="B14" s="99" t="s">
        <v>85</v>
      </c>
      <c r="C14" s="222">
        <f>SUM(C15:C20)</f>
        <v>0</v>
      </c>
      <c r="D14" s="89"/>
      <c r="E14" s="225">
        <f t="shared" ref="E14:M14" si="2">SUM(E15:E20)</f>
        <v>0</v>
      </c>
      <c r="F14" s="223">
        <f t="shared" si="2"/>
        <v>0</v>
      </c>
      <c r="G14" s="223">
        <f t="shared" si="2"/>
        <v>0</v>
      </c>
      <c r="H14" s="223">
        <f t="shared" si="2"/>
        <v>0</v>
      </c>
      <c r="I14" s="223">
        <f t="shared" si="2"/>
        <v>0</v>
      </c>
      <c r="J14" s="223">
        <f t="shared" si="2"/>
        <v>0</v>
      </c>
      <c r="K14" s="223">
        <f t="shared" si="2"/>
        <v>0</v>
      </c>
      <c r="L14" s="223">
        <f t="shared" si="2"/>
        <v>0</v>
      </c>
      <c r="M14" s="223">
        <f t="shared" si="2"/>
        <v>0</v>
      </c>
      <c r="N14" s="148">
        <f>SUM(N15:N20)</f>
        <v>0</v>
      </c>
    </row>
    <row r="15" spans="1:14">
      <c r="A15" s="147">
        <v>2.1</v>
      </c>
      <c r="B15" s="97" t="s">
        <v>79</v>
      </c>
      <c r="C15" s="223"/>
      <c r="D15" s="96">
        <v>5.0000000000000001E-3</v>
      </c>
      <c r="E15" s="225">
        <f>C15*D15</f>
        <v>0</v>
      </c>
      <c r="F15" s="223"/>
      <c r="G15" s="223"/>
      <c r="H15" s="223"/>
      <c r="I15" s="223"/>
      <c r="J15" s="223"/>
      <c r="K15" s="223"/>
      <c r="L15" s="223"/>
      <c r="M15" s="223"/>
      <c r="N15" s="148">
        <f>SUMPRODUCT($F$6:$M$6,F15:M15)</f>
        <v>0</v>
      </c>
    </row>
    <row r="16" spans="1:14">
      <c r="A16" s="147">
        <v>2.2000000000000002</v>
      </c>
      <c r="B16" s="97" t="s">
        <v>80</v>
      </c>
      <c r="C16" s="223"/>
      <c r="D16" s="96">
        <v>0.01</v>
      </c>
      <c r="E16" s="225">
        <f>C16*D16</f>
        <v>0</v>
      </c>
      <c r="F16" s="223"/>
      <c r="G16" s="223"/>
      <c r="H16" s="223"/>
      <c r="I16" s="223"/>
      <c r="J16" s="223"/>
      <c r="K16" s="223"/>
      <c r="L16" s="223"/>
      <c r="M16" s="223"/>
      <c r="N16" s="148">
        <f t="shared" ref="N16:N20" si="3">SUMPRODUCT($F$6:$M$6,F16:M16)</f>
        <v>0</v>
      </c>
    </row>
    <row r="17" spans="1:14">
      <c r="A17" s="147">
        <v>2.2999999999999998</v>
      </c>
      <c r="B17" s="97" t="s">
        <v>81</v>
      </c>
      <c r="C17" s="223"/>
      <c r="D17" s="96">
        <v>0.02</v>
      </c>
      <c r="E17" s="225">
        <f>C17*D17</f>
        <v>0</v>
      </c>
      <c r="F17" s="223"/>
      <c r="G17" s="223"/>
      <c r="H17" s="223"/>
      <c r="I17" s="223"/>
      <c r="J17" s="223"/>
      <c r="K17" s="223"/>
      <c r="L17" s="223"/>
      <c r="M17" s="223"/>
      <c r="N17" s="148">
        <f t="shared" si="3"/>
        <v>0</v>
      </c>
    </row>
    <row r="18" spans="1:14">
      <c r="A18" s="147">
        <v>2.4</v>
      </c>
      <c r="B18" s="97" t="s">
        <v>82</v>
      </c>
      <c r="C18" s="223"/>
      <c r="D18" s="96">
        <v>0.03</v>
      </c>
      <c r="E18" s="225">
        <f>C18*D18</f>
        <v>0</v>
      </c>
      <c r="F18" s="223"/>
      <c r="G18" s="223"/>
      <c r="H18" s="223"/>
      <c r="I18" s="223"/>
      <c r="J18" s="223"/>
      <c r="K18" s="223"/>
      <c r="L18" s="223"/>
      <c r="M18" s="223"/>
      <c r="N18" s="148">
        <f t="shared" si="3"/>
        <v>0</v>
      </c>
    </row>
    <row r="19" spans="1:14">
      <c r="A19" s="147">
        <v>2.5</v>
      </c>
      <c r="B19" s="97" t="s">
        <v>83</v>
      </c>
      <c r="C19" s="223"/>
      <c r="D19" s="96">
        <v>0.04</v>
      </c>
      <c r="E19" s="225">
        <f>C19*D19</f>
        <v>0</v>
      </c>
      <c r="F19" s="223"/>
      <c r="G19" s="223"/>
      <c r="H19" s="223"/>
      <c r="I19" s="223"/>
      <c r="J19" s="223"/>
      <c r="K19" s="223"/>
      <c r="L19" s="223"/>
      <c r="M19" s="223"/>
      <c r="N19" s="148">
        <f t="shared" si="3"/>
        <v>0</v>
      </c>
    </row>
    <row r="20" spans="1:14">
      <c r="A20" s="147">
        <v>2.6</v>
      </c>
      <c r="B20" s="97" t="s">
        <v>84</v>
      </c>
      <c r="C20" s="223"/>
      <c r="D20" s="98"/>
      <c r="E20" s="226"/>
      <c r="F20" s="223"/>
      <c r="G20" s="223"/>
      <c r="H20" s="223"/>
      <c r="I20" s="223"/>
      <c r="J20" s="223"/>
      <c r="K20" s="223"/>
      <c r="L20" s="223"/>
      <c r="M20" s="223"/>
      <c r="N20" s="148">
        <f t="shared" si="3"/>
        <v>0</v>
      </c>
    </row>
    <row r="21" spans="1:14" ht="15.75" thickBot="1">
      <c r="A21" s="149">
        <v>3</v>
      </c>
      <c r="B21" s="150" t="s">
        <v>68</v>
      </c>
      <c r="C21" s="224">
        <f>C14+C7</f>
        <v>0</v>
      </c>
      <c r="D21" s="151"/>
      <c r="E21" s="227">
        <f>E14+E7</f>
        <v>0</v>
      </c>
      <c r="F21" s="228">
        <f>F7+F14</f>
        <v>0</v>
      </c>
      <c r="G21" s="228">
        <f t="shared" ref="G21:L21" si="4">G7+G14</f>
        <v>0</v>
      </c>
      <c r="H21" s="228">
        <f t="shared" si="4"/>
        <v>0</v>
      </c>
      <c r="I21" s="228">
        <f t="shared" si="4"/>
        <v>0</v>
      </c>
      <c r="J21" s="228">
        <f t="shared" si="4"/>
        <v>0</v>
      </c>
      <c r="K21" s="228">
        <f t="shared" si="4"/>
        <v>0</v>
      </c>
      <c r="L21" s="228">
        <f t="shared" si="4"/>
        <v>0</v>
      </c>
      <c r="M21" s="228">
        <f>M7+M14</f>
        <v>0</v>
      </c>
      <c r="N21" s="152">
        <f>N14+N7</f>
        <v>0</v>
      </c>
    </row>
    <row r="22" spans="1:14">
      <c r="E22" s="229"/>
      <c r="F22" s="229"/>
      <c r="G22" s="229"/>
      <c r="H22" s="229"/>
      <c r="I22" s="229"/>
      <c r="J22" s="229"/>
      <c r="K22" s="229"/>
      <c r="L22" s="229"/>
      <c r="M22" s="229"/>
    </row>
  </sheetData>
  <conditionalFormatting sqref="E8:E12">
    <cfRule type="expression" dxfId="38" priority="2">
      <formula>(C8*D8)&lt;&gt;SUM(#REF!)</formula>
    </cfRule>
  </conditionalFormatting>
  <conditionalFormatting sqref="E20">
    <cfRule type="expression" dxfId="37" priority="3">
      <formula>$E$88&lt;&gt;SUM(#REF!)</formula>
    </cfRule>
  </conditionalFormatting>
  <conditionalFormatting sqref="E15:E19">
    <cfRule type="expression" dxfId="3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showGridLines="0" workbookViewId="0">
      <selection activeCell="B4" sqref="B4"/>
    </sheetView>
  </sheetViews>
  <sheetFormatPr defaultRowHeight="15"/>
  <cols>
    <col min="1" max="1" width="11.42578125" customWidth="1"/>
    <col min="2" max="2" width="76.85546875" style="4" customWidth="1"/>
    <col min="3" max="3" width="22.85546875" customWidth="1"/>
  </cols>
  <sheetData>
    <row r="1" spans="1:3" ht="15.75">
      <c r="A1" s="531" t="s">
        <v>188</v>
      </c>
      <c r="B1" s="532" t="s">
        <v>960</v>
      </c>
    </row>
    <row r="2" spans="1:3" ht="15.75">
      <c r="A2" s="531" t="s">
        <v>189</v>
      </c>
      <c r="B2" s="533">
        <f>'1. key ratios'!B2</f>
        <v>44377</v>
      </c>
    </row>
    <row r="3" spans="1:3">
      <c r="A3" s="262"/>
      <c r="B3"/>
    </row>
    <row r="4" spans="1:3">
      <c r="A4" s="262" t="s">
        <v>598</v>
      </c>
      <c r="B4" t="s">
        <v>557</v>
      </c>
    </row>
    <row r="5" spans="1:3">
      <c r="A5" s="314"/>
      <c r="B5" s="314" t="s">
        <v>558</v>
      </c>
      <c r="C5" s="326"/>
    </row>
    <row r="6" spans="1:3">
      <c r="A6" s="315">
        <v>1</v>
      </c>
      <c r="B6" s="327" t="s">
        <v>610</v>
      </c>
      <c r="C6" s="712">
        <v>360212275.85781401</v>
      </c>
    </row>
    <row r="7" spans="1:3">
      <c r="A7" s="315">
        <v>2</v>
      </c>
      <c r="B7" s="327" t="s">
        <v>559</v>
      </c>
      <c r="C7" s="712">
        <f>-('9. Capital'!C15)</f>
        <v>-264536.74999999988</v>
      </c>
    </row>
    <row r="8" spans="1:3">
      <c r="A8" s="316">
        <v>3</v>
      </c>
      <c r="B8" s="329" t="s">
        <v>560</v>
      </c>
      <c r="C8" s="330">
        <f>C6+C7</f>
        <v>359947739.10781401</v>
      </c>
    </row>
    <row r="9" spans="1:3">
      <c r="A9" s="317"/>
      <c r="B9" s="317" t="s">
        <v>561</v>
      </c>
      <c r="C9" s="331"/>
    </row>
    <row r="10" spans="1:3">
      <c r="A10" s="318">
        <v>4</v>
      </c>
      <c r="B10" s="332" t="s">
        <v>562</v>
      </c>
      <c r="C10" s="328"/>
    </row>
    <row r="11" spans="1:3">
      <c r="A11" s="318">
        <v>5</v>
      </c>
      <c r="B11" s="333" t="s">
        <v>563</v>
      </c>
      <c r="C11" s="328"/>
    </row>
    <row r="12" spans="1:3">
      <c r="A12" s="318" t="s">
        <v>564</v>
      </c>
      <c r="B12" s="327" t="s">
        <v>565</v>
      </c>
      <c r="C12" s="330">
        <f>'15. CCR'!E21</f>
        <v>0</v>
      </c>
    </row>
    <row r="13" spans="1:3">
      <c r="A13" s="319">
        <v>6</v>
      </c>
      <c r="B13" s="334" t="s">
        <v>566</v>
      </c>
      <c r="C13" s="328"/>
    </row>
    <row r="14" spans="1:3">
      <c r="A14" s="319">
        <v>7</v>
      </c>
      <c r="B14" s="335" t="s">
        <v>567</v>
      </c>
      <c r="C14" s="328"/>
    </row>
    <row r="15" spans="1:3">
      <c r="A15" s="320">
        <v>8</v>
      </c>
      <c r="B15" s="327" t="s">
        <v>568</v>
      </c>
      <c r="C15" s="328"/>
    </row>
    <row r="16" spans="1:3" ht="24">
      <c r="A16" s="319">
        <v>9</v>
      </c>
      <c r="B16" s="335" t="s">
        <v>569</v>
      </c>
      <c r="C16" s="328"/>
    </row>
    <row r="17" spans="1:3">
      <c r="A17" s="319">
        <v>10</v>
      </c>
      <c r="B17" s="335" t="s">
        <v>570</v>
      </c>
      <c r="C17" s="328"/>
    </row>
    <row r="18" spans="1:3">
      <c r="A18" s="321">
        <v>11</v>
      </c>
      <c r="B18" s="336" t="s">
        <v>571</v>
      </c>
      <c r="C18" s="330">
        <f>SUM(C10:C17)</f>
        <v>0</v>
      </c>
    </row>
    <row r="19" spans="1:3">
      <c r="A19" s="317"/>
      <c r="B19" s="317" t="s">
        <v>572</v>
      </c>
      <c r="C19" s="337"/>
    </row>
    <row r="20" spans="1:3">
      <c r="A20" s="319">
        <v>12</v>
      </c>
      <c r="B20" s="332" t="s">
        <v>573</v>
      </c>
      <c r="C20" s="328"/>
    </row>
    <row r="21" spans="1:3">
      <c r="A21" s="319">
        <v>13</v>
      </c>
      <c r="B21" s="332" t="s">
        <v>574</v>
      </c>
      <c r="C21" s="328"/>
    </row>
    <row r="22" spans="1:3">
      <c r="A22" s="319">
        <v>14</v>
      </c>
      <c r="B22" s="332" t="s">
        <v>575</v>
      </c>
      <c r="C22" s="328"/>
    </row>
    <row r="23" spans="1:3" ht="24">
      <c r="A23" s="319" t="s">
        <v>576</v>
      </c>
      <c r="B23" s="332" t="s">
        <v>577</v>
      </c>
      <c r="C23" s="328"/>
    </row>
    <row r="24" spans="1:3">
      <c r="A24" s="319">
        <v>15</v>
      </c>
      <c r="B24" s="332" t="s">
        <v>578</v>
      </c>
      <c r="C24" s="328"/>
    </row>
    <row r="25" spans="1:3">
      <c r="A25" s="319" t="s">
        <v>579</v>
      </c>
      <c r="B25" s="327" t="s">
        <v>580</v>
      </c>
      <c r="C25" s="328"/>
    </row>
    <row r="26" spans="1:3">
      <c r="A26" s="321">
        <v>16</v>
      </c>
      <c r="B26" s="336" t="s">
        <v>581</v>
      </c>
      <c r="C26" s="330">
        <f>SUM(C20:C25)</f>
        <v>0</v>
      </c>
    </row>
    <row r="27" spans="1:3">
      <c r="A27" s="317"/>
      <c r="B27" s="317" t="s">
        <v>582</v>
      </c>
      <c r="C27" s="331"/>
    </row>
    <row r="28" spans="1:3">
      <c r="A28" s="318">
        <v>17</v>
      </c>
      <c r="B28" s="327" t="s">
        <v>583</v>
      </c>
      <c r="C28" s="712">
        <f>'8. LI2'!C6</f>
        <v>116170219.52</v>
      </c>
    </row>
    <row r="29" spans="1:3">
      <c r="A29" s="318">
        <v>18</v>
      </c>
      <c r="B29" s="327" t="s">
        <v>584</v>
      </c>
      <c r="C29" s="712">
        <f>'8. LI2'!C10</f>
        <v>-46214600.189999998</v>
      </c>
    </row>
    <row r="30" spans="1:3">
      <c r="A30" s="321">
        <v>19</v>
      </c>
      <c r="B30" s="336" t="s">
        <v>585</v>
      </c>
      <c r="C30" s="330">
        <f>C28+C29</f>
        <v>69955619.329999998</v>
      </c>
    </row>
    <row r="31" spans="1:3">
      <c r="A31" s="322"/>
      <c r="B31" s="317" t="s">
        <v>586</v>
      </c>
      <c r="C31" s="331"/>
    </row>
    <row r="32" spans="1:3">
      <c r="A32" s="318" t="s">
        <v>587</v>
      </c>
      <c r="B32" s="332" t="s">
        <v>588</v>
      </c>
      <c r="C32" s="338"/>
    </row>
    <row r="33" spans="1:3">
      <c r="A33" s="318" t="s">
        <v>589</v>
      </c>
      <c r="B33" s="333" t="s">
        <v>590</v>
      </c>
      <c r="C33" s="338"/>
    </row>
    <row r="34" spans="1:3">
      <c r="A34" s="317"/>
      <c r="B34" s="317" t="s">
        <v>591</v>
      </c>
      <c r="C34" s="331"/>
    </row>
    <row r="35" spans="1:3">
      <c r="A35" s="321">
        <v>20</v>
      </c>
      <c r="B35" s="336" t="s">
        <v>89</v>
      </c>
      <c r="C35" s="330">
        <f>'9. Capital'!C28</f>
        <v>88465596.657445937</v>
      </c>
    </row>
    <row r="36" spans="1:3">
      <c r="A36" s="321">
        <v>21</v>
      </c>
      <c r="B36" s="336" t="s">
        <v>592</v>
      </c>
      <c r="C36" s="330">
        <f>C8+C18+C26+C30</f>
        <v>429903358.437814</v>
      </c>
    </row>
    <row r="37" spans="1:3">
      <c r="A37" s="323"/>
      <c r="B37" s="323" t="s">
        <v>557</v>
      </c>
      <c r="C37" s="331"/>
    </row>
    <row r="38" spans="1:3">
      <c r="A38" s="321">
        <v>22</v>
      </c>
      <c r="B38" s="336" t="s">
        <v>557</v>
      </c>
      <c r="C38" s="713">
        <f>IFERROR(C35/C36,0)</f>
        <v>0.2057801943648751</v>
      </c>
    </row>
    <row r="39" spans="1:3">
      <c r="A39" s="323"/>
      <c r="B39" s="323" t="s">
        <v>593</v>
      </c>
      <c r="C39" s="331"/>
    </row>
    <row r="40" spans="1:3">
      <c r="A40" s="324" t="s">
        <v>594</v>
      </c>
      <c r="B40" s="332" t="s">
        <v>595</v>
      </c>
      <c r="C40" s="338"/>
    </row>
    <row r="41" spans="1:3">
      <c r="A41" s="325" t="s">
        <v>596</v>
      </c>
      <c r="B41" s="333" t="s">
        <v>597</v>
      </c>
      <c r="C41" s="338"/>
    </row>
    <row r="43" spans="1:3">
      <c r="B43" s="348" t="s">
        <v>611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90" zoomScaleNormal="9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262" bestFit="1" customWidth="1"/>
    <col min="2" max="2" width="82.5703125" style="24" customWidth="1"/>
    <col min="3" max="7" width="17.5703125" style="262" customWidth="1"/>
  </cols>
  <sheetData>
    <row r="1" spans="1:7" ht="15.75">
      <c r="A1" s="531" t="s">
        <v>188</v>
      </c>
      <c r="B1" s="532" t="s">
        <v>960</v>
      </c>
    </row>
    <row r="2" spans="1:7" ht="15.75">
      <c r="A2" s="531" t="s">
        <v>189</v>
      </c>
      <c r="B2" s="533">
        <f>'1. key ratios'!B2</f>
        <v>44377</v>
      </c>
    </row>
    <row r="3" spans="1:7">
      <c r="B3" s="371"/>
    </row>
    <row r="4" spans="1:7" ht="15.75" thickBot="1">
      <c r="A4" s="262" t="s">
        <v>660</v>
      </c>
      <c r="B4" s="372" t="s">
        <v>625</v>
      </c>
    </row>
    <row r="5" spans="1:7">
      <c r="A5" s="373"/>
      <c r="B5" s="374"/>
      <c r="C5" s="836" t="s">
        <v>626</v>
      </c>
      <c r="D5" s="836"/>
      <c r="E5" s="836"/>
      <c r="F5" s="836"/>
      <c r="G5" s="837" t="s">
        <v>627</v>
      </c>
    </row>
    <row r="6" spans="1:7">
      <c r="A6" s="375"/>
      <c r="B6" s="376"/>
      <c r="C6" s="838" t="s">
        <v>628</v>
      </c>
      <c r="D6" s="839" t="s">
        <v>629</v>
      </c>
      <c r="E6" s="839" t="s">
        <v>630</v>
      </c>
      <c r="F6" s="839" t="s">
        <v>631</v>
      </c>
      <c r="G6" s="840"/>
    </row>
    <row r="7" spans="1:7">
      <c r="A7" s="377"/>
      <c r="B7" s="378" t="s">
        <v>632</v>
      </c>
      <c r="C7" s="379"/>
      <c r="D7" s="379"/>
      <c r="E7" s="379"/>
      <c r="F7" s="379"/>
      <c r="G7" s="380"/>
    </row>
    <row r="8" spans="1:7">
      <c r="A8" s="381">
        <v>1</v>
      </c>
      <c r="B8" s="382" t="s">
        <v>633</v>
      </c>
      <c r="C8" s="841">
        <f>SUM(C9:C10)</f>
        <v>88465596.657445937</v>
      </c>
      <c r="D8" s="841">
        <f>SUM(D9:D10)</f>
        <v>0</v>
      </c>
      <c r="E8" s="841">
        <f>SUM(E9:E10)</f>
        <v>0</v>
      </c>
      <c r="F8" s="841">
        <f>SUM(F9:F10)</f>
        <v>44262979.620000005</v>
      </c>
      <c r="G8" s="842">
        <f>SUM(G9:G10)</f>
        <v>132728576.27744594</v>
      </c>
    </row>
    <row r="9" spans="1:7">
      <c r="A9" s="381">
        <v>2</v>
      </c>
      <c r="B9" s="385" t="s">
        <v>88</v>
      </c>
      <c r="C9" s="383">
        <v>88465596.657445937</v>
      </c>
      <c r="D9" s="383"/>
      <c r="E9" s="383"/>
      <c r="F9" s="383"/>
      <c r="G9" s="384">
        <v>88465596.657445937</v>
      </c>
    </row>
    <row r="10" spans="1:7">
      <c r="A10" s="381">
        <v>3</v>
      </c>
      <c r="B10" s="385" t="s">
        <v>634</v>
      </c>
      <c r="C10" s="386"/>
      <c r="D10" s="386"/>
      <c r="E10" s="386"/>
      <c r="F10" s="383">
        <v>44262979.620000005</v>
      </c>
      <c r="G10" s="384">
        <v>44262979.620000005</v>
      </c>
    </row>
    <row r="11" spans="1:7" ht="26.25">
      <c r="A11" s="381">
        <v>4</v>
      </c>
      <c r="B11" s="382" t="s">
        <v>635</v>
      </c>
      <c r="C11" s="841">
        <f t="shared" ref="C11:F11" si="0">SUM(C12:C13)</f>
        <v>6187272.9499999974</v>
      </c>
      <c r="D11" s="841">
        <f t="shared" si="0"/>
        <v>10092480.399999999</v>
      </c>
      <c r="E11" s="841">
        <f t="shared" si="0"/>
        <v>3288167.92</v>
      </c>
      <c r="F11" s="841">
        <f t="shared" si="0"/>
        <v>0</v>
      </c>
      <c r="G11" s="842">
        <f>SUM(G12:G13)</f>
        <v>10458245.971999995</v>
      </c>
    </row>
    <row r="12" spans="1:7">
      <c r="A12" s="381">
        <v>5</v>
      </c>
      <c r="B12" s="385" t="s">
        <v>636</v>
      </c>
      <c r="C12" s="383">
        <v>1155190.2600000028</v>
      </c>
      <c r="D12" s="387">
        <v>343221.60000000003</v>
      </c>
      <c r="E12" s="383">
        <v>0</v>
      </c>
      <c r="F12" s="383">
        <v>0</v>
      </c>
      <c r="G12" s="384">
        <v>1423491.2670000049</v>
      </c>
    </row>
    <row r="13" spans="1:7">
      <c r="A13" s="381">
        <v>6</v>
      </c>
      <c r="B13" s="385" t="s">
        <v>637</v>
      </c>
      <c r="C13" s="383">
        <v>5032082.6899999948</v>
      </c>
      <c r="D13" s="387">
        <v>9749258.7999999989</v>
      </c>
      <c r="E13" s="383">
        <v>3288167.92</v>
      </c>
      <c r="F13" s="383">
        <v>0</v>
      </c>
      <c r="G13" s="384">
        <v>9034754.7049999908</v>
      </c>
    </row>
    <row r="14" spans="1:7">
      <c r="A14" s="381">
        <v>7</v>
      </c>
      <c r="B14" s="382" t="s">
        <v>638</v>
      </c>
      <c r="C14" s="841">
        <f t="shared" ref="C14:F14" si="1">SUM(C15:C16)</f>
        <v>74372757.430000037</v>
      </c>
      <c r="D14" s="841">
        <f t="shared" si="1"/>
        <v>53466927.009999998</v>
      </c>
      <c r="E14" s="841">
        <f t="shared" si="1"/>
        <v>71275704.780000001</v>
      </c>
      <c r="F14" s="841">
        <f t="shared" si="1"/>
        <v>0</v>
      </c>
      <c r="G14" s="842">
        <f>SUM(G15:G16)</f>
        <v>58171040.765000015</v>
      </c>
    </row>
    <row r="15" spans="1:7" ht="51.75">
      <c r="A15" s="381">
        <v>8</v>
      </c>
      <c r="B15" s="385" t="s">
        <v>639</v>
      </c>
      <c r="C15" s="843">
        <v>42110812.740000032</v>
      </c>
      <c r="D15" s="843">
        <v>2955564.01</v>
      </c>
      <c r="E15" s="843">
        <v>11102904.779999999</v>
      </c>
      <c r="F15" s="843">
        <v>0</v>
      </c>
      <c r="G15" s="844">
        <v>28084640.765000015</v>
      </c>
    </row>
    <row r="16" spans="1:7" ht="26.25">
      <c r="A16" s="381">
        <v>9</v>
      </c>
      <c r="B16" s="385" t="s">
        <v>640</v>
      </c>
      <c r="C16" s="843">
        <v>32261944.690000001</v>
      </c>
      <c r="D16" s="843">
        <v>50511363</v>
      </c>
      <c r="E16" s="843">
        <v>60172800</v>
      </c>
      <c r="F16" s="843">
        <v>0</v>
      </c>
      <c r="G16" s="844">
        <v>30086400</v>
      </c>
    </row>
    <row r="17" spans="1:7">
      <c r="A17" s="381">
        <v>10</v>
      </c>
      <c r="B17" s="382" t="s">
        <v>641</v>
      </c>
      <c r="C17" s="383"/>
      <c r="D17" s="387"/>
      <c r="E17" s="383"/>
      <c r="F17" s="383"/>
      <c r="G17" s="384"/>
    </row>
    <row r="18" spans="1:7">
      <c r="A18" s="381">
        <v>11</v>
      </c>
      <c r="B18" s="382" t="s">
        <v>95</v>
      </c>
      <c r="C18" s="383">
        <f>SUM(C19:C20)</f>
        <v>8626543.5019600093</v>
      </c>
      <c r="D18" s="387">
        <f t="shared" ref="D18:G18" si="2">SUM(D19:D20)</f>
        <v>0</v>
      </c>
      <c r="E18" s="383">
        <f t="shared" si="2"/>
        <v>0</v>
      </c>
      <c r="F18" s="383">
        <f t="shared" si="2"/>
        <v>0</v>
      </c>
      <c r="G18" s="384">
        <f t="shared" si="2"/>
        <v>0</v>
      </c>
    </row>
    <row r="19" spans="1:7">
      <c r="A19" s="381">
        <v>12</v>
      </c>
      <c r="B19" s="385" t="s">
        <v>642</v>
      </c>
      <c r="C19" s="386"/>
      <c r="D19" s="387"/>
      <c r="E19" s="383"/>
      <c r="F19" s="383"/>
      <c r="G19" s="384"/>
    </row>
    <row r="20" spans="1:7" ht="26.25">
      <c r="A20" s="381">
        <v>13</v>
      </c>
      <c r="B20" s="385" t="s">
        <v>643</v>
      </c>
      <c r="C20" s="383">
        <v>8626543.5019600093</v>
      </c>
      <c r="D20" s="383"/>
      <c r="E20" s="383"/>
      <c r="F20" s="383"/>
      <c r="G20" s="384"/>
    </row>
    <row r="21" spans="1:7">
      <c r="A21" s="388">
        <v>14</v>
      </c>
      <c r="B21" s="389" t="s">
        <v>644</v>
      </c>
      <c r="C21" s="386"/>
      <c r="D21" s="386"/>
      <c r="E21" s="386"/>
      <c r="F21" s="386"/>
      <c r="G21" s="390">
        <f>SUM(G8,G11,G14,G17,G18)</f>
        <v>201357863.01444596</v>
      </c>
    </row>
    <row r="22" spans="1:7">
      <c r="A22" s="391"/>
      <c r="B22" s="408" t="s">
        <v>645</v>
      </c>
      <c r="C22" s="392"/>
      <c r="D22" s="393"/>
      <c r="E22" s="392"/>
      <c r="F22" s="392"/>
      <c r="G22" s="394"/>
    </row>
    <row r="23" spans="1:7">
      <c r="A23" s="381">
        <v>15</v>
      </c>
      <c r="B23" s="382" t="s">
        <v>492</v>
      </c>
      <c r="C23" s="395">
        <v>114707220.98000965</v>
      </c>
      <c r="D23" s="396">
        <v>0</v>
      </c>
      <c r="E23" s="395">
        <v>0</v>
      </c>
      <c r="F23" s="395">
        <v>0</v>
      </c>
      <c r="G23" s="384">
        <v>3544188.9910004819</v>
      </c>
    </row>
    <row r="24" spans="1:7">
      <c r="A24" s="381">
        <v>16</v>
      </c>
      <c r="B24" s="382" t="s">
        <v>646</v>
      </c>
      <c r="C24" s="841">
        <f>SUM(C25:C27,C29,C31)</f>
        <v>2159819.672181</v>
      </c>
      <c r="D24" s="845">
        <f t="shared" ref="D24:G24" si="3">SUM(D25:D27,D29,D31)</f>
        <v>102785087.99694248</v>
      </c>
      <c r="E24" s="841">
        <f t="shared" si="3"/>
        <v>37948066.699044541</v>
      </c>
      <c r="F24" s="841">
        <f t="shared" si="3"/>
        <v>71996866.751074478</v>
      </c>
      <c r="G24" s="842">
        <f t="shared" si="3"/>
        <v>119042500.22344476</v>
      </c>
    </row>
    <row r="25" spans="1:7" ht="26.25">
      <c r="A25" s="381">
        <v>17</v>
      </c>
      <c r="B25" s="385" t="s">
        <v>647</v>
      </c>
      <c r="C25" s="383"/>
      <c r="D25" s="387"/>
      <c r="E25" s="383"/>
      <c r="F25" s="383"/>
      <c r="G25" s="384"/>
    </row>
    <row r="26" spans="1:7" ht="26.25">
      <c r="A26" s="381">
        <v>18</v>
      </c>
      <c r="B26" s="385" t="s">
        <v>648</v>
      </c>
      <c r="C26" s="383">
        <v>2159819.672181</v>
      </c>
      <c r="D26" s="387">
        <v>37048424.505164549</v>
      </c>
      <c r="E26" s="383">
        <v>9633088.04172411</v>
      </c>
      <c r="F26" s="383">
        <v>0</v>
      </c>
      <c r="G26" s="384">
        <v>10697780.647463884</v>
      </c>
    </row>
    <row r="27" spans="1:7">
      <c r="A27" s="381">
        <v>19</v>
      </c>
      <c r="B27" s="385" t="s">
        <v>649</v>
      </c>
      <c r="C27" s="383">
        <v>0</v>
      </c>
      <c r="D27" s="387">
        <v>65385316.569924645</v>
      </c>
      <c r="E27" s="383">
        <v>28096973.996571258</v>
      </c>
      <c r="F27" s="383">
        <v>57718219.252804033</v>
      </c>
      <c r="G27" s="384">
        <v>95801631.648131326</v>
      </c>
    </row>
    <row r="28" spans="1:7">
      <c r="A28" s="381">
        <v>20</v>
      </c>
      <c r="B28" s="397" t="s">
        <v>650</v>
      </c>
      <c r="C28" s="383"/>
      <c r="D28" s="387"/>
      <c r="E28" s="383"/>
      <c r="F28" s="383"/>
      <c r="G28" s="384"/>
    </row>
    <row r="29" spans="1:7">
      <c r="A29" s="381">
        <v>21</v>
      </c>
      <c r="B29" s="385" t="s">
        <v>651</v>
      </c>
      <c r="C29" s="383">
        <v>0</v>
      </c>
      <c r="D29" s="387">
        <v>351346.92185328575</v>
      </c>
      <c r="E29" s="383">
        <v>218004.66074917366</v>
      </c>
      <c r="F29" s="383">
        <v>2174628.1992283855</v>
      </c>
      <c r="G29" s="384">
        <v>2254671.523663789</v>
      </c>
    </row>
    <row r="30" spans="1:7">
      <c r="A30" s="381">
        <v>22</v>
      </c>
      <c r="B30" s="397" t="s">
        <v>650</v>
      </c>
      <c r="C30" s="383"/>
      <c r="D30" s="387"/>
      <c r="E30" s="383"/>
      <c r="F30" s="383"/>
      <c r="G30" s="384"/>
    </row>
    <row r="31" spans="1:7" ht="26.25">
      <c r="A31" s="381">
        <v>23</v>
      </c>
      <c r="B31" s="385" t="s">
        <v>652</v>
      </c>
      <c r="C31" s="383"/>
      <c r="D31" s="387"/>
      <c r="E31" s="383"/>
      <c r="F31" s="383">
        <v>12104019.299042065</v>
      </c>
      <c r="G31" s="384">
        <v>10288416.404185755</v>
      </c>
    </row>
    <row r="32" spans="1:7">
      <c r="A32" s="381">
        <v>24</v>
      </c>
      <c r="B32" s="382" t="s">
        <v>653</v>
      </c>
      <c r="C32" s="383">
        <v>0</v>
      </c>
      <c r="D32" s="387"/>
      <c r="E32" s="383"/>
      <c r="F32" s="383"/>
      <c r="G32" s="384">
        <v>0</v>
      </c>
    </row>
    <row r="33" spans="1:7">
      <c r="A33" s="381">
        <v>25</v>
      </c>
      <c r="B33" s="382" t="s">
        <v>165</v>
      </c>
      <c r="C33" s="383">
        <f>SUM(C34:C35)</f>
        <v>9358937.7627083305</v>
      </c>
      <c r="D33" s="383">
        <f>SUM(D34:D35)</f>
        <v>2850226.7678703987</v>
      </c>
      <c r="E33" s="383">
        <f>SUM(E34:E35)</f>
        <v>7788532.607503009</v>
      </c>
      <c r="F33" s="383">
        <f>SUM(F34:F35)</f>
        <v>5852665.5462001693</v>
      </c>
      <c r="G33" s="384">
        <f>SUM(G34:G35)</f>
        <v>25850362.684281912</v>
      </c>
    </row>
    <row r="34" spans="1:7">
      <c r="A34" s="381">
        <v>26</v>
      </c>
      <c r="B34" s="385" t="s">
        <v>654</v>
      </c>
      <c r="C34" s="386"/>
      <c r="D34" s="387"/>
      <c r="E34" s="383"/>
      <c r="F34" s="383"/>
      <c r="G34" s="384"/>
    </row>
    <row r="35" spans="1:7">
      <c r="A35" s="381">
        <v>27</v>
      </c>
      <c r="B35" s="385" t="s">
        <v>655</v>
      </c>
      <c r="C35" s="383">
        <v>9358937.7627083305</v>
      </c>
      <c r="D35" s="387">
        <v>2850226.7678703987</v>
      </c>
      <c r="E35" s="383">
        <v>7788532.607503009</v>
      </c>
      <c r="F35" s="383">
        <v>5852665.5462001693</v>
      </c>
      <c r="G35" s="384">
        <v>25850362.684281912</v>
      </c>
    </row>
    <row r="36" spans="1:7">
      <c r="A36" s="381">
        <v>28</v>
      </c>
      <c r="B36" s="382" t="s">
        <v>656</v>
      </c>
      <c r="C36" s="383">
        <v>49500.38</v>
      </c>
      <c r="D36" s="387">
        <v>12432653.752800001</v>
      </c>
      <c r="E36" s="383">
        <v>20668911.796799999</v>
      </c>
      <c r="F36" s="383">
        <v>82246515.670000002</v>
      </c>
      <c r="G36" s="384">
        <v>15649608.924459999</v>
      </c>
    </row>
    <row r="37" spans="1:7">
      <c r="A37" s="388">
        <v>29</v>
      </c>
      <c r="B37" s="389" t="s">
        <v>657</v>
      </c>
      <c r="C37" s="386"/>
      <c r="D37" s="386"/>
      <c r="E37" s="386"/>
      <c r="F37" s="386"/>
      <c r="G37" s="390">
        <f>SUM(G23:G24,G32:G33,G36)</f>
        <v>164086660.82318714</v>
      </c>
    </row>
    <row r="38" spans="1:7">
      <c r="A38" s="377"/>
      <c r="B38" s="398"/>
      <c r="C38" s="399"/>
      <c r="D38" s="399"/>
      <c r="E38" s="399"/>
      <c r="F38" s="399"/>
      <c r="G38" s="400"/>
    </row>
    <row r="39" spans="1:7" ht="15.75" thickBot="1">
      <c r="A39" s="401">
        <v>30</v>
      </c>
      <c r="B39" s="402" t="s">
        <v>625</v>
      </c>
      <c r="C39" s="271"/>
      <c r="D39" s="253"/>
      <c r="E39" s="253"/>
      <c r="F39" s="403"/>
      <c r="G39" s="404">
        <f>IFERROR(G21/G37,0)</f>
        <v>1.2271434009582332</v>
      </c>
    </row>
    <row r="42" spans="1:7" ht="39">
      <c r="B42" s="24" t="s">
        <v>658</v>
      </c>
    </row>
  </sheetData>
  <mergeCells count="2">
    <mergeCell ref="C5:F5"/>
    <mergeCell ref="G5:G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1"/>
  <sheetViews>
    <sheetView showGridLines="0" tabSelected="1" zoomScaleNormal="10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20" bestFit="1" customWidth="1"/>
    <col min="2" max="2" width="88.42578125" style="17" customWidth="1"/>
    <col min="3" max="3" width="12.7109375" style="17" customWidth="1"/>
    <col min="4" max="7" width="12.7109375" style="2" customWidth="1"/>
    <col min="8" max="13" width="6.7109375" customWidth="1"/>
  </cols>
  <sheetData>
    <row r="1" spans="1:8">
      <c r="A1" s="531" t="s">
        <v>188</v>
      </c>
      <c r="B1" s="532" t="s">
        <v>960</v>
      </c>
    </row>
    <row r="2" spans="1:8">
      <c r="A2" s="531" t="s">
        <v>189</v>
      </c>
      <c r="B2" s="533">
        <v>44377</v>
      </c>
      <c r="C2" s="30"/>
      <c r="D2" s="19"/>
      <c r="E2" s="19"/>
      <c r="F2" s="19"/>
      <c r="G2" s="19"/>
      <c r="H2" s="1"/>
    </row>
    <row r="3" spans="1:8">
      <c r="A3" s="18"/>
      <c r="C3" s="30"/>
      <c r="D3" s="19"/>
      <c r="E3" s="19"/>
      <c r="F3" s="19"/>
      <c r="G3" s="19"/>
      <c r="H3" s="1"/>
    </row>
    <row r="4" spans="1:8" ht="16.5" thickBot="1">
      <c r="A4" s="53" t="s">
        <v>405</v>
      </c>
      <c r="B4" s="186" t="s">
        <v>223</v>
      </c>
      <c r="C4" s="187"/>
      <c r="D4" s="188"/>
      <c r="E4" s="188"/>
      <c r="F4" s="188"/>
      <c r="G4" s="188"/>
      <c r="H4" s="1"/>
    </row>
    <row r="5" spans="1:8" ht="15">
      <c r="A5" s="238" t="s">
        <v>26</v>
      </c>
      <c r="B5" s="239"/>
      <c r="C5" s="534" t="str">
        <f>INT((MONTH($B$2))/3)&amp;"Q"&amp;"-"&amp;YEAR($B$2)</f>
        <v>2Q-2021</v>
      </c>
      <c r="D5" s="534" t="str">
        <f>IF(INT(MONTH($B$2))=3, "4"&amp;"Q"&amp;"-"&amp;YEAR($B$2)-1, IF(INT(MONTH($B$2))=6, "1"&amp;"Q"&amp;"-"&amp;YEAR($B$2), IF(INT(MONTH($B$2))=9, "2"&amp;"Q"&amp;"-"&amp;YEAR($B$2),IF(INT(MONTH($B$2))=12, "3"&amp;"Q"&amp;"-"&amp;YEAR($B$2), 0))))</f>
        <v>1Q-2021</v>
      </c>
      <c r="E5" s="534" t="str">
        <f>IF(INT(MONTH($B$2))=3, "3"&amp;"Q"&amp;"-"&amp;YEAR($B$2)-1, IF(INT(MONTH($B$2))=6, "4"&amp;"Q"&amp;"-"&amp;YEAR($B$2)-1, IF(INT(MONTH($B$2))=9, "1"&amp;"Q"&amp;"-"&amp;YEAR($B$2),IF(INT(MONTH($B$2))=12, "2"&amp;"Q"&amp;"-"&amp;YEAR($B$2), 0))))</f>
        <v>4Q-2020</v>
      </c>
      <c r="F5" s="534" t="str">
        <f>IF(INT(MONTH($B$2))=3, "2"&amp;"Q"&amp;"-"&amp;YEAR($B$2)-1, IF(INT(MONTH($B$2))=6, "3"&amp;"Q"&amp;"-"&amp;YEAR($B$2)-1, IF(INT(MONTH($B$2))=9, "4"&amp;"Q"&amp;"-"&amp;YEAR($B$2)-1,IF(INT(MONTH($B$2))=12, "1"&amp;"Q"&amp;"-"&amp;YEAR($B$2), 0))))</f>
        <v>3Q-2020</v>
      </c>
      <c r="G5" s="535" t="str">
        <f>IF(INT(MONTH($B$2))=3, "1"&amp;"Q"&amp;"-"&amp;YEAR($B$2)-1, IF(INT(MONTH($B$2))=6, "2"&amp;"Q"&amp;"-"&amp;YEAR($B$2)-1, IF(INT(MONTH($B$2))=9, "3"&amp;"Q"&amp;"-"&amp;YEAR($B$2)-1,IF(INT(MONTH($B$2))=12, "4"&amp;"Q"&amp;"-"&amp;YEAR($B$2)-1, 0))))</f>
        <v>2Q-2020</v>
      </c>
    </row>
    <row r="6" spans="1:8" ht="15">
      <c r="A6" s="363"/>
      <c r="B6" s="364" t="s">
        <v>186</v>
      </c>
      <c r="C6" s="240"/>
      <c r="D6" s="240"/>
      <c r="E6" s="240"/>
      <c r="F6" s="240"/>
      <c r="G6" s="241"/>
    </row>
    <row r="7" spans="1:8" ht="15">
      <c r="A7" s="363"/>
      <c r="B7" s="365" t="s">
        <v>190</v>
      </c>
      <c r="C7" s="240"/>
      <c r="D7" s="240"/>
      <c r="E7" s="240"/>
      <c r="F7" s="240"/>
      <c r="G7" s="241"/>
    </row>
    <row r="8" spans="1:8" ht="15">
      <c r="A8" s="352">
        <v>1</v>
      </c>
      <c r="B8" s="353" t="s">
        <v>23</v>
      </c>
      <c r="C8" s="536">
        <v>88465596.657445937</v>
      </c>
      <c r="D8" s="537">
        <v>85490494.999593854</v>
      </c>
      <c r="E8" s="537">
        <v>82998445.377222285</v>
      </c>
      <c r="F8" s="537">
        <v>80832354.001519948</v>
      </c>
      <c r="G8" s="538">
        <v>78741796.282078221</v>
      </c>
    </row>
    <row r="9" spans="1:8" ht="15">
      <c r="A9" s="352">
        <v>2</v>
      </c>
      <c r="B9" s="353" t="s">
        <v>89</v>
      </c>
      <c r="C9" s="536">
        <v>88465596.657445937</v>
      </c>
      <c r="D9" s="537">
        <v>85490494.999593854</v>
      </c>
      <c r="E9" s="537">
        <v>82998445.377222285</v>
      </c>
      <c r="F9" s="537">
        <v>80832354.001519948</v>
      </c>
      <c r="G9" s="538">
        <v>78741796.282078221</v>
      </c>
    </row>
    <row r="10" spans="1:8" ht="15">
      <c r="A10" s="352">
        <v>3</v>
      </c>
      <c r="B10" s="353" t="s">
        <v>88</v>
      </c>
      <c r="C10" s="536">
        <v>93056600.599005952</v>
      </c>
      <c r="D10" s="537">
        <v>89949917.000006318</v>
      </c>
      <c r="E10" s="537">
        <v>87421568.189916149</v>
      </c>
      <c r="F10" s="537">
        <v>85018180.835527956</v>
      </c>
      <c r="G10" s="538">
        <v>82608280.762582079</v>
      </c>
    </row>
    <row r="11" spans="1:8" ht="15">
      <c r="A11" s="352">
        <v>4</v>
      </c>
      <c r="B11" s="353" t="s">
        <v>616</v>
      </c>
      <c r="C11" s="536">
        <v>27802553.138585605</v>
      </c>
      <c r="D11" s="537">
        <v>28213613.251565892</v>
      </c>
      <c r="E11" s="537">
        <v>23206699.440114107</v>
      </c>
      <c r="F11" s="537">
        <v>21814377.340147819</v>
      </c>
      <c r="G11" s="538">
        <v>20546617.304797877</v>
      </c>
    </row>
    <row r="12" spans="1:8" ht="15">
      <c r="A12" s="352">
        <v>5</v>
      </c>
      <c r="B12" s="353" t="s">
        <v>617</v>
      </c>
      <c r="C12" s="536">
        <v>37078467.517835423</v>
      </c>
      <c r="D12" s="537">
        <v>37626940.593956709</v>
      </c>
      <c r="E12" s="537">
        <v>30950900.884456571</v>
      </c>
      <c r="F12" s="537">
        <v>29094035.774560317</v>
      </c>
      <c r="G12" s="538">
        <v>27402997.458946902</v>
      </c>
    </row>
    <row r="13" spans="1:8" ht="15">
      <c r="A13" s="352">
        <v>6</v>
      </c>
      <c r="B13" s="353" t="s">
        <v>618</v>
      </c>
      <c r="C13" s="536">
        <v>62845625.906170204</v>
      </c>
      <c r="D13" s="537">
        <v>64636892.48206085</v>
      </c>
      <c r="E13" s="537">
        <v>63547118.157326348</v>
      </c>
      <c r="F13" s="537">
        <v>60103751.359989472</v>
      </c>
      <c r="G13" s="538">
        <v>57366536.180788107</v>
      </c>
    </row>
    <row r="14" spans="1:8" ht="15">
      <c r="A14" s="363"/>
      <c r="B14" s="364" t="s">
        <v>620</v>
      </c>
      <c r="C14" s="539"/>
      <c r="D14" s="539"/>
      <c r="E14" s="539"/>
      <c r="F14" s="539"/>
      <c r="G14" s="540"/>
    </row>
    <row r="15" spans="1:8" ht="25.5">
      <c r="A15" s="352">
        <v>7</v>
      </c>
      <c r="B15" s="353" t="s">
        <v>619</v>
      </c>
      <c r="C15" s="541">
        <v>394948828.02258658</v>
      </c>
      <c r="D15" s="537">
        <v>387474159.10370266</v>
      </c>
      <c r="E15" s="537">
        <v>382197912.33547288</v>
      </c>
      <c r="F15" s="537">
        <v>357281762.10522437</v>
      </c>
      <c r="G15" s="538">
        <v>333884467.09280181</v>
      </c>
    </row>
    <row r="16" spans="1:8" ht="15">
      <c r="A16" s="363"/>
      <c r="B16" s="364" t="s">
        <v>624</v>
      </c>
      <c r="C16" s="539"/>
      <c r="D16" s="539"/>
      <c r="E16" s="539"/>
      <c r="F16" s="539"/>
      <c r="G16" s="540"/>
    </row>
    <row r="17" spans="1:7" s="3" customFormat="1" ht="15">
      <c r="A17" s="352"/>
      <c r="B17" s="365" t="s">
        <v>605</v>
      </c>
      <c r="C17" s="542"/>
      <c r="D17" s="537"/>
      <c r="E17" s="537"/>
      <c r="F17" s="537"/>
      <c r="G17" s="538"/>
    </row>
    <row r="18" spans="1:7" ht="15">
      <c r="A18" s="351">
        <v>8</v>
      </c>
      <c r="B18" s="366" t="s">
        <v>614</v>
      </c>
      <c r="C18" s="543">
        <v>0.22399255392242032</v>
      </c>
      <c r="D18" s="544">
        <v>0.22063534558626755</v>
      </c>
      <c r="E18" s="544">
        <v>0.21716090721178688</v>
      </c>
      <c r="F18" s="544">
        <v>0.22624259778956674</v>
      </c>
      <c r="G18" s="545">
        <v>0.23583545819815649</v>
      </c>
    </row>
    <row r="19" spans="1:7" ht="15" customHeight="1">
      <c r="A19" s="351">
        <v>9</v>
      </c>
      <c r="B19" s="366" t="s">
        <v>613</v>
      </c>
      <c r="C19" s="543">
        <v>0.22399255392242032</v>
      </c>
      <c r="D19" s="544">
        <v>0.22063534558626755</v>
      </c>
      <c r="E19" s="544">
        <v>0.21716090721178688</v>
      </c>
      <c r="F19" s="544">
        <v>0.22624259778956674</v>
      </c>
      <c r="G19" s="545">
        <v>0.23583545819815649</v>
      </c>
    </row>
    <row r="20" spans="1:7" ht="15">
      <c r="A20" s="351">
        <v>10</v>
      </c>
      <c r="B20" s="366" t="s">
        <v>615</v>
      </c>
      <c r="C20" s="543">
        <v>0.23561685463131485</v>
      </c>
      <c r="D20" s="544">
        <v>0.23214429888196064</v>
      </c>
      <c r="E20" s="544">
        <v>0.22873376690028116</v>
      </c>
      <c r="F20" s="544">
        <v>0.23795835626921516</v>
      </c>
      <c r="G20" s="545">
        <v>0.24741576474601751</v>
      </c>
    </row>
    <row r="21" spans="1:7" ht="15">
      <c r="A21" s="351">
        <v>11</v>
      </c>
      <c r="B21" s="353" t="s">
        <v>616</v>
      </c>
      <c r="C21" s="543">
        <v>7.0395330143872753E-2</v>
      </c>
      <c r="D21" s="544">
        <v>7.2814180219989505E-2</v>
      </c>
      <c r="E21" s="544">
        <v>6.0719063843929395E-2</v>
      </c>
      <c r="F21" s="544">
        <v>6.1056509606340292E-2</v>
      </c>
      <c r="G21" s="545">
        <v>6.1538104733356851E-2</v>
      </c>
    </row>
    <row r="22" spans="1:7" ht="15">
      <c r="A22" s="351">
        <v>12</v>
      </c>
      <c r="B22" s="353" t="s">
        <v>617</v>
      </c>
      <c r="C22" s="543">
        <v>9.3881700329327106E-2</v>
      </c>
      <c r="D22" s="544">
        <v>9.7108257957110172E-2</v>
      </c>
      <c r="E22" s="544">
        <v>8.0981344705225722E-2</v>
      </c>
      <c r="F22" s="544">
        <v>8.1431628648292786E-2</v>
      </c>
      <c r="G22" s="545">
        <v>8.2073292290444744E-2</v>
      </c>
    </row>
    <row r="23" spans="1:7" ht="15">
      <c r="A23" s="351">
        <v>13</v>
      </c>
      <c r="B23" s="353" t="s">
        <v>618</v>
      </c>
      <c r="C23" s="543">
        <v>0.1591234647304135</v>
      </c>
      <c r="D23" s="544">
        <v>0.16681600814768549</v>
      </c>
      <c r="E23" s="544">
        <v>0.16626757003724313</v>
      </c>
      <c r="F23" s="544">
        <v>0.16822507537423109</v>
      </c>
      <c r="G23" s="545">
        <v>0.17181552852784648</v>
      </c>
    </row>
    <row r="24" spans="1:7" ht="15">
      <c r="A24" s="363"/>
      <c r="B24" s="364" t="s">
        <v>6</v>
      </c>
      <c r="C24" s="539"/>
      <c r="D24" s="539"/>
      <c r="E24" s="539"/>
      <c r="F24" s="539"/>
      <c r="G24" s="540"/>
    </row>
    <row r="25" spans="1:7" ht="15" customHeight="1">
      <c r="A25" s="367">
        <v>14</v>
      </c>
      <c r="B25" s="368" t="s">
        <v>7</v>
      </c>
      <c r="C25" s="546">
        <v>6.0008118351832035E-2</v>
      </c>
      <c r="D25" s="547">
        <v>6.2301324598304841E-2</v>
      </c>
      <c r="E25" s="547">
        <v>6.2678307165625252E-2</v>
      </c>
      <c r="F25" s="547">
        <v>6.0895610533041149E-2</v>
      </c>
      <c r="G25" s="548">
        <v>5.9499238245699825E-2</v>
      </c>
    </row>
    <row r="26" spans="1:7" ht="15">
      <c r="A26" s="367">
        <v>15</v>
      </c>
      <c r="B26" s="368" t="s">
        <v>8</v>
      </c>
      <c r="C26" s="546">
        <v>1.1379076653939287E-2</v>
      </c>
      <c r="D26" s="547">
        <v>1.2878466129301701E-2</v>
      </c>
      <c r="E26" s="547">
        <v>1.3953652316493299E-2</v>
      </c>
      <c r="F26" s="547">
        <v>1.3353384856617353E-2</v>
      </c>
      <c r="G26" s="548">
        <v>1.3490960006021712E-2</v>
      </c>
    </row>
    <row r="27" spans="1:7" ht="15">
      <c r="A27" s="367">
        <v>16</v>
      </c>
      <c r="B27" s="368" t="s">
        <v>9</v>
      </c>
      <c r="C27" s="546">
        <v>4.0435219181194589E-2</v>
      </c>
      <c r="D27" s="547">
        <v>4.1615299047287641E-2</v>
      </c>
      <c r="E27" s="547">
        <v>3.3316900024161211E-2</v>
      </c>
      <c r="F27" s="547">
        <v>3.3961160331048006E-2</v>
      </c>
      <c r="G27" s="548">
        <v>3.4592805936058221E-2</v>
      </c>
    </row>
    <row r="28" spans="1:7" ht="15">
      <c r="A28" s="367">
        <v>17</v>
      </c>
      <c r="B28" s="368" t="s">
        <v>224</v>
      </c>
      <c r="C28" s="546">
        <v>4.8629041697892748E-2</v>
      </c>
      <c r="D28" s="547">
        <v>4.9422858469003142E-2</v>
      </c>
      <c r="E28" s="547">
        <v>4.8724654849131958E-2</v>
      </c>
      <c r="F28" s="547">
        <v>4.7542225676423799E-2</v>
      </c>
      <c r="G28" s="548">
        <v>4.600827823967811E-2</v>
      </c>
    </row>
    <row r="29" spans="1:7" ht="15">
      <c r="A29" s="367">
        <v>18</v>
      </c>
      <c r="B29" s="368" t="s">
        <v>10</v>
      </c>
      <c r="C29" s="546">
        <v>3.1785725889444047E-2</v>
      </c>
      <c r="D29" s="547">
        <v>2.966813235393341E-2</v>
      </c>
      <c r="E29" s="547">
        <v>9.287435648257578E-3</v>
      </c>
      <c r="F29" s="547">
        <v>1.5755386468547254E-3</v>
      </c>
      <c r="G29" s="548">
        <v>-1.1947163560632836E-2</v>
      </c>
    </row>
    <row r="30" spans="1:7" ht="15">
      <c r="A30" s="367">
        <v>19</v>
      </c>
      <c r="B30" s="368" t="s">
        <v>11</v>
      </c>
      <c r="C30" s="546">
        <v>0.12616143597135068</v>
      </c>
      <c r="D30" s="547">
        <v>0.11668249968907442</v>
      </c>
      <c r="E30" s="547">
        <v>3.4822858160235177E-2</v>
      </c>
      <c r="F30" s="547">
        <v>5.8212213716841042E-3</v>
      </c>
      <c r="G30" s="548">
        <v>-4.3291617741475275E-2</v>
      </c>
    </row>
    <row r="31" spans="1:7" ht="15">
      <c r="A31" s="363"/>
      <c r="B31" s="364" t="s">
        <v>12</v>
      </c>
      <c r="C31" s="539"/>
      <c r="D31" s="539"/>
      <c r="E31" s="539"/>
      <c r="F31" s="539"/>
      <c r="G31" s="540"/>
    </row>
    <row r="32" spans="1:7" ht="15">
      <c r="A32" s="367">
        <v>20</v>
      </c>
      <c r="B32" s="368" t="s">
        <v>13</v>
      </c>
      <c r="C32" s="546">
        <v>2.3477064828711675E-2</v>
      </c>
      <c r="D32" s="547">
        <v>2.4288689324131241E-2</v>
      </c>
      <c r="E32" s="547">
        <v>2.5770181222198065E-2</v>
      </c>
      <c r="F32" s="547">
        <v>3.370737443941884E-2</v>
      </c>
      <c r="G32" s="548">
        <v>3.0616721140784942E-2</v>
      </c>
    </row>
    <row r="33" spans="1:7" ht="15" customHeight="1">
      <c r="A33" s="367">
        <v>21</v>
      </c>
      <c r="B33" s="368" t="s">
        <v>14</v>
      </c>
      <c r="C33" s="546">
        <v>4.9374015259252807E-2</v>
      </c>
      <c r="D33" s="547">
        <v>4.9119335432412169E-2</v>
      </c>
      <c r="E33" s="547">
        <v>5.0592095799553052E-2</v>
      </c>
      <c r="F33" s="547">
        <v>5.6650073835639345E-2</v>
      </c>
      <c r="G33" s="548">
        <v>5.741334554602813E-2</v>
      </c>
    </row>
    <row r="34" spans="1:7" ht="15">
      <c r="A34" s="367">
        <v>22</v>
      </c>
      <c r="B34" s="368" t="s">
        <v>15</v>
      </c>
      <c r="C34" s="546">
        <v>0.66617181738367037</v>
      </c>
      <c r="D34" s="547">
        <v>0.65405546702225548</v>
      </c>
      <c r="E34" s="547">
        <v>0.657176722753678</v>
      </c>
      <c r="F34" s="547">
        <v>0.66160590841796252</v>
      </c>
      <c r="G34" s="548">
        <v>0.63612756868169762</v>
      </c>
    </row>
    <row r="35" spans="1:7" ht="15" customHeight="1">
      <c r="A35" s="367">
        <v>23</v>
      </c>
      <c r="B35" s="368" t="s">
        <v>16</v>
      </c>
      <c r="C35" s="546">
        <v>0.68857741697732022</v>
      </c>
      <c r="D35" s="547">
        <v>0.68770599689008849</v>
      </c>
      <c r="E35" s="547">
        <v>0.67963794973604752</v>
      </c>
      <c r="F35" s="547">
        <v>0.70552934161771308</v>
      </c>
      <c r="G35" s="548">
        <v>0.6626993169769303</v>
      </c>
    </row>
    <row r="36" spans="1:7" ht="15">
      <c r="A36" s="367">
        <v>24</v>
      </c>
      <c r="B36" s="368" t="s">
        <v>17</v>
      </c>
      <c r="C36" s="546">
        <v>-9.6157897237786026E-3</v>
      </c>
      <c r="D36" s="547">
        <v>3.1923069276090475E-2</v>
      </c>
      <c r="E36" s="547">
        <v>0.58021508905910535</v>
      </c>
      <c r="F36" s="547">
        <v>0.40924651967316528</v>
      </c>
      <c r="G36" s="548">
        <v>0.29152145101102278</v>
      </c>
    </row>
    <row r="37" spans="1:7" ht="15" customHeight="1">
      <c r="A37" s="363"/>
      <c r="B37" s="364" t="s">
        <v>18</v>
      </c>
      <c r="C37" s="539"/>
      <c r="D37" s="539"/>
      <c r="E37" s="539"/>
      <c r="F37" s="539"/>
      <c r="G37" s="540"/>
    </row>
    <row r="38" spans="1:7" ht="15" customHeight="1">
      <c r="A38" s="367">
        <v>25</v>
      </c>
      <c r="B38" s="368" t="s">
        <v>19</v>
      </c>
      <c r="C38" s="549">
        <v>0.17501301779466036</v>
      </c>
      <c r="D38" s="550">
        <v>0.16353057589555017</v>
      </c>
      <c r="E38" s="550">
        <v>0.14609430031048737</v>
      </c>
      <c r="F38" s="550">
        <v>0.13546550758790582</v>
      </c>
      <c r="G38" s="551">
        <v>0.11619907934660494</v>
      </c>
    </row>
    <row r="39" spans="1:7" ht="15" customHeight="1">
      <c r="A39" s="367">
        <v>26</v>
      </c>
      <c r="B39" s="368" t="s">
        <v>20</v>
      </c>
      <c r="C39" s="549">
        <v>0.92992964906809517</v>
      </c>
      <c r="D39" s="550">
        <v>0.94415990261980254</v>
      </c>
      <c r="E39" s="550">
        <v>0.93309149717162609</v>
      </c>
      <c r="F39" s="550">
        <v>0.95653191090846001</v>
      </c>
      <c r="G39" s="551">
        <v>0.9279008190264828</v>
      </c>
    </row>
    <row r="40" spans="1:7" ht="15" customHeight="1">
      <c r="A40" s="367">
        <v>27</v>
      </c>
      <c r="B40" s="369" t="s">
        <v>21</v>
      </c>
      <c r="C40" s="549">
        <v>0.15002732812396918</v>
      </c>
      <c r="D40" s="550">
        <v>0.11073415296759165</v>
      </c>
      <c r="E40" s="550">
        <v>0.11553619008863639</v>
      </c>
      <c r="F40" s="550">
        <v>7.8729493642624909E-2</v>
      </c>
      <c r="G40" s="551">
        <v>8.4790984849306916E-2</v>
      </c>
    </row>
    <row r="41" spans="1:7" ht="15" customHeight="1">
      <c r="A41" s="370"/>
      <c r="B41" s="364" t="s">
        <v>526</v>
      </c>
      <c r="C41" s="539"/>
      <c r="D41" s="539"/>
      <c r="E41" s="539"/>
      <c r="F41" s="539"/>
      <c r="G41" s="540"/>
    </row>
    <row r="42" spans="1:7" ht="15" customHeight="1">
      <c r="A42" s="367">
        <v>28</v>
      </c>
      <c r="B42" s="407" t="s">
        <v>510</v>
      </c>
      <c r="C42" s="552">
        <v>115236851.53999999</v>
      </c>
      <c r="D42" s="553">
        <v>97497588.980000004</v>
      </c>
      <c r="E42" s="553">
        <v>81903875.829999998</v>
      </c>
      <c r="F42" s="553">
        <v>110558868.91</v>
      </c>
      <c r="G42" s="554">
        <v>91227234.680000007</v>
      </c>
    </row>
    <row r="43" spans="1:7" ht="15">
      <c r="A43" s="367">
        <v>29</v>
      </c>
      <c r="B43" s="368" t="s">
        <v>511</v>
      </c>
      <c r="C43" s="552">
        <v>72202548.613757342</v>
      </c>
      <c r="D43" s="553">
        <v>45169081.551656671</v>
      </c>
      <c r="E43" s="553">
        <v>61860189.168520354</v>
      </c>
      <c r="F43" s="553">
        <v>84401756.030723333</v>
      </c>
      <c r="G43" s="554">
        <v>57196798.90373376</v>
      </c>
    </row>
    <row r="44" spans="1:7" ht="15">
      <c r="A44" s="405">
        <v>30</v>
      </c>
      <c r="B44" s="406" t="s">
        <v>509</v>
      </c>
      <c r="C44" s="555">
        <v>1.5960219376251072</v>
      </c>
      <c r="D44" s="556">
        <v>2.1585027994979029</v>
      </c>
      <c r="E44" s="556">
        <v>1.3240159289988003</v>
      </c>
      <c r="F44" s="556">
        <v>1.3099119509996349</v>
      </c>
      <c r="G44" s="557">
        <v>1.5949709848892395</v>
      </c>
    </row>
    <row r="45" spans="1:7" ht="15">
      <c r="A45" s="405"/>
      <c r="B45" s="364" t="s">
        <v>625</v>
      </c>
      <c r="C45" s="558"/>
      <c r="D45" s="559"/>
      <c r="E45" s="559"/>
      <c r="F45" s="559"/>
      <c r="G45" s="560"/>
    </row>
    <row r="46" spans="1:7" ht="15">
      <c r="A46" s="405">
        <v>31</v>
      </c>
      <c r="B46" s="406" t="s">
        <v>632</v>
      </c>
      <c r="C46" s="558">
        <v>201357863.01444596</v>
      </c>
      <c r="D46" s="559">
        <v>189450929.14609382</v>
      </c>
      <c r="E46" s="559">
        <v>165124245.27443027</v>
      </c>
      <c r="F46" s="559">
        <v>153877398.12251991</v>
      </c>
      <c r="G46" s="560">
        <v>152002098.65807822</v>
      </c>
    </row>
    <row r="47" spans="1:7" ht="15">
      <c r="A47" s="405">
        <v>32</v>
      </c>
      <c r="B47" s="406" t="s">
        <v>645</v>
      </c>
      <c r="C47" s="558">
        <v>164086660.82318714</v>
      </c>
      <c r="D47" s="559">
        <v>164581882.01660013</v>
      </c>
      <c r="E47" s="559">
        <v>162148906.19844285</v>
      </c>
      <c r="F47" s="559">
        <v>151388101.10997358</v>
      </c>
      <c r="G47" s="560">
        <v>146161614.00610271</v>
      </c>
    </row>
    <row r="48" spans="1:7" thickBot="1">
      <c r="A48" s="105">
        <v>33</v>
      </c>
      <c r="B48" s="213" t="s">
        <v>659</v>
      </c>
      <c r="C48" s="561">
        <v>1.2271434009582332</v>
      </c>
      <c r="D48" s="562">
        <v>1.1511044036243634</v>
      </c>
      <c r="E48" s="562">
        <v>1.0183494242776212</v>
      </c>
      <c r="F48" s="562">
        <v>1.0164431484000054</v>
      </c>
      <c r="G48" s="563">
        <v>1.0399590870126245</v>
      </c>
    </row>
    <row r="49" spans="1:7">
      <c r="A49" s="21"/>
    </row>
    <row r="50" spans="1:7" ht="39.75">
      <c r="B50" s="24" t="s">
        <v>604</v>
      </c>
    </row>
    <row r="51" spans="1:7" ht="65.25">
      <c r="B51" s="283" t="s">
        <v>525</v>
      </c>
      <c r="D51" s="262"/>
      <c r="E51" s="262"/>
      <c r="F51" s="262"/>
      <c r="G51" s="262"/>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A5" sqref="A5:B7"/>
    </sheetView>
  </sheetViews>
  <sheetFormatPr defaultColWidth="9.140625" defaultRowHeight="12.75"/>
  <cols>
    <col min="1" max="1" width="11.85546875" style="413" bestFit="1" customWidth="1"/>
    <col min="2" max="2" width="91.140625" style="413" bestFit="1" customWidth="1"/>
    <col min="3" max="6" width="14.85546875" style="413" customWidth="1"/>
    <col min="7" max="7" width="17.140625" style="413" customWidth="1"/>
    <col min="8" max="8" width="14.85546875" style="413" customWidth="1"/>
    <col min="9" max="16384" width="9.140625" style="413"/>
  </cols>
  <sheetData>
    <row r="1" spans="1:8" ht="15">
      <c r="A1" s="531" t="s">
        <v>188</v>
      </c>
      <c r="B1" s="532" t="s">
        <v>960</v>
      </c>
    </row>
    <row r="2" spans="1:8" ht="15">
      <c r="A2" s="531" t="s">
        <v>189</v>
      </c>
      <c r="B2" s="533">
        <f>'1. key ratios'!B2</f>
        <v>44377</v>
      </c>
    </row>
    <row r="3" spans="1:8">
      <c r="A3" s="415" t="s">
        <v>665</v>
      </c>
      <c r="B3" s="416"/>
    </row>
    <row r="5" spans="1:8" ht="12.75" customHeight="1">
      <c r="A5" s="763" t="s">
        <v>666</v>
      </c>
      <c r="B5" s="764"/>
      <c r="C5" s="846" t="s">
        <v>667</v>
      </c>
      <c r="D5" s="847"/>
      <c r="E5" s="847"/>
      <c r="F5" s="847"/>
      <c r="G5" s="847"/>
      <c r="H5" s="848"/>
    </row>
    <row r="6" spans="1:8">
      <c r="A6" s="849"/>
      <c r="B6" s="850"/>
      <c r="C6" s="851"/>
      <c r="D6" s="852"/>
      <c r="E6" s="852"/>
      <c r="F6" s="852"/>
      <c r="G6" s="852"/>
      <c r="H6" s="853"/>
    </row>
    <row r="7" spans="1:8" ht="25.5">
      <c r="A7" s="765"/>
      <c r="B7" s="766"/>
      <c r="C7" s="417" t="s">
        <v>668</v>
      </c>
      <c r="D7" s="417" t="s">
        <v>669</v>
      </c>
      <c r="E7" s="417" t="s">
        <v>670</v>
      </c>
      <c r="F7" s="417" t="s">
        <v>671</v>
      </c>
      <c r="G7" s="523" t="s">
        <v>945</v>
      </c>
      <c r="H7" s="417" t="s">
        <v>68</v>
      </c>
    </row>
    <row r="8" spans="1:8">
      <c r="A8" s="418">
        <v>1</v>
      </c>
      <c r="B8" s="419" t="s">
        <v>216</v>
      </c>
      <c r="C8" s="856">
        <v>39137518.579999998</v>
      </c>
      <c r="D8" s="856">
        <v>3484477.7470291881</v>
      </c>
      <c r="E8" s="856">
        <v>13220309.989612512</v>
      </c>
      <c r="F8" s="856">
        <v>0</v>
      </c>
      <c r="G8" s="856"/>
      <c r="H8" s="857">
        <f>SUM(C8:G8)</f>
        <v>55842306.316641696</v>
      </c>
    </row>
    <row r="9" spans="1:8">
      <c r="A9" s="418">
        <v>2</v>
      </c>
      <c r="B9" s="419" t="s">
        <v>217</v>
      </c>
      <c r="C9" s="856"/>
      <c r="D9" s="856"/>
      <c r="E9" s="856"/>
      <c r="F9" s="856"/>
      <c r="G9" s="856"/>
      <c r="H9" s="857">
        <f t="shared" ref="H9:H21" si="0">SUM(C9:G9)</f>
        <v>0</v>
      </c>
    </row>
    <row r="10" spans="1:8">
      <c r="A10" s="418">
        <v>3</v>
      </c>
      <c r="B10" s="419" t="s">
        <v>218</v>
      </c>
      <c r="C10" s="856"/>
      <c r="D10" s="856"/>
      <c r="E10" s="856"/>
      <c r="F10" s="856"/>
      <c r="G10" s="856"/>
      <c r="H10" s="857">
        <f t="shared" si="0"/>
        <v>0</v>
      </c>
    </row>
    <row r="11" spans="1:8">
      <c r="A11" s="418">
        <v>4</v>
      </c>
      <c r="B11" s="419" t="s">
        <v>219</v>
      </c>
      <c r="C11" s="856"/>
      <c r="D11" s="856"/>
      <c r="E11" s="856"/>
      <c r="F11" s="856"/>
      <c r="G11" s="856"/>
      <c r="H11" s="857">
        <f t="shared" si="0"/>
        <v>0</v>
      </c>
    </row>
    <row r="12" spans="1:8">
      <c r="A12" s="418">
        <v>5</v>
      </c>
      <c r="B12" s="419" t="s">
        <v>220</v>
      </c>
      <c r="C12" s="856"/>
      <c r="D12" s="856"/>
      <c r="E12" s="856"/>
      <c r="F12" s="856"/>
      <c r="G12" s="856"/>
      <c r="H12" s="857">
        <f t="shared" si="0"/>
        <v>0</v>
      </c>
    </row>
    <row r="13" spans="1:8">
      <c r="A13" s="418">
        <v>6</v>
      </c>
      <c r="B13" s="419" t="s">
        <v>221</v>
      </c>
      <c r="C13" s="856">
        <v>56324113.132181004</v>
      </c>
      <c r="D13" s="856">
        <v>7035948.1000000006</v>
      </c>
      <c r="E13" s="856">
        <v>0</v>
      </c>
      <c r="F13" s="856">
        <v>0</v>
      </c>
      <c r="G13" s="856"/>
      <c r="H13" s="857">
        <f t="shared" si="0"/>
        <v>63360061.232181005</v>
      </c>
    </row>
    <row r="14" spans="1:8">
      <c r="A14" s="418">
        <v>7</v>
      </c>
      <c r="B14" s="419" t="s">
        <v>73</v>
      </c>
      <c r="C14" s="856"/>
      <c r="D14" s="856">
        <v>138618539.49021107</v>
      </c>
      <c r="E14" s="856">
        <v>56163290.994615324</v>
      </c>
      <c r="F14" s="856">
        <v>31151349.760000002</v>
      </c>
      <c r="G14" s="856">
        <v>1259126.0129999998</v>
      </c>
      <c r="H14" s="857">
        <f t="shared" si="0"/>
        <v>227192306.25782639</v>
      </c>
    </row>
    <row r="15" spans="1:8">
      <c r="A15" s="418">
        <v>8</v>
      </c>
      <c r="B15" s="421" t="s">
        <v>74</v>
      </c>
      <c r="C15" s="856"/>
      <c r="D15" s="856"/>
      <c r="E15" s="856"/>
      <c r="F15" s="856"/>
      <c r="G15" s="856"/>
      <c r="H15" s="857">
        <f t="shared" si="0"/>
        <v>0</v>
      </c>
    </row>
    <row r="16" spans="1:8">
      <c r="A16" s="418">
        <v>9</v>
      </c>
      <c r="B16" s="419" t="s">
        <v>75</v>
      </c>
      <c r="C16" s="856"/>
      <c r="D16" s="856"/>
      <c r="E16" s="856"/>
      <c r="F16" s="856"/>
      <c r="G16" s="856"/>
      <c r="H16" s="857">
        <f t="shared" si="0"/>
        <v>0</v>
      </c>
    </row>
    <row r="17" spans="1:8">
      <c r="A17" s="418">
        <v>10</v>
      </c>
      <c r="B17" s="854" t="s">
        <v>693</v>
      </c>
      <c r="C17" s="856"/>
      <c r="D17" s="856">
        <v>54159.714000000044</v>
      </c>
      <c r="E17" s="856">
        <v>68555.388999999996</v>
      </c>
      <c r="F17" s="856">
        <v>0</v>
      </c>
      <c r="G17" s="856">
        <v>1259033.5729999999</v>
      </c>
      <c r="H17" s="857">
        <f t="shared" si="0"/>
        <v>1381748.676</v>
      </c>
    </row>
    <row r="18" spans="1:8">
      <c r="A18" s="418">
        <v>11</v>
      </c>
      <c r="B18" s="419" t="s">
        <v>70</v>
      </c>
      <c r="C18" s="856"/>
      <c r="D18" s="856">
        <v>763.31500000000005</v>
      </c>
      <c r="E18" s="856">
        <v>0</v>
      </c>
      <c r="F18" s="856">
        <v>0</v>
      </c>
      <c r="G18" s="856">
        <v>0</v>
      </c>
      <c r="H18" s="857">
        <f t="shared" si="0"/>
        <v>763.31500000000005</v>
      </c>
    </row>
    <row r="19" spans="1:8">
      <c r="A19" s="418">
        <v>12</v>
      </c>
      <c r="B19" s="419" t="s">
        <v>71</v>
      </c>
      <c r="C19" s="856"/>
      <c r="D19" s="856"/>
      <c r="E19" s="856"/>
      <c r="F19" s="856"/>
      <c r="G19" s="856"/>
      <c r="H19" s="857">
        <f t="shared" si="0"/>
        <v>0</v>
      </c>
    </row>
    <row r="20" spans="1:8">
      <c r="A20" s="422">
        <v>13</v>
      </c>
      <c r="B20" s="421" t="s">
        <v>72</v>
      </c>
      <c r="C20" s="856"/>
      <c r="D20" s="856"/>
      <c r="E20" s="856"/>
      <c r="F20" s="856"/>
      <c r="G20" s="856"/>
      <c r="H20" s="857">
        <f t="shared" si="0"/>
        <v>0</v>
      </c>
    </row>
    <row r="21" spans="1:8">
      <c r="A21" s="418">
        <v>14</v>
      </c>
      <c r="B21" s="419" t="s">
        <v>672</v>
      </c>
      <c r="C21" s="856">
        <v>4686125.87</v>
      </c>
      <c r="D21" s="856">
        <v>755361.25200000021</v>
      </c>
      <c r="E21" s="856">
        <v>2487216.1639999999</v>
      </c>
      <c r="F21" s="856">
        <v>3081272.4139999999</v>
      </c>
      <c r="G21" s="856">
        <v>5944683.2861649301</v>
      </c>
      <c r="H21" s="857">
        <f t="shared" si="0"/>
        <v>16954658.986164927</v>
      </c>
    </row>
    <row r="22" spans="1:8">
      <c r="A22" s="423">
        <v>15</v>
      </c>
      <c r="B22" s="420" t="s">
        <v>68</v>
      </c>
      <c r="C22" s="857">
        <f>+SUM(C8:C16)+SUM(C18:C21)</f>
        <v>100147757.58218101</v>
      </c>
      <c r="D22" s="857">
        <f t="shared" ref="D22:G22" si="1">+SUM(D8:D16)+SUM(D18:D21)</f>
        <v>149895089.90424025</v>
      </c>
      <c r="E22" s="857">
        <f t="shared" si="1"/>
        <v>71870817.148227841</v>
      </c>
      <c r="F22" s="857">
        <f t="shared" si="1"/>
        <v>34232622.174000002</v>
      </c>
      <c r="G22" s="857">
        <f t="shared" si="1"/>
        <v>7203809.2991649304</v>
      </c>
      <c r="H22" s="857">
        <f>+SUM(H8:H16)+SUM(H18:H21)</f>
        <v>363350096.10781401</v>
      </c>
    </row>
    <row r="26" spans="1:8" ht="38.25">
      <c r="B26" s="855" t="s">
        <v>944</v>
      </c>
    </row>
  </sheetData>
  <mergeCells count="2">
    <mergeCell ref="A5:B7"/>
    <mergeCell ref="C5:H6"/>
  </mergeCells>
  <conditionalFormatting sqref="A5">
    <cfRule type="duplicateValues" dxfId="35" priority="1"/>
    <cfRule type="duplicateValues" dxfId="34" priority="2"/>
  </conditionalFormatting>
  <conditionalFormatting sqref="A5">
    <cfRule type="duplicateValues" dxfId="3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A5" sqref="A5:B6"/>
    </sheetView>
  </sheetViews>
  <sheetFormatPr defaultColWidth="9.140625" defaultRowHeight="12.75"/>
  <cols>
    <col min="1" max="1" width="11.85546875" style="424" bestFit="1" customWidth="1"/>
    <col min="2" max="2" width="112.85546875" style="413" bestFit="1" customWidth="1"/>
    <col min="3" max="3" width="19.140625" style="413" bestFit="1" customWidth="1"/>
    <col min="4" max="4" width="23" style="413" bestFit="1" customWidth="1"/>
    <col min="5" max="5" width="19.5703125" style="434" bestFit="1" customWidth="1"/>
    <col min="6" max="6" width="15.42578125" style="434" bestFit="1" customWidth="1"/>
    <col min="7" max="7" width="14.85546875" style="434" customWidth="1"/>
    <col min="8" max="8" width="14" style="413" customWidth="1"/>
    <col min="9" max="9" width="20.7109375" style="413" bestFit="1" customWidth="1"/>
    <col min="10" max="16384" width="9.140625" style="413"/>
  </cols>
  <sheetData>
    <row r="1" spans="1:9" ht="15">
      <c r="A1" s="531" t="s">
        <v>188</v>
      </c>
      <c r="B1" s="532" t="s">
        <v>960</v>
      </c>
      <c r="E1" s="413"/>
      <c r="F1" s="413"/>
      <c r="G1" s="413"/>
    </row>
    <row r="2" spans="1:9" ht="15">
      <c r="A2" s="531" t="s">
        <v>189</v>
      </c>
      <c r="B2" s="533">
        <f>'1. key ratios'!B2</f>
        <v>44377</v>
      </c>
      <c r="E2" s="413"/>
      <c r="F2" s="413"/>
      <c r="G2" s="413"/>
    </row>
    <row r="3" spans="1:9">
      <c r="A3" s="415" t="s">
        <v>673</v>
      </c>
      <c r="B3" s="416"/>
      <c r="E3" s="413"/>
      <c r="F3" s="413"/>
      <c r="G3" s="413"/>
    </row>
    <row r="4" spans="1:9">
      <c r="C4" s="425" t="s">
        <v>674</v>
      </c>
      <c r="D4" s="425" t="s">
        <v>675</v>
      </c>
      <c r="E4" s="425" t="s">
        <v>676</v>
      </c>
      <c r="F4" s="425" t="s">
        <v>677</v>
      </c>
      <c r="G4" s="425" t="s">
        <v>678</v>
      </c>
      <c r="H4" s="425" t="s">
        <v>679</v>
      </c>
      <c r="I4" s="425" t="s">
        <v>680</v>
      </c>
    </row>
    <row r="5" spans="1:9" ht="33.950000000000003" customHeight="1">
      <c r="A5" s="763" t="s">
        <v>683</v>
      </c>
      <c r="B5" s="764"/>
      <c r="C5" s="767" t="s">
        <v>684</v>
      </c>
      <c r="D5" s="767"/>
      <c r="E5" s="767" t="s">
        <v>685</v>
      </c>
      <c r="F5" s="767" t="s">
        <v>686</v>
      </c>
      <c r="G5" s="761" t="s">
        <v>687</v>
      </c>
      <c r="H5" s="761" t="s">
        <v>688</v>
      </c>
      <c r="I5" s="522" t="s">
        <v>689</v>
      </c>
    </row>
    <row r="6" spans="1:9" ht="38.25">
      <c r="A6" s="765"/>
      <c r="B6" s="766"/>
      <c r="C6" s="473" t="s">
        <v>690</v>
      </c>
      <c r="D6" s="473" t="s">
        <v>691</v>
      </c>
      <c r="E6" s="767"/>
      <c r="F6" s="767"/>
      <c r="G6" s="762"/>
      <c r="H6" s="762"/>
      <c r="I6" s="522" t="s">
        <v>692</v>
      </c>
    </row>
    <row r="7" spans="1:9">
      <c r="A7" s="426">
        <v>1</v>
      </c>
      <c r="B7" s="419" t="s">
        <v>216</v>
      </c>
      <c r="C7" s="858">
        <v>0</v>
      </c>
      <c r="D7" s="858">
        <v>55842306.316641688</v>
      </c>
      <c r="E7" s="858">
        <v>0</v>
      </c>
      <c r="F7" s="858">
        <v>199990.2081300891</v>
      </c>
      <c r="G7" s="858"/>
      <c r="H7" s="858"/>
      <c r="I7" s="859">
        <f t="shared" ref="I7:I23" si="0">C7+D7-E7-F7-G7</f>
        <v>55642316.108511597</v>
      </c>
    </row>
    <row r="8" spans="1:9">
      <c r="A8" s="426">
        <v>2</v>
      </c>
      <c r="B8" s="419" t="s">
        <v>217</v>
      </c>
      <c r="C8" s="858"/>
      <c r="D8" s="858"/>
      <c r="E8" s="858"/>
      <c r="F8" s="858"/>
      <c r="G8" s="858"/>
      <c r="H8" s="858"/>
      <c r="I8" s="859">
        <f t="shared" si="0"/>
        <v>0</v>
      </c>
    </row>
    <row r="9" spans="1:9">
      <c r="A9" s="426">
        <v>3</v>
      </c>
      <c r="B9" s="419" t="s">
        <v>218</v>
      </c>
      <c r="C9" s="858"/>
      <c r="D9" s="858"/>
      <c r="E9" s="858"/>
      <c r="F9" s="858"/>
      <c r="G9" s="858"/>
      <c r="H9" s="858"/>
      <c r="I9" s="859">
        <f t="shared" si="0"/>
        <v>0</v>
      </c>
    </row>
    <row r="10" spans="1:9">
      <c r="A10" s="426">
        <v>4</v>
      </c>
      <c r="B10" s="419" t="s">
        <v>219</v>
      </c>
      <c r="C10" s="858"/>
      <c r="D10" s="858"/>
      <c r="E10" s="858"/>
      <c r="F10" s="858"/>
      <c r="G10" s="858"/>
      <c r="H10" s="858"/>
      <c r="I10" s="859">
        <f t="shared" si="0"/>
        <v>0</v>
      </c>
    </row>
    <row r="11" spans="1:9">
      <c r="A11" s="426">
        <v>5</v>
      </c>
      <c r="B11" s="419" t="s">
        <v>220</v>
      </c>
      <c r="C11" s="858"/>
      <c r="D11" s="858"/>
      <c r="E11" s="858"/>
      <c r="F11" s="858"/>
      <c r="G11" s="858"/>
      <c r="H11" s="858"/>
      <c r="I11" s="859">
        <f t="shared" si="0"/>
        <v>0</v>
      </c>
    </row>
    <row r="12" spans="1:9">
      <c r="A12" s="426">
        <v>6</v>
      </c>
      <c r="B12" s="419" t="s">
        <v>221</v>
      </c>
      <c r="C12" s="858">
        <v>0</v>
      </c>
      <c r="D12" s="858">
        <v>63360061.232181005</v>
      </c>
      <c r="E12" s="858">
        <v>0</v>
      </c>
      <c r="F12" s="858">
        <v>0</v>
      </c>
      <c r="G12" s="858"/>
      <c r="H12" s="858"/>
      <c r="I12" s="859">
        <f t="shared" si="0"/>
        <v>63360061.232181005</v>
      </c>
    </row>
    <row r="13" spans="1:9">
      <c r="A13" s="426">
        <v>7</v>
      </c>
      <c r="B13" s="419" t="s">
        <v>73</v>
      </c>
      <c r="C13" s="858">
        <v>3651311.2199999997</v>
      </c>
      <c r="D13" s="858">
        <v>226338934.93382636</v>
      </c>
      <c r="E13" s="858">
        <v>2797939.8959999997</v>
      </c>
      <c r="F13" s="858">
        <v>4209890.2750523295</v>
      </c>
      <c r="G13" s="858"/>
      <c r="H13" s="858"/>
      <c r="I13" s="859">
        <f t="shared" si="0"/>
        <v>222982415.98277402</v>
      </c>
    </row>
    <row r="14" spans="1:9">
      <c r="A14" s="426">
        <v>8</v>
      </c>
      <c r="B14" s="421" t="s">
        <v>74</v>
      </c>
      <c r="C14" s="858"/>
      <c r="D14" s="858"/>
      <c r="E14" s="858"/>
      <c r="F14" s="858"/>
      <c r="G14" s="858"/>
      <c r="H14" s="858"/>
      <c r="I14" s="859">
        <f t="shared" si="0"/>
        <v>0</v>
      </c>
    </row>
    <row r="15" spans="1:9">
      <c r="A15" s="426">
        <v>9</v>
      </c>
      <c r="B15" s="419" t="s">
        <v>75</v>
      </c>
      <c r="C15" s="858"/>
      <c r="D15" s="858"/>
      <c r="E15" s="858"/>
      <c r="F15" s="858"/>
      <c r="G15" s="858"/>
      <c r="H15" s="858"/>
      <c r="I15" s="859">
        <f t="shared" si="0"/>
        <v>0</v>
      </c>
    </row>
    <row r="16" spans="1:9">
      <c r="A16" s="426">
        <v>10</v>
      </c>
      <c r="B16" s="854" t="s">
        <v>693</v>
      </c>
      <c r="C16" s="858">
        <v>2270233.41</v>
      </c>
      <c r="D16" s="858">
        <v>0</v>
      </c>
      <c r="E16" s="858">
        <v>888484.73400000017</v>
      </c>
      <c r="F16" s="858">
        <v>0</v>
      </c>
      <c r="G16" s="858"/>
      <c r="H16" s="858"/>
      <c r="I16" s="859">
        <f t="shared" si="0"/>
        <v>1381748.676</v>
      </c>
    </row>
    <row r="17" spans="1:9">
      <c r="A17" s="426">
        <v>11</v>
      </c>
      <c r="B17" s="419" t="s">
        <v>70</v>
      </c>
      <c r="C17" s="858">
        <v>7497.68</v>
      </c>
      <c r="D17" s="858">
        <v>0</v>
      </c>
      <c r="E17" s="858">
        <v>6734.3650000000007</v>
      </c>
      <c r="F17" s="858">
        <v>0</v>
      </c>
      <c r="G17" s="858"/>
      <c r="H17" s="858"/>
      <c r="I17" s="859">
        <f t="shared" si="0"/>
        <v>763.3149999999996</v>
      </c>
    </row>
    <row r="18" spans="1:9">
      <c r="A18" s="426">
        <v>12</v>
      </c>
      <c r="B18" s="419" t="s">
        <v>71</v>
      </c>
      <c r="C18" s="858"/>
      <c r="D18" s="858"/>
      <c r="E18" s="858"/>
      <c r="F18" s="858"/>
      <c r="G18" s="858"/>
      <c r="H18" s="858"/>
      <c r="I18" s="859">
        <f t="shared" si="0"/>
        <v>0</v>
      </c>
    </row>
    <row r="19" spans="1:9">
      <c r="A19" s="429">
        <v>13</v>
      </c>
      <c r="B19" s="421" t="s">
        <v>72</v>
      </c>
      <c r="C19" s="858"/>
      <c r="D19" s="858"/>
      <c r="E19" s="858"/>
      <c r="F19" s="858"/>
      <c r="G19" s="858"/>
      <c r="H19" s="858"/>
      <c r="I19" s="859">
        <f t="shared" si="0"/>
        <v>0</v>
      </c>
    </row>
    <row r="20" spans="1:9">
      <c r="A20" s="426">
        <v>14</v>
      </c>
      <c r="B20" s="419" t="s">
        <v>672</v>
      </c>
      <c r="C20" s="858">
        <v>4115393.7199999997</v>
      </c>
      <c r="D20" s="858">
        <v>15458926.584164932</v>
      </c>
      <c r="E20" s="858">
        <v>2355124.568</v>
      </c>
      <c r="F20" s="858">
        <v>90432.916399999987</v>
      </c>
      <c r="G20" s="858"/>
      <c r="H20" s="858"/>
      <c r="I20" s="859">
        <f t="shared" si="0"/>
        <v>17128762.819764931</v>
      </c>
    </row>
    <row r="21" spans="1:9" s="431" customFormat="1">
      <c r="A21" s="430">
        <v>15</v>
      </c>
      <c r="B21" s="420" t="s">
        <v>68</v>
      </c>
      <c r="C21" s="857">
        <f>SUM(C7:C15)+SUM(C17:C20)</f>
        <v>7774202.6199999992</v>
      </c>
      <c r="D21" s="857">
        <f t="shared" ref="D21:H21" si="1">SUM(D7:D15)+SUM(D17:D20)</f>
        <v>361000229.06681401</v>
      </c>
      <c r="E21" s="857">
        <f t="shared" si="1"/>
        <v>5159798.8289999999</v>
      </c>
      <c r="F21" s="857">
        <f t="shared" si="1"/>
        <v>4500313.3995824195</v>
      </c>
      <c r="G21" s="857">
        <v>3402357</v>
      </c>
      <c r="H21" s="857">
        <f t="shared" si="1"/>
        <v>0</v>
      </c>
      <c r="I21" s="859">
        <f t="shared" si="0"/>
        <v>355711962.45823157</v>
      </c>
    </row>
    <row r="22" spans="1:9">
      <c r="A22" s="432">
        <v>16</v>
      </c>
      <c r="B22" s="433" t="s">
        <v>694</v>
      </c>
      <c r="C22" s="858">
        <v>5359694.3099999987</v>
      </c>
      <c r="D22" s="858">
        <v>223786335.03999999</v>
      </c>
      <c r="E22" s="858">
        <v>3847823.4289999995</v>
      </c>
      <c r="F22" s="858">
        <v>3983689.9745999989</v>
      </c>
      <c r="G22" s="858">
        <v>3402357</v>
      </c>
      <c r="H22" s="858"/>
      <c r="I22" s="859">
        <f t="shared" si="0"/>
        <v>217912158.94640002</v>
      </c>
    </row>
    <row r="23" spans="1:9">
      <c r="A23" s="432">
        <v>17</v>
      </c>
      <c r="B23" s="433" t="s">
        <v>695</v>
      </c>
      <c r="C23" s="858">
        <v>0</v>
      </c>
      <c r="D23" s="858">
        <v>32815407.280468117</v>
      </c>
      <c r="E23" s="858">
        <v>0</v>
      </c>
      <c r="F23" s="858">
        <v>516623.42498241749</v>
      </c>
      <c r="G23" s="858"/>
      <c r="H23" s="858"/>
      <c r="I23" s="859">
        <f t="shared" si="0"/>
        <v>32298783.8554857</v>
      </c>
    </row>
    <row r="26" spans="1:9" ht="42.6" customHeight="1">
      <c r="B26" s="855" t="s">
        <v>944</v>
      </c>
    </row>
  </sheetData>
  <mergeCells count="6">
    <mergeCell ref="A5:B6"/>
    <mergeCell ref="C5:D5"/>
    <mergeCell ref="E5:E6"/>
    <mergeCell ref="F5:F6"/>
    <mergeCell ref="G5:G6"/>
    <mergeCell ref="H5:H6"/>
  </mergeCells>
  <conditionalFormatting sqref="A5">
    <cfRule type="duplicateValues" dxfId="29" priority="1"/>
    <cfRule type="duplicateValues" dxfId="28" priority="2"/>
  </conditionalFormatting>
  <conditionalFormatting sqref="A5">
    <cfRule type="duplicateValues" dxfId="27"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election activeCell="A5" sqref="A5:B6"/>
    </sheetView>
  </sheetViews>
  <sheetFormatPr defaultColWidth="9.140625" defaultRowHeight="12.75"/>
  <cols>
    <col min="1" max="1" width="11" style="413" bestFit="1" customWidth="1"/>
    <col min="2" max="2" width="75.140625" style="413" customWidth="1"/>
    <col min="3" max="4" width="19.140625" style="413" bestFit="1" customWidth="1"/>
    <col min="5" max="5" width="19.5703125" style="413" bestFit="1" customWidth="1"/>
    <col min="6" max="6" width="15.42578125" style="413" bestFit="1" customWidth="1"/>
    <col min="7" max="7" width="18.28515625" style="413" bestFit="1" customWidth="1"/>
    <col min="8" max="8" width="21.5703125" style="413" bestFit="1" customWidth="1"/>
    <col min="9" max="9" width="20.7109375" style="413" bestFit="1" customWidth="1"/>
    <col min="10" max="16384" width="9.140625" style="413"/>
  </cols>
  <sheetData>
    <row r="1" spans="1:9" ht="15">
      <c r="A1" s="531" t="s">
        <v>188</v>
      </c>
      <c r="B1" s="532" t="s">
        <v>960</v>
      </c>
    </row>
    <row r="2" spans="1:9" ht="15">
      <c r="A2" s="531" t="s">
        <v>189</v>
      </c>
      <c r="B2" s="533">
        <f>'1. key ratios'!B2</f>
        <v>44377</v>
      </c>
    </row>
    <row r="3" spans="1:9">
      <c r="A3" s="415" t="s">
        <v>696</v>
      </c>
      <c r="B3" s="416"/>
    </row>
    <row r="4" spans="1:9">
      <c r="C4" s="425" t="s">
        <v>674</v>
      </c>
      <c r="D4" s="425" t="s">
        <v>675</v>
      </c>
      <c r="E4" s="425" t="s">
        <v>676</v>
      </c>
      <c r="F4" s="425" t="s">
        <v>677</v>
      </c>
      <c r="G4" s="425" t="s">
        <v>678</v>
      </c>
      <c r="H4" s="425" t="s">
        <v>679</v>
      </c>
      <c r="I4" s="425" t="s">
        <v>680</v>
      </c>
    </row>
    <row r="5" spans="1:9" ht="41.45" customHeight="1">
      <c r="A5" s="763" t="s">
        <v>957</v>
      </c>
      <c r="B5" s="764"/>
      <c r="C5" s="767" t="s">
        <v>684</v>
      </c>
      <c r="D5" s="767"/>
      <c r="E5" s="767" t="s">
        <v>685</v>
      </c>
      <c r="F5" s="767" t="s">
        <v>686</v>
      </c>
      <c r="G5" s="761" t="s">
        <v>687</v>
      </c>
      <c r="H5" s="761" t="s">
        <v>688</v>
      </c>
      <c r="I5" s="522" t="s">
        <v>689</v>
      </c>
    </row>
    <row r="6" spans="1:9" ht="41.45" customHeight="1">
      <c r="A6" s="765"/>
      <c r="B6" s="766"/>
      <c r="C6" s="473" t="s">
        <v>690</v>
      </c>
      <c r="D6" s="473" t="s">
        <v>691</v>
      </c>
      <c r="E6" s="767"/>
      <c r="F6" s="767"/>
      <c r="G6" s="762"/>
      <c r="H6" s="762"/>
      <c r="I6" s="522" t="s">
        <v>692</v>
      </c>
    </row>
    <row r="7" spans="1:9">
      <c r="A7" s="427">
        <v>1</v>
      </c>
      <c r="B7" s="435" t="s">
        <v>697</v>
      </c>
      <c r="C7" s="858">
        <v>7152.79</v>
      </c>
      <c r="D7" s="858">
        <v>67332900.626641691</v>
      </c>
      <c r="E7" s="858">
        <v>5929.1039999999994</v>
      </c>
      <c r="F7" s="858">
        <v>422480.29853008909</v>
      </c>
      <c r="G7" s="858"/>
      <c r="H7" s="858"/>
      <c r="I7" s="859">
        <f t="shared" ref="I7:I34" si="0">C7+D7-E7-F7-G7</f>
        <v>66911644.014111608</v>
      </c>
    </row>
    <row r="8" spans="1:9">
      <c r="A8" s="427">
        <v>2</v>
      </c>
      <c r="B8" s="435" t="s">
        <v>698</v>
      </c>
      <c r="C8" s="858">
        <v>3105.52</v>
      </c>
      <c r="D8" s="858">
        <v>93729827.702181011</v>
      </c>
      <c r="E8" s="858">
        <v>12652.273999999999</v>
      </c>
      <c r="F8" s="858">
        <v>602894.00059999991</v>
      </c>
      <c r="G8" s="858"/>
      <c r="H8" s="858"/>
      <c r="I8" s="859">
        <f t="shared" si="0"/>
        <v>93117386.947581008</v>
      </c>
    </row>
    <row r="9" spans="1:9">
      <c r="A9" s="427">
        <v>3</v>
      </c>
      <c r="B9" s="435" t="s">
        <v>699</v>
      </c>
      <c r="C9" s="858"/>
      <c r="D9" s="858"/>
      <c r="E9" s="858"/>
      <c r="F9" s="858"/>
      <c r="G9" s="858"/>
      <c r="H9" s="858"/>
      <c r="I9" s="859">
        <f t="shared" si="0"/>
        <v>0</v>
      </c>
    </row>
    <row r="10" spans="1:9">
      <c r="A10" s="427">
        <v>4</v>
      </c>
      <c r="B10" s="435" t="s">
        <v>700</v>
      </c>
      <c r="C10" s="858">
        <v>661973.59</v>
      </c>
      <c r="D10" s="858">
        <v>17040259</v>
      </c>
      <c r="E10" s="858">
        <v>197399.01500000004</v>
      </c>
      <c r="F10" s="858">
        <v>340123.59399999998</v>
      </c>
      <c r="G10" s="858"/>
      <c r="H10" s="858"/>
      <c r="I10" s="859">
        <f t="shared" si="0"/>
        <v>17164709.980999999</v>
      </c>
    </row>
    <row r="11" spans="1:9">
      <c r="A11" s="427">
        <v>5</v>
      </c>
      <c r="B11" s="435" t="s">
        <v>701</v>
      </c>
      <c r="C11" s="858">
        <v>0</v>
      </c>
      <c r="D11" s="858">
        <v>14729711.440000001</v>
      </c>
      <c r="E11" s="858">
        <v>0</v>
      </c>
      <c r="F11" s="858">
        <v>294166.28240000003</v>
      </c>
      <c r="G11" s="858"/>
      <c r="H11" s="858"/>
      <c r="I11" s="859">
        <f t="shared" si="0"/>
        <v>14435545.157600001</v>
      </c>
    </row>
    <row r="12" spans="1:9">
      <c r="A12" s="427">
        <v>6</v>
      </c>
      <c r="B12" s="435" t="s">
        <v>702</v>
      </c>
      <c r="C12" s="858">
        <v>70941.399999999994</v>
      </c>
      <c r="D12" s="858">
        <v>882214.45999999985</v>
      </c>
      <c r="E12" s="858">
        <v>39941.546999999999</v>
      </c>
      <c r="F12" s="858">
        <v>17100.436399999999</v>
      </c>
      <c r="G12" s="858"/>
      <c r="H12" s="858"/>
      <c r="I12" s="859">
        <f t="shared" si="0"/>
        <v>896113.87659999984</v>
      </c>
    </row>
    <row r="13" spans="1:9">
      <c r="A13" s="427">
        <v>7</v>
      </c>
      <c r="B13" s="435" t="s">
        <v>703</v>
      </c>
      <c r="C13" s="858">
        <v>0</v>
      </c>
      <c r="D13" s="858">
        <v>17438091.509999998</v>
      </c>
      <c r="E13" s="858">
        <v>0</v>
      </c>
      <c r="F13" s="858">
        <v>347813.27899999998</v>
      </c>
      <c r="G13" s="858"/>
      <c r="H13" s="858"/>
      <c r="I13" s="859">
        <f t="shared" si="0"/>
        <v>17090278.230999999</v>
      </c>
    </row>
    <row r="14" spans="1:9">
      <c r="A14" s="427">
        <v>8</v>
      </c>
      <c r="B14" s="435" t="s">
        <v>704</v>
      </c>
      <c r="C14" s="858">
        <v>990908.12</v>
      </c>
      <c r="D14" s="858">
        <v>11748715.536576468</v>
      </c>
      <c r="E14" s="858">
        <v>449194.65</v>
      </c>
      <c r="F14" s="858">
        <v>233030.69433152938</v>
      </c>
      <c r="G14" s="858"/>
      <c r="H14" s="858"/>
      <c r="I14" s="859">
        <f t="shared" si="0"/>
        <v>12057398.312244939</v>
      </c>
    </row>
    <row r="15" spans="1:9">
      <c r="A15" s="427">
        <v>9</v>
      </c>
      <c r="B15" s="435" t="s">
        <v>705</v>
      </c>
      <c r="C15" s="858">
        <v>0</v>
      </c>
      <c r="D15" s="858">
        <v>7299756.5700000003</v>
      </c>
      <c r="E15" s="858">
        <v>0</v>
      </c>
      <c r="F15" s="858">
        <v>145359.53220000002</v>
      </c>
      <c r="G15" s="858"/>
      <c r="H15" s="858"/>
      <c r="I15" s="859">
        <f t="shared" si="0"/>
        <v>7154397.0378</v>
      </c>
    </row>
    <row r="16" spans="1:9">
      <c r="A16" s="427">
        <v>10</v>
      </c>
      <c r="B16" s="435" t="s">
        <v>706</v>
      </c>
      <c r="C16" s="858">
        <v>1798619.39</v>
      </c>
      <c r="D16" s="858">
        <v>6042881.0200000005</v>
      </c>
      <c r="E16" s="858">
        <v>539585.81699999992</v>
      </c>
      <c r="F16" s="858">
        <v>120752.95580000003</v>
      </c>
      <c r="G16" s="858"/>
      <c r="H16" s="858"/>
      <c r="I16" s="859">
        <f t="shared" si="0"/>
        <v>7181161.6372000007</v>
      </c>
    </row>
    <row r="17" spans="1:10">
      <c r="A17" s="427">
        <v>11</v>
      </c>
      <c r="B17" s="435" t="s">
        <v>707</v>
      </c>
      <c r="C17" s="858">
        <v>27407.31</v>
      </c>
      <c r="D17" s="858">
        <v>14741416.75</v>
      </c>
      <c r="E17" s="858">
        <v>1060275.1930000002</v>
      </c>
      <c r="F17" s="858">
        <v>82645.879199999996</v>
      </c>
      <c r="G17" s="858"/>
      <c r="H17" s="858"/>
      <c r="I17" s="859">
        <f t="shared" si="0"/>
        <v>13625902.9878</v>
      </c>
    </row>
    <row r="18" spans="1:10">
      <c r="A18" s="427">
        <v>12</v>
      </c>
      <c r="B18" s="435" t="s">
        <v>708</v>
      </c>
      <c r="C18" s="858">
        <v>251624.18</v>
      </c>
      <c r="D18" s="858">
        <v>5824334.9500000002</v>
      </c>
      <c r="E18" s="858">
        <v>240332.60499999998</v>
      </c>
      <c r="F18" s="858">
        <v>103760.95880000002</v>
      </c>
      <c r="G18" s="858"/>
      <c r="H18" s="858"/>
      <c r="I18" s="859">
        <f t="shared" si="0"/>
        <v>5731865.5662000002</v>
      </c>
    </row>
    <row r="19" spans="1:10">
      <c r="A19" s="427">
        <v>13</v>
      </c>
      <c r="B19" s="435" t="s">
        <v>709</v>
      </c>
      <c r="C19" s="858">
        <v>59516.25</v>
      </c>
      <c r="D19" s="858">
        <v>3505443.76</v>
      </c>
      <c r="E19" s="858">
        <v>350128.42</v>
      </c>
      <c r="F19" s="858">
        <v>6336.1688000000004</v>
      </c>
      <c r="G19" s="858"/>
      <c r="H19" s="858"/>
      <c r="I19" s="859">
        <f t="shared" si="0"/>
        <v>3208495.4211999997</v>
      </c>
    </row>
    <row r="20" spans="1:10">
      <c r="A20" s="427">
        <v>14</v>
      </c>
      <c r="B20" s="435" t="s">
        <v>710</v>
      </c>
      <c r="C20" s="858">
        <v>653093.52</v>
      </c>
      <c r="D20" s="858">
        <v>16153638.119999999</v>
      </c>
      <c r="E20" s="858">
        <v>279100.57799999998</v>
      </c>
      <c r="F20" s="858">
        <v>320011.83899999992</v>
      </c>
      <c r="G20" s="858"/>
      <c r="H20" s="858"/>
      <c r="I20" s="859">
        <f t="shared" si="0"/>
        <v>16207619.223000001</v>
      </c>
    </row>
    <row r="21" spans="1:10">
      <c r="A21" s="427">
        <v>15</v>
      </c>
      <c r="B21" s="435" t="s">
        <v>711</v>
      </c>
      <c r="C21" s="858">
        <v>181093.98</v>
      </c>
      <c r="D21" s="858">
        <v>2368048.5399999996</v>
      </c>
      <c r="E21" s="858">
        <v>54652.356999999996</v>
      </c>
      <c r="F21" s="858">
        <v>47281.445599999999</v>
      </c>
      <c r="G21" s="858"/>
      <c r="H21" s="858"/>
      <c r="I21" s="859">
        <f t="shared" si="0"/>
        <v>2447208.7173999995</v>
      </c>
    </row>
    <row r="22" spans="1:10">
      <c r="A22" s="427">
        <v>16</v>
      </c>
      <c r="B22" s="435" t="s">
        <v>712</v>
      </c>
      <c r="C22" s="858">
        <v>0</v>
      </c>
      <c r="D22" s="858">
        <v>0</v>
      </c>
      <c r="E22" s="858">
        <v>0</v>
      </c>
      <c r="F22" s="858">
        <v>0</v>
      </c>
      <c r="G22" s="858"/>
      <c r="H22" s="858"/>
      <c r="I22" s="859">
        <f t="shared" si="0"/>
        <v>0</v>
      </c>
    </row>
    <row r="23" spans="1:10">
      <c r="A23" s="427">
        <v>17</v>
      </c>
      <c r="B23" s="435" t="s">
        <v>713</v>
      </c>
      <c r="C23" s="858">
        <v>0</v>
      </c>
      <c r="D23" s="858">
        <v>0</v>
      </c>
      <c r="E23" s="858">
        <v>0</v>
      </c>
      <c r="F23" s="858">
        <v>0</v>
      </c>
      <c r="G23" s="858"/>
      <c r="H23" s="858"/>
      <c r="I23" s="859">
        <f t="shared" si="0"/>
        <v>0</v>
      </c>
    </row>
    <row r="24" spans="1:10">
      <c r="A24" s="427">
        <v>18</v>
      </c>
      <c r="B24" s="435" t="s">
        <v>714</v>
      </c>
      <c r="C24" s="858">
        <v>0</v>
      </c>
      <c r="D24" s="858">
        <v>43100133.241075002</v>
      </c>
      <c r="E24" s="858">
        <v>0</v>
      </c>
      <c r="F24" s="858">
        <v>857355.36979730008</v>
      </c>
      <c r="G24" s="858"/>
      <c r="H24" s="858"/>
      <c r="I24" s="859">
        <f t="shared" si="0"/>
        <v>42242777.871277705</v>
      </c>
    </row>
    <row r="25" spans="1:10">
      <c r="A25" s="427">
        <v>19</v>
      </c>
      <c r="B25" s="435" t="s">
        <v>715</v>
      </c>
      <c r="C25" s="858">
        <v>0</v>
      </c>
      <c r="D25" s="858">
        <v>0</v>
      </c>
      <c r="E25" s="858">
        <v>0</v>
      </c>
      <c r="F25" s="858">
        <v>0</v>
      </c>
      <c r="G25" s="858"/>
      <c r="H25" s="858"/>
      <c r="I25" s="859">
        <f t="shared" si="0"/>
        <v>0</v>
      </c>
    </row>
    <row r="26" spans="1:10">
      <c r="A26" s="427">
        <v>20</v>
      </c>
      <c r="B26" s="435" t="s">
        <v>716</v>
      </c>
      <c r="C26" s="858">
        <v>52342.3</v>
      </c>
      <c r="D26" s="858">
        <v>5203199.76</v>
      </c>
      <c r="E26" s="858">
        <v>46559.638000000006</v>
      </c>
      <c r="F26" s="858">
        <v>103500.53260000001</v>
      </c>
      <c r="G26" s="858"/>
      <c r="H26" s="858"/>
      <c r="I26" s="859">
        <f t="shared" si="0"/>
        <v>5105481.8893999998</v>
      </c>
      <c r="J26" s="436"/>
    </row>
    <row r="27" spans="1:10">
      <c r="A27" s="427">
        <v>21</v>
      </c>
      <c r="B27" s="435" t="s">
        <v>717</v>
      </c>
      <c r="C27" s="858">
        <v>0</v>
      </c>
      <c r="D27" s="858">
        <v>58521.49</v>
      </c>
      <c r="E27" s="858">
        <v>0</v>
      </c>
      <c r="F27" s="858">
        <v>1170</v>
      </c>
      <c r="G27" s="858"/>
      <c r="H27" s="858"/>
      <c r="I27" s="859">
        <f t="shared" si="0"/>
        <v>57351.49</v>
      </c>
      <c r="J27" s="436"/>
    </row>
    <row r="28" spans="1:10">
      <c r="A28" s="427">
        <v>22</v>
      </c>
      <c r="B28" s="435" t="s">
        <v>718</v>
      </c>
      <c r="C28" s="858">
        <v>752.35</v>
      </c>
      <c r="D28" s="858">
        <v>1145422.0022169964</v>
      </c>
      <c r="E28" s="858">
        <v>752.35</v>
      </c>
      <c r="F28" s="858">
        <v>22552.390244339927</v>
      </c>
      <c r="G28" s="858"/>
      <c r="H28" s="858"/>
      <c r="I28" s="859">
        <f t="shared" si="0"/>
        <v>1122869.6119726566</v>
      </c>
      <c r="J28" s="436"/>
    </row>
    <row r="29" spans="1:10">
      <c r="A29" s="427">
        <v>23</v>
      </c>
      <c r="B29" s="435" t="s">
        <v>719</v>
      </c>
      <c r="C29" s="858">
        <v>292071.71999999997</v>
      </c>
      <c r="D29" s="858">
        <v>22358782.563957959</v>
      </c>
      <c r="E29" s="858">
        <v>242093.728</v>
      </c>
      <c r="F29" s="858">
        <v>425040.65647915914</v>
      </c>
      <c r="G29" s="858"/>
      <c r="H29" s="858"/>
      <c r="I29" s="859">
        <f t="shared" si="0"/>
        <v>21983719.899478801</v>
      </c>
      <c r="J29" s="436"/>
    </row>
    <row r="30" spans="1:10">
      <c r="A30" s="427">
        <v>24</v>
      </c>
      <c r="B30" s="435" t="s">
        <v>720</v>
      </c>
      <c r="C30" s="858">
        <v>0</v>
      </c>
      <c r="D30" s="858">
        <v>12105.54</v>
      </c>
      <c r="E30" s="858">
        <v>0</v>
      </c>
      <c r="F30" s="858">
        <v>240.72</v>
      </c>
      <c r="G30" s="858"/>
      <c r="H30" s="858"/>
      <c r="I30" s="859">
        <f t="shared" si="0"/>
        <v>11864.820000000002</v>
      </c>
      <c r="J30" s="436"/>
    </row>
    <row r="31" spans="1:10">
      <c r="A31" s="427">
        <v>25</v>
      </c>
      <c r="B31" s="435" t="s">
        <v>721</v>
      </c>
      <c r="C31" s="858">
        <v>309091.89</v>
      </c>
      <c r="D31" s="858">
        <v>545940.32999999996</v>
      </c>
      <c r="E31" s="858">
        <v>329226.15299999993</v>
      </c>
      <c r="F31" s="858">
        <v>6696.3657999999996</v>
      </c>
      <c r="G31" s="858"/>
      <c r="H31" s="858"/>
      <c r="I31" s="859">
        <f t="shared" si="0"/>
        <v>519109.70120000001</v>
      </c>
      <c r="J31" s="436"/>
    </row>
    <row r="32" spans="1:10">
      <c r="A32" s="427">
        <v>26</v>
      </c>
      <c r="B32" s="435" t="s">
        <v>722</v>
      </c>
      <c r="C32" s="858">
        <v>0</v>
      </c>
      <c r="D32" s="858">
        <v>0</v>
      </c>
      <c r="E32" s="858">
        <v>0</v>
      </c>
      <c r="F32" s="858">
        <v>0</v>
      </c>
      <c r="G32" s="858"/>
      <c r="H32" s="858"/>
      <c r="I32" s="859">
        <f t="shared" si="0"/>
        <v>0</v>
      </c>
      <c r="J32" s="436"/>
    </row>
    <row r="33" spans="1:10">
      <c r="A33" s="427">
        <v>27</v>
      </c>
      <c r="B33" s="428" t="s">
        <v>165</v>
      </c>
      <c r="C33" s="858">
        <v>2414508.31</v>
      </c>
      <c r="D33" s="858">
        <v>9738884.1541649308</v>
      </c>
      <c r="E33" s="858">
        <v>1311975.3999999999</v>
      </c>
      <c r="F33" s="858"/>
      <c r="G33" s="858"/>
      <c r="H33" s="858"/>
      <c r="I33" s="859">
        <f t="shared" si="0"/>
        <v>10841417.064164931</v>
      </c>
      <c r="J33" s="436"/>
    </row>
    <row r="34" spans="1:10">
      <c r="A34" s="427">
        <v>28</v>
      </c>
      <c r="B34" s="437" t="s">
        <v>68</v>
      </c>
      <c r="C34" s="857">
        <f>SUM(C7:C33)</f>
        <v>7774202.6199999992</v>
      </c>
      <c r="D34" s="857">
        <f t="shared" ref="D34:H34" si="1">SUM(D7:D33)</f>
        <v>361000229.06681406</v>
      </c>
      <c r="E34" s="857">
        <f t="shared" si="1"/>
        <v>5159798.8289999999</v>
      </c>
      <c r="F34" s="857">
        <f t="shared" si="1"/>
        <v>4500313.3995824177</v>
      </c>
      <c r="G34" s="857">
        <v>3402357</v>
      </c>
      <c r="H34" s="857">
        <f t="shared" si="1"/>
        <v>0</v>
      </c>
      <c r="I34" s="859">
        <f t="shared" si="0"/>
        <v>355711962.45823163</v>
      </c>
      <c r="J34" s="436"/>
    </row>
    <row r="35" spans="1:10">
      <c r="A35" s="436"/>
      <c r="B35" s="436"/>
      <c r="C35" s="436"/>
      <c r="D35" s="436"/>
      <c r="E35" s="436"/>
      <c r="F35" s="436"/>
      <c r="G35" s="436"/>
      <c r="H35" s="436"/>
      <c r="I35" s="436"/>
      <c r="J35" s="436"/>
    </row>
    <row r="36" spans="1:10">
      <c r="A36" s="436"/>
      <c r="B36" s="438"/>
      <c r="C36" s="436"/>
      <c r="D36" s="436"/>
      <c r="E36" s="436"/>
      <c r="F36" s="436"/>
      <c r="G36" s="436"/>
      <c r="H36" s="436"/>
      <c r="I36" s="436"/>
      <c r="J36" s="436"/>
    </row>
    <row r="37" spans="1:10">
      <c r="A37" s="436"/>
      <c r="B37" s="436"/>
      <c r="C37" s="436"/>
      <c r="D37" s="436"/>
      <c r="E37" s="436"/>
      <c r="F37" s="436"/>
      <c r="G37" s="436"/>
      <c r="H37" s="436"/>
      <c r="I37" s="436"/>
      <c r="J37" s="436"/>
    </row>
    <row r="38" spans="1:10">
      <c r="A38" s="436"/>
      <c r="B38" s="436"/>
      <c r="C38" s="436"/>
      <c r="D38" s="436"/>
      <c r="E38" s="436"/>
      <c r="F38" s="436"/>
      <c r="G38" s="436"/>
      <c r="H38" s="436"/>
      <c r="I38" s="436"/>
      <c r="J38" s="436"/>
    </row>
    <row r="39" spans="1:10">
      <c r="A39" s="436"/>
      <c r="B39" s="436"/>
      <c r="C39" s="436"/>
      <c r="D39" s="436"/>
      <c r="E39" s="436"/>
      <c r="F39" s="436"/>
      <c r="G39" s="436"/>
      <c r="H39" s="436"/>
      <c r="I39" s="436"/>
      <c r="J39" s="436"/>
    </row>
    <row r="40" spans="1:10">
      <c r="A40" s="436"/>
      <c r="B40" s="436"/>
      <c r="C40" s="436"/>
      <c r="D40" s="436"/>
      <c r="E40" s="436"/>
      <c r="F40" s="436"/>
      <c r="G40" s="436"/>
      <c r="H40" s="436"/>
      <c r="I40" s="436"/>
      <c r="J40" s="436"/>
    </row>
    <row r="41" spans="1:10">
      <c r="A41" s="436"/>
      <c r="B41" s="436"/>
      <c r="C41" s="436"/>
      <c r="D41" s="436"/>
      <c r="E41" s="436"/>
      <c r="F41" s="436"/>
      <c r="G41" s="436"/>
      <c r="H41" s="436"/>
      <c r="I41" s="436"/>
      <c r="J41" s="436"/>
    </row>
    <row r="42" spans="1:10">
      <c r="A42" s="439"/>
      <c r="B42" s="439"/>
      <c r="C42" s="436"/>
      <c r="D42" s="436"/>
      <c r="E42" s="436"/>
      <c r="F42" s="436"/>
      <c r="G42" s="436"/>
      <c r="H42" s="436"/>
      <c r="I42" s="436"/>
      <c r="J42" s="436"/>
    </row>
    <row r="43" spans="1:10">
      <c r="A43" s="439"/>
      <c r="B43" s="439"/>
      <c r="C43" s="436"/>
      <c r="D43" s="436"/>
      <c r="E43" s="436"/>
      <c r="F43" s="436"/>
      <c r="G43" s="436"/>
      <c r="H43" s="436"/>
      <c r="I43" s="436"/>
      <c r="J43" s="436"/>
    </row>
    <row r="44" spans="1:10">
      <c r="A44" s="436"/>
      <c r="B44" s="440"/>
      <c r="C44" s="436"/>
      <c r="D44" s="436"/>
      <c r="E44" s="436"/>
      <c r="F44" s="436"/>
      <c r="G44" s="436"/>
      <c r="H44" s="436"/>
      <c r="I44" s="436"/>
      <c r="J44" s="436"/>
    </row>
    <row r="45" spans="1:10">
      <c r="A45" s="436"/>
      <c r="B45" s="440"/>
      <c r="C45" s="436"/>
      <c r="D45" s="436"/>
      <c r="E45" s="436"/>
      <c r="F45" s="436"/>
      <c r="G45" s="436"/>
      <c r="H45" s="436"/>
      <c r="I45" s="436"/>
      <c r="J45" s="436"/>
    </row>
    <row r="46" spans="1:10">
      <c r="A46" s="436"/>
      <c r="B46" s="440"/>
      <c r="C46" s="436"/>
      <c r="D46" s="436"/>
      <c r="E46" s="436"/>
      <c r="F46" s="436"/>
      <c r="G46" s="436"/>
      <c r="H46" s="436"/>
      <c r="I46" s="436"/>
      <c r="J46" s="436"/>
    </row>
    <row r="47" spans="1:10">
      <c r="A47" s="436"/>
      <c r="B47" s="436"/>
      <c r="C47" s="436"/>
      <c r="D47" s="436"/>
      <c r="E47" s="436"/>
      <c r="F47" s="436"/>
      <c r="G47" s="436"/>
      <c r="H47" s="436"/>
      <c r="I47" s="436"/>
      <c r="J47" s="436"/>
    </row>
  </sheetData>
  <mergeCells count="6">
    <mergeCell ref="A5:B6"/>
    <mergeCell ref="C5:D5"/>
    <mergeCell ref="E5:E6"/>
    <mergeCell ref="F5:F6"/>
    <mergeCell ref="G5:G6"/>
    <mergeCell ref="H5:H6"/>
  </mergeCells>
  <conditionalFormatting sqref="A5">
    <cfRule type="duplicateValues" dxfId="23" priority="1"/>
    <cfRule type="duplicateValues" dxfId="22" priority="2"/>
  </conditionalFormatting>
  <conditionalFormatting sqref="A5">
    <cfRule type="duplicateValues" dxfId="21"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A5" sqref="A5:B5"/>
    </sheetView>
  </sheetViews>
  <sheetFormatPr defaultColWidth="9.140625" defaultRowHeight="12.75"/>
  <cols>
    <col min="1" max="1" width="11.85546875" style="413" bestFit="1" customWidth="1"/>
    <col min="2" max="2" width="108" style="413" bestFit="1" customWidth="1"/>
    <col min="3" max="3" width="35.5703125" style="413" customWidth="1"/>
    <col min="4" max="4" width="38.42578125" style="434" customWidth="1"/>
    <col min="5" max="16384" width="9.140625" style="413"/>
  </cols>
  <sheetData>
    <row r="1" spans="1:4" ht="15">
      <c r="A1" s="531" t="s">
        <v>188</v>
      </c>
      <c r="B1" s="532" t="s">
        <v>960</v>
      </c>
      <c r="D1" s="413"/>
    </row>
    <row r="2" spans="1:4" ht="15">
      <c r="A2" s="531" t="s">
        <v>189</v>
      </c>
      <c r="B2" s="533">
        <f>'1. key ratios'!B2</f>
        <v>44377</v>
      </c>
      <c r="D2" s="413"/>
    </row>
    <row r="3" spans="1:4">
      <c r="A3" s="415" t="s">
        <v>723</v>
      </c>
      <c r="B3" s="416"/>
      <c r="D3" s="413"/>
    </row>
    <row r="5" spans="1:4" ht="51">
      <c r="A5" s="860" t="s">
        <v>724</v>
      </c>
      <c r="B5" s="860"/>
      <c r="C5" s="523" t="s">
        <v>725</v>
      </c>
      <c r="D5" s="523" t="s">
        <v>726</v>
      </c>
    </row>
    <row r="6" spans="1:4">
      <c r="A6" s="441">
        <v>1</v>
      </c>
      <c r="B6" s="442" t="s">
        <v>727</v>
      </c>
      <c r="C6" s="861">
        <v>11644666.5962</v>
      </c>
      <c r="D6" s="861">
        <v>515673.43060710299</v>
      </c>
    </row>
    <row r="7" spans="1:4">
      <c r="A7" s="443">
        <v>2</v>
      </c>
      <c r="B7" s="442" t="s">
        <v>728</v>
      </c>
      <c r="C7" s="861">
        <f>SUM(C8:C11)</f>
        <v>1657616.9687375443</v>
      </c>
      <c r="D7" s="861">
        <f>SUM(D8:D11)</f>
        <v>17693.859197300004</v>
      </c>
    </row>
    <row r="8" spans="1:4">
      <c r="A8" s="444">
        <v>2.1</v>
      </c>
      <c r="B8" s="445" t="s">
        <v>729</v>
      </c>
      <c r="C8" s="858">
        <v>1657616.9687375443</v>
      </c>
      <c r="D8" s="858">
        <v>17693.859197300004</v>
      </c>
    </row>
    <row r="9" spans="1:4">
      <c r="A9" s="444">
        <v>2.2000000000000002</v>
      </c>
      <c r="B9" s="445" t="s">
        <v>730</v>
      </c>
      <c r="C9" s="858">
        <v>0</v>
      </c>
      <c r="D9" s="858">
        <v>0</v>
      </c>
    </row>
    <row r="10" spans="1:4">
      <c r="A10" s="444">
        <v>2.2999999999999998</v>
      </c>
      <c r="B10" s="445" t="s">
        <v>731</v>
      </c>
      <c r="C10" s="858">
        <v>0</v>
      </c>
      <c r="D10" s="858">
        <v>0</v>
      </c>
    </row>
    <row r="11" spans="1:4">
      <c r="A11" s="444">
        <v>2.4</v>
      </c>
      <c r="B11" s="445" t="s">
        <v>732</v>
      </c>
      <c r="C11" s="858">
        <v>0</v>
      </c>
      <c r="D11" s="858">
        <v>0</v>
      </c>
    </row>
    <row r="12" spans="1:4">
      <c r="A12" s="441">
        <v>3</v>
      </c>
      <c r="B12" s="442" t="s">
        <v>733</v>
      </c>
      <c r="C12" s="861">
        <f>SUM(C13:C18)</f>
        <v>2068413.1613375444</v>
      </c>
      <c r="D12" s="861">
        <f>SUM(D13:D18)</f>
        <v>16743.864821985633</v>
      </c>
    </row>
    <row r="13" spans="1:4">
      <c r="A13" s="444">
        <v>3.1</v>
      </c>
      <c r="B13" s="445" t="s">
        <v>734</v>
      </c>
      <c r="C13" s="858"/>
      <c r="D13" s="858"/>
    </row>
    <row r="14" spans="1:4">
      <c r="A14" s="444">
        <v>3.2</v>
      </c>
      <c r="B14" s="445" t="s">
        <v>735</v>
      </c>
      <c r="C14" s="858">
        <v>1762798.4812683093</v>
      </c>
      <c r="D14" s="858">
        <v>828.43358295218422</v>
      </c>
    </row>
    <row r="15" spans="1:4">
      <c r="A15" s="444">
        <v>3.3</v>
      </c>
      <c r="B15" s="445" t="s">
        <v>736</v>
      </c>
      <c r="C15" s="858">
        <v>0</v>
      </c>
      <c r="D15" s="858">
        <v>0</v>
      </c>
    </row>
    <row r="16" spans="1:4">
      <c r="A16" s="444">
        <v>3.4</v>
      </c>
      <c r="B16" s="445" t="s">
        <v>737</v>
      </c>
      <c r="C16" s="858">
        <v>0</v>
      </c>
      <c r="D16" s="858">
        <v>0</v>
      </c>
    </row>
    <row r="17" spans="1:4">
      <c r="A17" s="443">
        <v>3.5</v>
      </c>
      <c r="B17" s="445" t="s">
        <v>738</v>
      </c>
      <c r="C17" s="858">
        <v>305614.68006923515</v>
      </c>
      <c r="D17" s="858">
        <v>15915.431239033451</v>
      </c>
    </row>
    <row r="18" spans="1:4">
      <c r="A18" s="444">
        <v>3.6</v>
      </c>
      <c r="B18" s="445" t="s">
        <v>739</v>
      </c>
      <c r="C18" s="858">
        <v>0</v>
      </c>
      <c r="D18" s="858">
        <v>0</v>
      </c>
    </row>
    <row r="19" spans="1:4">
      <c r="A19" s="446">
        <v>4</v>
      </c>
      <c r="B19" s="442" t="s">
        <v>740</v>
      </c>
      <c r="C19" s="857">
        <f>C6+C7-C12</f>
        <v>11233870.4036</v>
      </c>
      <c r="D19" s="857">
        <f>D6+D7-D12</f>
        <v>516623.42498241732</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A5" sqref="A5:B6"/>
    </sheetView>
  </sheetViews>
  <sheetFormatPr defaultColWidth="9.140625" defaultRowHeight="12.75"/>
  <cols>
    <col min="1" max="1" width="11.85546875" style="413" bestFit="1" customWidth="1"/>
    <col min="2" max="2" width="124.7109375" style="413" customWidth="1"/>
    <col min="3" max="3" width="33" style="413" customWidth="1"/>
    <col min="4" max="4" width="49.140625" style="434" customWidth="1"/>
    <col min="5" max="16384" width="9.140625" style="413"/>
  </cols>
  <sheetData>
    <row r="1" spans="1:4" ht="15">
      <c r="A1" s="531" t="s">
        <v>188</v>
      </c>
      <c r="B1" s="532" t="s">
        <v>960</v>
      </c>
      <c r="D1" s="413"/>
    </row>
    <row r="2" spans="1:4" ht="15">
      <c r="A2" s="531" t="s">
        <v>189</v>
      </c>
      <c r="B2" s="533">
        <f>'1. key ratios'!B2</f>
        <v>44377</v>
      </c>
      <c r="D2" s="413"/>
    </row>
    <row r="3" spans="1:4">
      <c r="A3" s="415" t="s">
        <v>741</v>
      </c>
      <c r="B3" s="416"/>
      <c r="D3" s="413"/>
    </row>
    <row r="4" spans="1:4">
      <c r="A4" s="415"/>
      <c r="D4" s="413"/>
    </row>
    <row r="5" spans="1:4" ht="15" customHeight="1">
      <c r="A5" s="862" t="s">
        <v>742</v>
      </c>
      <c r="B5" s="863"/>
      <c r="C5" s="846" t="s">
        <v>743</v>
      </c>
      <c r="D5" s="768" t="s">
        <v>744</v>
      </c>
    </row>
    <row r="6" spans="1:4">
      <c r="A6" s="864"/>
      <c r="B6" s="865"/>
      <c r="C6" s="851"/>
      <c r="D6" s="768"/>
    </row>
    <row r="7" spans="1:4">
      <c r="A7" s="437">
        <v>1</v>
      </c>
      <c r="B7" s="420" t="s">
        <v>745</v>
      </c>
      <c r="C7" s="858">
        <v>5758092.75</v>
      </c>
      <c r="D7" s="447"/>
    </row>
    <row r="8" spans="1:4">
      <c r="A8" s="428">
        <v>2</v>
      </c>
      <c r="B8" s="428" t="s">
        <v>746</v>
      </c>
      <c r="C8" s="858">
        <v>29249.14495339711</v>
      </c>
      <c r="D8" s="447"/>
    </row>
    <row r="9" spans="1:4">
      <c r="A9" s="428">
        <v>3</v>
      </c>
      <c r="B9" s="448" t="s">
        <v>747</v>
      </c>
      <c r="C9" s="858">
        <v>0</v>
      </c>
      <c r="D9" s="447"/>
    </row>
    <row r="10" spans="1:4">
      <c r="A10" s="428">
        <v>4</v>
      </c>
      <c r="B10" s="428" t="s">
        <v>748</v>
      </c>
      <c r="C10" s="861">
        <f>SUM(C11:C18)</f>
        <v>445700.09495339717</v>
      </c>
      <c r="D10" s="447"/>
    </row>
    <row r="11" spans="1:4">
      <c r="A11" s="428">
        <v>5</v>
      </c>
      <c r="B11" s="449" t="s">
        <v>749</v>
      </c>
      <c r="C11" s="858">
        <v>0</v>
      </c>
      <c r="D11" s="447"/>
    </row>
    <row r="12" spans="1:4">
      <c r="A12" s="428">
        <v>6</v>
      </c>
      <c r="B12" s="449" t="s">
        <v>750</v>
      </c>
      <c r="C12" s="858">
        <v>0</v>
      </c>
      <c r="D12" s="447"/>
    </row>
    <row r="13" spans="1:4">
      <c r="A13" s="428">
        <v>7</v>
      </c>
      <c r="B13" s="449" t="s">
        <v>751</v>
      </c>
      <c r="C13" s="858">
        <v>241716.7481833637</v>
      </c>
      <c r="D13" s="447"/>
    </row>
    <row r="14" spans="1:4">
      <c r="A14" s="428">
        <v>8</v>
      </c>
      <c r="B14" s="449" t="s">
        <v>752</v>
      </c>
      <c r="C14" s="858">
        <v>0</v>
      </c>
      <c r="D14" s="428"/>
    </row>
    <row r="15" spans="1:4">
      <c r="A15" s="428">
        <v>9</v>
      </c>
      <c r="B15" s="449" t="s">
        <v>753</v>
      </c>
      <c r="C15" s="858">
        <v>0</v>
      </c>
      <c r="D15" s="428"/>
    </row>
    <row r="16" spans="1:4">
      <c r="A16" s="428">
        <v>10</v>
      </c>
      <c r="B16" s="449" t="s">
        <v>754</v>
      </c>
      <c r="C16" s="858">
        <v>0</v>
      </c>
      <c r="D16" s="447"/>
    </row>
    <row r="17" spans="1:4">
      <c r="A17" s="428">
        <v>11</v>
      </c>
      <c r="B17" s="449" t="s">
        <v>755</v>
      </c>
      <c r="C17" s="858"/>
      <c r="D17" s="428"/>
    </row>
    <row r="18" spans="1:4" ht="25.5">
      <c r="A18" s="428">
        <v>12</v>
      </c>
      <c r="B18" s="449" t="s">
        <v>756</v>
      </c>
      <c r="C18" s="858">
        <v>203983.34677003344</v>
      </c>
      <c r="D18" s="447"/>
    </row>
    <row r="19" spans="1:4">
      <c r="A19" s="437">
        <v>13</v>
      </c>
      <c r="B19" s="450" t="s">
        <v>757</v>
      </c>
      <c r="C19" s="857">
        <f>C7+C8+C9-C10</f>
        <v>5341641.8</v>
      </c>
      <c r="D19" s="451"/>
    </row>
    <row r="22" spans="1:4">
      <c r="B22" s="412"/>
    </row>
    <row r="23" spans="1:4">
      <c r="B23" s="414"/>
    </row>
    <row r="24" spans="1:4">
      <c r="B24" s="415"/>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election activeCell="A5" sqref="A5:B7"/>
    </sheetView>
  </sheetViews>
  <sheetFormatPr defaultColWidth="9.140625" defaultRowHeight="12.75"/>
  <cols>
    <col min="1" max="1" width="11.85546875" style="413" bestFit="1" customWidth="1"/>
    <col min="2" max="2" width="80.7109375" style="413" customWidth="1"/>
    <col min="3" max="3" width="15.5703125" style="413" customWidth="1"/>
    <col min="4" max="5" width="22.28515625" style="413" customWidth="1"/>
    <col min="6" max="6" width="23.42578125" style="413" customWidth="1"/>
    <col min="7" max="14" width="22.28515625" style="413" customWidth="1"/>
    <col min="15" max="15" width="23.28515625" style="413" bestFit="1" customWidth="1"/>
    <col min="16" max="16" width="21.7109375" style="413" bestFit="1" customWidth="1"/>
    <col min="17" max="19" width="19" style="413" bestFit="1" customWidth="1"/>
    <col min="20" max="20" width="16.140625" style="413" customWidth="1"/>
    <col min="21" max="21" width="10.42578125" style="413" bestFit="1" customWidth="1"/>
    <col min="22" max="22" width="20" style="413" customWidth="1"/>
    <col min="23" max="16384" width="9.140625" style="413"/>
  </cols>
  <sheetData>
    <row r="1" spans="1:22" ht="15">
      <c r="A1" s="531" t="s">
        <v>188</v>
      </c>
      <c r="B1" s="532" t="s">
        <v>960</v>
      </c>
    </row>
    <row r="2" spans="1:22" ht="15">
      <c r="A2" s="531" t="s">
        <v>189</v>
      </c>
      <c r="B2" s="533">
        <f>'1. key ratios'!B2</f>
        <v>44377</v>
      </c>
      <c r="C2" s="424"/>
    </row>
    <row r="3" spans="1:22">
      <c r="A3" s="415" t="s">
        <v>758</v>
      </c>
      <c r="B3" s="416"/>
    </row>
    <row r="5" spans="1:22" ht="15" customHeight="1">
      <c r="A5" s="846" t="s">
        <v>759</v>
      </c>
      <c r="B5" s="848"/>
      <c r="C5" s="866" t="s">
        <v>760</v>
      </c>
      <c r="D5" s="867"/>
      <c r="E5" s="867"/>
      <c r="F5" s="867"/>
      <c r="G5" s="867"/>
      <c r="H5" s="867"/>
      <c r="I5" s="867"/>
      <c r="J5" s="867"/>
      <c r="K5" s="867"/>
      <c r="L5" s="867"/>
      <c r="M5" s="867"/>
      <c r="N5" s="867"/>
      <c r="O5" s="867"/>
      <c r="P5" s="867"/>
      <c r="Q5" s="867"/>
      <c r="R5" s="867"/>
      <c r="S5" s="867"/>
      <c r="T5" s="867"/>
      <c r="U5" s="868"/>
      <c r="V5" s="452"/>
    </row>
    <row r="6" spans="1:22" ht="12.75" customHeight="1">
      <c r="A6" s="869"/>
      <c r="B6" s="870"/>
      <c r="C6" s="871" t="s">
        <v>68</v>
      </c>
      <c r="D6" s="769" t="s">
        <v>761</v>
      </c>
      <c r="E6" s="769"/>
      <c r="F6" s="770"/>
      <c r="G6" s="771" t="s">
        <v>762</v>
      </c>
      <c r="H6" s="772"/>
      <c r="I6" s="772"/>
      <c r="J6" s="772"/>
      <c r="K6" s="773"/>
      <c r="L6" s="525"/>
      <c r="M6" s="774" t="s">
        <v>763</v>
      </c>
      <c r="N6" s="774"/>
      <c r="O6" s="762"/>
      <c r="P6" s="762"/>
      <c r="Q6" s="762"/>
      <c r="R6" s="762"/>
      <c r="S6" s="762"/>
      <c r="T6" s="762"/>
      <c r="U6" s="762"/>
      <c r="V6" s="453"/>
    </row>
    <row r="7" spans="1:22" ht="25.5">
      <c r="A7" s="851"/>
      <c r="B7" s="853"/>
      <c r="C7" s="872"/>
      <c r="D7" s="454"/>
      <c r="E7" s="522" t="s">
        <v>764</v>
      </c>
      <c r="F7" s="873" t="s">
        <v>765</v>
      </c>
      <c r="G7" s="424"/>
      <c r="H7" s="873" t="s">
        <v>764</v>
      </c>
      <c r="I7" s="522" t="s">
        <v>791</v>
      </c>
      <c r="J7" s="522" t="s">
        <v>766</v>
      </c>
      <c r="K7" s="873" t="s">
        <v>767</v>
      </c>
      <c r="L7" s="521"/>
      <c r="M7" s="473" t="s">
        <v>768</v>
      </c>
      <c r="N7" s="522" t="s">
        <v>766</v>
      </c>
      <c r="O7" s="522" t="s">
        <v>769</v>
      </c>
      <c r="P7" s="522" t="s">
        <v>770</v>
      </c>
      <c r="Q7" s="522" t="s">
        <v>771</v>
      </c>
      <c r="R7" s="522" t="s">
        <v>772</v>
      </c>
      <c r="S7" s="522" t="s">
        <v>773</v>
      </c>
      <c r="T7" s="455" t="s">
        <v>774</v>
      </c>
      <c r="U7" s="522" t="s">
        <v>775</v>
      </c>
      <c r="V7" s="452"/>
    </row>
    <row r="8" spans="1:22">
      <c r="A8" s="456">
        <v>1</v>
      </c>
      <c r="B8" s="420" t="s">
        <v>776</v>
      </c>
      <c r="C8" s="874">
        <f>SUM(C9:C14)</f>
        <v>227525963.69999996</v>
      </c>
      <c r="D8" s="874">
        <f t="shared" ref="D8:U8" si="0">SUM(D9:D14)</f>
        <v>206961047.76999995</v>
      </c>
      <c r="E8" s="874">
        <f t="shared" si="0"/>
        <v>207.86</v>
      </c>
      <c r="F8" s="874">
        <f t="shared" si="0"/>
        <v>0</v>
      </c>
      <c r="G8" s="874">
        <f t="shared" si="0"/>
        <v>15223274.129999999</v>
      </c>
      <c r="H8" s="874">
        <f t="shared" si="0"/>
        <v>218918.16</v>
      </c>
      <c r="I8" s="874">
        <f t="shared" si="0"/>
        <v>0</v>
      </c>
      <c r="J8" s="874">
        <f t="shared" si="0"/>
        <v>0</v>
      </c>
      <c r="K8" s="874">
        <f t="shared" si="0"/>
        <v>0</v>
      </c>
      <c r="L8" s="874">
        <f t="shared" si="0"/>
        <v>5341641.8</v>
      </c>
      <c r="M8" s="874">
        <f t="shared" si="0"/>
        <v>796923.36</v>
      </c>
      <c r="N8" s="874">
        <f t="shared" si="0"/>
        <v>14156.31</v>
      </c>
      <c r="O8" s="874">
        <f t="shared" si="0"/>
        <v>33262.369999999995</v>
      </c>
      <c r="P8" s="874">
        <f t="shared" si="0"/>
        <v>153922.97999999989</v>
      </c>
      <c r="Q8" s="874">
        <f t="shared" si="0"/>
        <v>12013.75</v>
      </c>
      <c r="R8" s="874">
        <f t="shared" si="0"/>
        <v>1878631.0799999998</v>
      </c>
      <c r="S8" s="874">
        <f t="shared" si="0"/>
        <v>192403.22999999998</v>
      </c>
      <c r="T8" s="874">
        <f t="shared" si="0"/>
        <v>0</v>
      </c>
      <c r="U8" s="874">
        <f t="shared" si="0"/>
        <v>1018959.02</v>
      </c>
      <c r="V8" s="436"/>
    </row>
    <row r="9" spans="1:22">
      <c r="A9" s="427">
        <v>1.1000000000000001</v>
      </c>
      <c r="B9" s="457" t="s">
        <v>777</v>
      </c>
      <c r="C9" s="875"/>
      <c r="D9" s="858"/>
      <c r="E9" s="858"/>
      <c r="F9" s="858"/>
      <c r="G9" s="858"/>
      <c r="H9" s="858"/>
      <c r="I9" s="858"/>
      <c r="J9" s="858"/>
      <c r="K9" s="858"/>
      <c r="L9" s="858"/>
      <c r="M9" s="858"/>
      <c r="N9" s="858"/>
      <c r="O9" s="858"/>
      <c r="P9" s="858"/>
      <c r="Q9" s="858"/>
      <c r="R9" s="858"/>
      <c r="S9" s="858"/>
      <c r="T9" s="858"/>
      <c r="U9" s="858"/>
      <c r="V9" s="436"/>
    </row>
    <row r="10" spans="1:22">
      <c r="A10" s="427">
        <v>1.2</v>
      </c>
      <c r="B10" s="457" t="s">
        <v>778</v>
      </c>
      <c r="C10" s="875"/>
      <c r="D10" s="858"/>
      <c r="E10" s="858"/>
      <c r="F10" s="858"/>
      <c r="G10" s="858"/>
      <c r="H10" s="858"/>
      <c r="I10" s="858"/>
      <c r="J10" s="858"/>
      <c r="K10" s="858"/>
      <c r="L10" s="858"/>
      <c r="M10" s="858"/>
      <c r="N10" s="858"/>
      <c r="O10" s="858"/>
      <c r="P10" s="858"/>
      <c r="Q10" s="858"/>
      <c r="R10" s="858"/>
      <c r="S10" s="858"/>
      <c r="T10" s="858"/>
      <c r="U10" s="858"/>
      <c r="V10" s="436"/>
    </row>
    <row r="11" spans="1:22">
      <c r="A11" s="427">
        <v>1.3</v>
      </c>
      <c r="B11" s="457" t="s">
        <v>779</v>
      </c>
      <c r="C11" s="875">
        <v>7776549.0399999991</v>
      </c>
      <c r="D11" s="858">
        <v>7776549.0399999991</v>
      </c>
      <c r="E11" s="858">
        <v>0</v>
      </c>
      <c r="F11" s="858">
        <v>0</v>
      </c>
      <c r="G11" s="858">
        <v>0</v>
      </c>
      <c r="H11" s="858">
        <v>0</v>
      </c>
      <c r="I11" s="858">
        <v>0</v>
      </c>
      <c r="J11" s="858">
        <v>0</v>
      </c>
      <c r="K11" s="858">
        <v>0</v>
      </c>
      <c r="L11" s="858">
        <v>0</v>
      </c>
      <c r="M11" s="858">
        <v>0</v>
      </c>
      <c r="N11" s="858">
        <v>0</v>
      </c>
      <c r="O11" s="858">
        <v>0</v>
      </c>
      <c r="P11" s="858">
        <v>0</v>
      </c>
      <c r="Q11" s="858">
        <v>0</v>
      </c>
      <c r="R11" s="858">
        <v>0</v>
      </c>
      <c r="S11" s="858">
        <v>0</v>
      </c>
      <c r="T11" s="858">
        <v>0</v>
      </c>
      <c r="U11" s="858">
        <v>0</v>
      </c>
      <c r="V11" s="436"/>
    </row>
    <row r="12" spans="1:22">
      <c r="A12" s="427">
        <v>1.4</v>
      </c>
      <c r="B12" s="457" t="s">
        <v>780</v>
      </c>
      <c r="C12" s="875">
        <v>40437951.549999997</v>
      </c>
      <c r="D12" s="858">
        <v>40437951.549999997</v>
      </c>
      <c r="E12" s="858">
        <v>0</v>
      </c>
      <c r="F12" s="858">
        <v>0</v>
      </c>
      <c r="G12" s="858">
        <v>0</v>
      </c>
      <c r="H12" s="858">
        <v>0</v>
      </c>
      <c r="I12" s="858">
        <v>0</v>
      </c>
      <c r="J12" s="858">
        <v>0</v>
      </c>
      <c r="K12" s="858">
        <v>0</v>
      </c>
      <c r="L12" s="858">
        <v>0</v>
      </c>
      <c r="M12" s="858">
        <v>0</v>
      </c>
      <c r="N12" s="858">
        <v>0</v>
      </c>
      <c r="O12" s="858">
        <v>0</v>
      </c>
      <c r="P12" s="858">
        <v>0</v>
      </c>
      <c r="Q12" s="858">
        <v>0</v>
      </c>
      <c r="R12" s="858">
        <v>0</v>
      </c>
      <c r="S12" s="858">
        <v>0</v>
      </c>
      <c r="T12" s="858">
        <v>0</v>
      </c>
      <c r="U12" s="858">
        <v>0</v>
      </c>
      <c r="V12" s="436"/>
    </row>
    <row r="13" spans="1:22">
      <c r="A13" s="427">
        <v>1.5</v>
      </c>
      <c r="B13" s="457" t="s">
        <v>781</v>
      </c>
      <c r="C13" s="875">
        <v>171935541.30999994</v>
      </c>
      <c r="D13" s="858">
        <v>154224901.35999995</v>
      </c>
      <c r="E13" s="858">
        <v>0</v>
      </c>
      <c r="F13" s="858">
        <v>0</v>
      </c>
      <c r="G13" s="858">
        <v>14071108.1</v>
      </c>
      <c r="H13" s="858">
        <v>0</v>
      </c>
      <c r="I13" s="858">
        <v>0</v>
      </c>
      <c r="J13" s="858">
        <v>0</v>
      </c>
      <c r="K13" s="858">
        <v>0</v>
      </c>
      <c r="L13" s="858">
        <v>3639531.8499999996</v>
      </c>
      <c r="M13" s="858">
        <v>757756.2</v>
      </c>
      <c r="N13" s="858">
        <v>0</v>
      </c>
      <c r="O13" s="858">
        <v>0</v>
      </c>
      <c r="P13" s="858">
        <v>0</v>
      </c>
      <c r="Q13" s="858">
        <v>0</v>
      </c>
      <c r="R13" s="858">
        <v>1806609.0299999998</v>
      </c>
      <c r="S13" s="858">
        <v>95826.83</v>
      </c>
      <c r="T13" s="858">
        <v>0</v>
      </c>
      <c r="U13" s="858">
        <v>427099.33</v>
      </c>
      <c r="V13" s="436"/>
    </row>
    <row r="14" spans="1:22">
      <c r="A14" s="427">
        <v>1.6</v>
      </c>
      <c r="B14" s="457" t="s">
        <v>782</v>
      </c>
      <c r="C14" s="875">
        <v>7375921.7999999998</v>
      </c>
      <c r="D14" s="858">
        <v>4521645.82</v>
      </c>
      <c r="E14" s="858">
        <v>207.86</v>
      </c>
      <c r="F14" s="858">
        <v>0</v>
      </c>
      <c r="G14" s="858">
        <v>1152166.0299999998</v>
      </c>
      <c r="H14" s="858">
        <v>218918.16</v>
      </c>
      <c r="I14" s="858">
        <v>0</v>
      </c>
      <c r="J14" s="858">
        <v>0</v>
      </c>
      <c r="K14" s="858">
        <v>0</v>
      </c>
      <c r="L14" s="858">
        <v>1702109.95</v>
      </c>
      <c r="M14" s="858">
        <v>39167.160000000003</v>
      </c>
      <c r="N14" s="858">
        <v>14156.31</v>
      </c>
      <c r="O14" s="858">
        <v>33262.369999999995</v>
      </c>
      <c r="P14" s="858">
        <v>153922.97999999989</v>
      </c>
      <c r="Q14" s="858">
        <v>12013.75</v>
      </c>
      <c r="R14" s="858">
        <v>72022.05</v>
      </c>
      <c r="S14" s="858">
        <v>96576.4</v>
      </c>
      <c r="T14" s="858">
        <v>0</v>
      </c>
      <c r="U14" s="858">
        <v>591859.68999999994</v>
      </c>
      <c r="V14" s="436"/>
    </row>
    <row r="15" spans="1:22">
      <c r="A15" s="456">
        <v>2</v>
      </c>
      <c r="B15" s="437" t="s">
        <v>783</v>
      </c>
      <c r="C15" s="874">
        <f>SUM(C16:C21)</f>
        <v>32219760.944034122</v>
      </c>
      <c r="D15" s="874">
        <f t="shared" ref="D15:U15" si="1">SUM(D16:D21)</f>
        <v>32219760.944034122</v>
      </c>
      <c r="E15" s="874">
        <f t="shared" si="1"/>
        <v>0</v>
      </c>
      <c r="F15" s="874">
        <f t="shared" si="1"/>
        <v>0</v>
      </c>
      <c r="G15" s="874">
        <f t="shared" si="1"/>
        <v>0</v>
      </c>
      <c r="H15" s="874">
        <f t="shared" si="1"/>
        <v>0</v>
      </c>
      <c r="I15" s="874">
        <f t="shared" si="1"/>
        <v>0</v>
      </c>
      <c r="J15" s="874">
        <f t="shared" si="1"/>
        <v>0</v>
      </c>
      <c r="K15" s="874">
        <f t="shared" si="1"/>
        <v>0</v>
      </c>
      <c r="L15" s="874">
        <f t="shared" si="1"/>
        <v>0</v>
      </c>
      <c r="M15" s="874">
        <f t="shared" si="1"/>
        <v>0</v>
      </c>
      <c r="N15" s="874">
        <f t="shared" si="1"/>
        <v>0</v>
      </c>
      <c r="O15" s="874">
        <f t="shared" si="1"/>
        <v>0</v>
      </c>
      <c r="P15" s="874">
        <f t="shared" si="1"/>
        <v>0</v>
      </c>
      <c r="Q15" s="874">
        <f t="shared" si="1"/>
        <v>0</v>
      </c>
      <c r="R15" s="874">
        <f t="shared" si="1"/>
        <v>0</v>
      </c>
      <c r="S15" s="874">
        <f t="shared" si="1"/>
        <v>0</v>
      </c>
      <c r="T15" s="874">
        <f t="shared" si="1"/>
        <v>0</v>
      </c>
      <c r="U15" s="874">
        <f t="shared" si="1"/>
        <v>0</v>
      </c>
      <c r="V15" s="436"/>
    </row>
    <row r="16" spans="1:22">
      <c r="A16" s="427">
        <v>2.1</v>
      </c>
      <c r="B16" s="457" t="s">
        <v>777</v>
      </c>
      <c r="C16" s="875">
        <v>0</v>
      </c>
      <c r="D16" s="858">
        <v>0</v>
      </c>
      <c r="E16" s="858"/>
      <c r="F16" s="858"/>
      <c r="G16" s="858">
        <v>0</v>
      </c>
      <c r="H16" s="858"/>
      <c r="I16" s="858"/>
      <c r="J16" s="858"/>
      <c r="K16" s="858"/>
      <c r="L16" s="858">
        <v>0</v>
      </c>
      <c r="M16" s="858"/>
      <c r="N16" s="858"/>
      <c r="O16" s="858"/>
      <c r="P16" s="858"/>
      <c r="Q16" s="858"/>
      <c r="R16" s="858"/>
      <c r="S16" s="858"/>
      <c r="T16" s="858"/>
      <c r="U16" s="858">
        <v>0</v>
      </c>
      <c r="V16" s="436"/>
    </row>
    <row r="17" spans="1:22">
      <c r="A17" s="427">
        <v>2.2000000000000002</v>
      </c>
      <c r="B17" s="457" t="s">
        <v>778</v>
      </c>
      <c r="C17" s="875">
        <v>16388100.1014177</v>
      </c>
      <c r="D17" s="858">
        <v>16388100.1014177</v>
      </c>
      <c r="E17" s="858"/>
      <c r="F17" s="858"/>
      <c r="G17" s="858">
        <v>0</v>
      </c>
      <c r="H17" s="858"/>
      <c r="I17" s="858"/>
      <c r="J17" s="858"/>
      <c r="K17" s="858"/>
      <c r="L17" s="858">
        <v>0</v>
      </c>
      <c r="M17" s="858"/>
      <c r="N17" s="858"/>
      <c r="O17" s="858"/>
      <c r="P17" s="858"/>
      <c r="Q17" s="858"/>
      <c r="R17" s="858"/>
      <c r="S17" s="858"/>
      <c r="T17" s="858"/>
      <c r="U17" s="858">
        <v>0</v>
      </c>
      <c r="V17" s="436"/>
    </row>
    <row r="18" spans="1:22">
      <c r="A18" s="427">
        <v>2.2999999999999998</v>
      </c>
      <c r="B18" s="457" t="s">
        <v>779</v>
      </c>
      <c r="C18" s="875"/>
      <c r="D18" s="858"/>
      <c r="E18" s="858"/>
      <c r="F18" s="858"/>
      <c r="G18" s="858"/>
      <c r="H18" s="858"/>
      <c r="I18" s="858"/>
      <c r="J18" s="858"/>
      <c r="K18" s="858"/>
      <c r="L18" s="858"/>
      <c r="M18" s="858"/>
      <c r="N18" s="858"/>
      <c r="O18" s="858"/>
      <c r="P18" s="858"/>
      <c r="Q18" s="858"/>
      <c r="R18" s="858"/>
      <c r="S18" s="858"/>
      <c r="T18" s="858"/>
      <c r="U18" s="858"/>
      <c r="V18" s="436"/>
    </row>
    <row r="19" spans="1:22">
      <c r="A19" s="427">
        <v>2.4</v>
      </c>
      <c r="B19" s="457" t="s">
        <v>780</v>
      </c>
      <c r="C19" s="875"/>
      <c r="D19" s="858"/>
      <c r="E19" s="858"/>
      <c r="F19" s="858"/>
      <c r="G19" s="858"/>
      <c r="H19" s="858"/>
      <c r="I19" s="858"/>
      <c r="J19" s="858"/>
      <c r="K19" s="858"/>
      <c r="L19" s="858"/>
      <c r="M19" s="858"/>
      <c r="N19" s="858"/>
      <c r="O19" s="858"/>
      <c r="P19" s="858"/>
      <c r="Q19" s="858"/>
      <c r="R19" s="858"/>
      <c r="S19" s="858"/>
      <c r="T19" s="858"/>
      <c r="U19" s="858"/>
      <c r="V19" s="436"/>
    </row>
    <row r="20" spans="1:22">
      <c r="A20" s="427">
        <v>2.5</v>
      </c>
      <c r="B20" s="457" t="s">
        <v>781</v>
      </c>
      <c r="C20" s="875">
        <v>15831660.842616422</v>
      </c>
      <c r="D20" s="858">
        <v>15831660.842616422</v>
      </c>
      <c r="E20" s="858"/>
      <c r="F20" s="858"/>
      <c r="G20" s="858">
        <v>0</v>
      </c>
      <c r="H20" s="858"/>
      <c r="I20" s="858"/>
      <c r="J20" s="858"/>
      <c r="K20" s="858"/>
      <c r="L20" s="858">
        <v>0</v>
      </c>
      <c r="M20" s="858"/>
      <c r="N20" s="858"/>
      <c r="O20" s="858"/>
      <c r="P20" s="858"/>
      <c r="Q20" s="858"/>
      <c r="R20" s="858"/>
      <c r="S20" s="858"/>
      <c r="T20" s="858"/>
      <c r="U20" s="858">
        <v>0</v>
      </c>
      <c r="V20" s="436"/>
    </row>
    <row r="21" spans="1:22">
      <c r="A21" s="427">
        <v>2.6</v>
      </c>
      <c r="B21" s="457" t="s">
        <v>782</v>
      </c>
      <c r="C21" s="875"/>
      <c r="D21" s="858"/>
      <c r="E21" s="858"/>
      <c r="F21" s="858"/>
      <c r="G21" s="858"/>
      <c r="H21" s="858"/>
      <c r="I21" s="858"/>
      <c r="J21" s="858"/>
      <c r="K21" s="858"/>
      <c r="L21" s="858"/>
      <c r="M21" s="858"/>
      <c r="N21" s="858"/>
      <c r="O21" s="858"/>
      <c r="P21" s="858"/>
      <c r="Q21" s="858"/>
      <c r="R21" s="858"/>
      <c r="S21" s="858"/>
      <c r="T21" s="858"/>
      <c r="U21" s="858"/>
      <c r="V21" s="436"/>
    </row>
    <row r="22" spans="1:22">
      <c r="A22" s="456">
        <v>3</v>
      </c>
      <c r="B22" s="420" t="s">
        <v>784</v>
      </c>
      <c r="C22" s="874">
        <f>SUM(C23:C28)</f>
        <v>116170219.52</v>
      </c>
      <c r="D22" s="874">
        <f t="shared" ref="D22:E22" si="2">SUM(D23:D28)</f>
        <v>115741483.14</v>
      </c>
      <c r="E22" s="874">
        <f t="shared" si="2"/>
        <v>0</v>
      </c>
      <c r="F22" s="458"/>
      <c r="G22" s="874">
        <f t="shared" ref="G22" si="3">SUM(G23:G28)</f>
        <v>379236</v>
      </c>
      <c r="H22" s="458"/>
      <c r="I22" s="458"/>
      <c r="J22" s="458"/>
      <c r="K22" s="458"/>
      <c r="L22" s="874">
        <f t="shared" ref="L22" si="4">SUM(L23:L28)</f>
        <v>0</v>
      </c>
      <c r="M22" s="458"/>
      <c r="N22" s="458"/>
      <c r="O22" s="458"/>
      <c r="P22" s="458"/>
      <c r="Q22" s="458"/>
      <c r="R22" s="458"/>
      <c r="S22" s="458"/>
      <c r="T22" s="458"/>
      <c r="U22" s="874">
        <f t="shared" ref="U22" si="5">SUM(U23:U28)</f>
        <v>0</v>
      </c>
      <c r="V22" s="436"/>
    </row>
    <row r="23" spans="1:22">
      <c r="A23" s="427">
        <v>3.1</v>
      </c>
      <c r="B23" s="457" t="s">
        <v>777</v>
      </c>
      <c r="C23" s="875"/>
      <c r="D23" s="858"/>
      <c r="E23" s="858"/>
      <c r="F23" s="458"/>
      <c r="G23" s="858"/>
      <c r="H23" s="458"/>
      <c r="I23" s="458"/>
      <c r="J23" s="458"/>
      <c r="K23" s="458"/>
      <c r="L23" s="858"/>
      <c r="M23" s="458"/>
      <c r="N23" s="458"/>
      <c r="O23" s="458"/>
      <c r="P23" s="458"/>
      <c r="Q23" s="458"/>
      <c r="R23" s="458"/>
      <c r="S23" s="458"/>
      <c r="T23" s="458"/>
      <c r="U23" s="858"/>
      <c r="V23" s="436"/>
    </row>
    <row r="24" spans="1:22">
      <c r="A24" s="427">
        <v>3.2</v>
      </c>
      <c r="B24" s="457" t="s">
        <v>778</v>
      </c>
      <c r="C24" s="875"/>
      <c r="D24" s="858"/>
      <c r="E24" s="858"/>
      <c r="F24" s="458"/>
      <c r="G24" s="858"/>
      <c r="H24" s="458"/>
      <c r="I24" s="458"/>
      <c r="J24" s="458"/>
      <c r="K24" s="458"/>
      <c r="L24" s="858"/>
      <c r="M24" s="458"/>
      <c r="N24" s="458"/>
      <c r="O24" s="458"/>
      <c r="P24" s="458"/>
      <c r="Q24" s="458"/>
      <c r="R24" s="458"/>
      <c r="S24" s="458"/>
      <c r="T24" s="458"/>
      <c r="U24" s="858"/>
      <c r="V24" s="436"/>
    </row>
    <row r="25" spans="1:22">
      <c r="A25" s="427">
        <v>3.3</v>
      </c>
      <c r="B25" s="457" t="s">
        <v>779</v>
      </c>
      <c r="C25" s="875">
        <v>78754273.120000005</v>
      </c>
      <c r="D25" s="858">
        <v>78754273.120000005</v>
      </c>
      <c r="E25" s="858"/>
      <c r="F25" s="458"/>
      <c r="G25" s="858">
        <v>0</v>
      </c>
      <c r="H25" s="458"/>
      <c r="I25" s="458"/>
      <c r="J25" s="458"/>
      <c r="K25" s="458"/>
      <c r="L25" s="858">
        <v>0</v>
      </c>
      <c r="M25" s="458"/>
      <c r="N25" s="458"/>
      <c r="O25" s="458"/>
      <c r="P25" s="458"/>
      <c r="Q25" s="458"/>
      <c r="R25" s="458"/>
      <c r="S25" s="458"/>
      <c r="T25" s="458"/>
      <c r="U25" s="858">
        <v>0</v>
      </c>
      <c r="V25" s="436"/>
    </row>
    <row r="26" spans="1:22">
      <c r="A26" s="427">
        <v>3.4</v>
      </c>
      <c r="B26" s="457" t="s">
        <v>780</v>
      </c>
      <c r="C26" s="875">
        <v>0</v>
      </c>
      <c r="D26" s="858">
        <v>0</v>
      </c>
      <c r="E26" s="858"/>
      <c r="F26" s="458"/>
      <c r="G26" s="858">
        <v>0</v>
      </c>
      <c r="H26" s="458"/>
      <c r="I26" s="458"/>
      <c r="J26" s="458"/>
      <c r="K26" s="458"/>
      <c r="L26" s="858">
        <v>0</v>
      </c>
      <c r="M26" s="458"/>
      <c r="N26" s="458"/>
      <c r="O26" s="458"/>
      <c r="P26" s="458"/>
      <c r="Q26" s="458"/>
      <c r="R26" s="458"/>
      <c r="S26" s="458"/>
      <c r="T26" s="458"/>
      <c r="U26" s="858">
        <v>0</v>
      </c>
      <c r="V26" s="436"/>
    </row>
    <row r="27" spans="1:22">
      <c r="A27" s="427">
        <v>3.5</v>
      </c>
      <c r="B27" s="457" t="s">
        <v>781</v>
      </c>
      <c r="C27" s="875">
        <v>37366446.019999996</v>
      </c>
      <c r="D27" s="858">
        <v>36987210.019999996</v>
      </c>
      <c r="E27" s="858"/>
      <c r="F27" s="458"/>
      <c r="G27" s="858">
        <v>379236</v>
      </c>
      <c r="H27" s="458"/>
      <c r="I27" s="458"/>
      <c r="J27" s="458"/>
      <c r="K27" s="458"/>
      <c r="L27" s="858">
        <v>0</v>
      </c>
      <c r="M27" s="458"/>
      <c r="N27" s="458"/>
      <c r="O27" s="458"/>
      <c r="P27" s="458"/>
      <c r="Q27" s="458"/>
      <c r="R27" s="458"/>
      <c r="S27" s="458"/>
      <c r="T27" s="458"/>
      <c r="U27" s="858">
        <v>0</v>
      </c>
      <c r="V27" s="436"/>
    </row>
    <row r="28" spans="1:22">
      <c r="A28" s="427">
        <v>3.6</v>
      </c>
      <c r="B28" s="457" t="s">
        <v>782</v>
      </c>
      <c r="C28" s="875">
        <v>49500.38</v>
      </c>
      <c r="D28" s="858">
        <v>0</v>
      </c>
      <c r="E28" s="858"/>
      <c r="F28" s="458"/>
      <c r="G28" s="858">
        <v>0</v>
      </c>
      <c r="H28" s="458"/>
      <c r="I28" s="458"/>
      <c r="J28" s="458"/>
      <c r="K28" s="458"/>
      <c r="L28" s="858">
        <v>0</v>
      </c>
      <c r="M28" s="458"/>
      <c r="N28" s="458"/>
      <c r="O28" s="458"/>
      <c r="P28" s="458"/>
      <c r="Q28" s="458"/>
      <c r="R28" s="458"/>
      <c r="S28" s="458"/>
      <c r="T28" s="458"/>
      <c r="U28" s="858">
        <v>0</v>
      </c>
      <c r="V28" s="436"/>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A5" sqref="A5:B7"/>
    </sheetView>
  </sheetViews>
  <sheetFormatPr defaultColWidth="9.140625" defaultRowHeight="12.75"/>
  <cols>
    <col min="1" max="1" width="11.85546875" style="413" bestFit="1" customWidth="1"/>
    <col min="2" max="2" width="90.28515625" style="413" bestFit="1" customWidth="1"/>
    <col min="3" max="3" width="20.140625" style="413" customWidth="1"/>
    <col min="4" max="4" width="22.28515625" style="413" customWidth="1"/>
    <col min="5" max="5" width="17.140625" style="413" customWidth="1"/>
    <col min="6" max="7" width="22.28515625" style="413" customWidth="1"/>
    <col min="8" max="8" width="17.140625" style="413" customWidth="1"/>
    <col min="9" max="14" width="22.28515625" style="413" customWidth="1"/>
    <col min="15" max="15" width="23.28515625" style="413" bestFit="1" customWidth="1"/>
    <col min="16" max="16" width="21.7109375" style="413" bestFit="1" customWidth="1"/>
    <col min="17" max="19" width="19" style="413" bestFit="1" customWidth="1"/>
    <col min="20" max="20" width="15.42578125" style="413" customWidth="1"/>
    <col min="21" max="21" width="20" style="413" customWidth="1"/>
    <col min="22" max="16384" width="9.140625" style="413"/>
  </cols>
  <sheetData>
    <row r="1" spans="1:21" ht="15">
      <c r="A1" s="531" t="s">
        <v>188</v>
      </c>
      <c r="B1" s="532" t="s">
        <v>960</v>
      </c>
    </row>
    <row r="2" spans="1:21" ht="15">
      <c r="A2" s="531" t="s">
        <v>189</v>
      </c>
      <c r="B2" s="533">
        <f>'1. key ratios'!B2</f>
        <v>44377</v>
      </c>
    </row>
    <row r="3" spans="1:21">
      <c r="A3" s="415" t="s">
        <v>785</v>
      </c>
      <c r="B3" s="416"/>
      <c r="C3" s="416"/>
    </row>
    <row r="4" spans="1:21">
      <c r="A4" s="415"/>
      <c r="B4" s="416"/>
      <c r="C4" s="416"/>
    </row>
    <row r="5" spans="1:21" ht="13.5" customHeight="1">
      <c r="A5" s="876" t="s">
        <v>786</v>
      </c>
      <c r="B5" s="877"/>
      <c r="C5" s="878" t="s">
        <v>787</v>
      </c>
      <c r="D5" s="879"/>
      <c r="E5" s="879"/>
      <c r="F5" s="879"/>
      <c r="G5" s="879"/>
      <c r="H5" s="879"/>
      <c r="I5" s="879"/>
      <c r="J5" s="879"/>
      <c r="K5" s="879"/>
      <c r="L5" s="879"/>
      <c r="M5" s="879"/>
      <c r="N5" s="879"/>
      <c r="O5" s="879"/>
      <c r="P5" s="879"/>
      <c r="Q5" s="879"/>
      <c r="R5" s="879"/>
      <c r="S5" s="879"/>
      <c r="T5" s="880"/>
      <c r="U5" s="452"/>
    </row>
    <row r="6" spans="1:21" ht="12.75" customHeight="1">
      <c r="A6" s="881"/>
      <c r="B6" s="882"/>
      <c r="C6" s="768" t="s">
        <v>68</v>
      </c>
      <c r="D6" s="878" t="s">
        <v>788</v>
      </c>
      <c r="E6" s="879"/>
      <c r="F6" s="880"/>
      <c r="G6" s="878" t="s">
        <v>789</v>
      </c>
      <c r="H6" s="879"/>
      <c r="I6" s="879"/>
      <c r="J6" s="879"/>
      <c r="K6" s="880"/>
      <c r="L6" s="883" t="s">
        <v>790</v>
      </c>
      <c r="M6" s="884"/>
      <c r="N6" s="884"/>
      <c r="O6" s="884"/>
      <c r="P6" s="884"/>
      <c r="Q6" s="884"/>
      <c r="R6" s="884"/>
      <c r="S6" s="884"/>
      <c r="T6" s="885"/>
      <c r="U6" s="453"/>
    </row>
    <row r="7" spans="1:21" ht="25.5">
      <c r="A7" s="886"/>
      <c r="B7" s="887"/>
      <c r="C7" s="768"/>
      <c r="D7" s="434"/>
      <c r="E7" s="473" t="s">
        <v>764</v>
      </c>
      <c r="F7" s="873" t="s">
        <v>765</v>
      </c>
      <c r="G7" s="434"/>
      <c r="H7" s="473" t="s">
        <v>764</v>
      </c>
      <c r="I7" s="873" t="s">
        <v>791</v>
      </c>
      <c r="J7" s="873" t="s">
        <v>766</v>
      </c>
      <c r="K7" s="873" t="s">
        <v>767</v>
      </c>
      <c r="L7" s="888"/>
      <c r="M7" s="473" t="s">
        <v>768</v>
      </c>
      <c r="N7" s="873" t="s">
        <v>766</v>
      </c>
      <c r="O7" s="873" t="s">
        <v>769</v>
      </c>
      <c r="P7" s="873" t="s">
        <v>770</v>
      </c>
      <c r="Q7" s="873" t="s">
        <v>771</v>
      </c>
      <c r="R7" s="873" t="s">
        <v>772</v>
      </c>
      <c r="S7" s="873" t="s">
        <v>773</v>
      </c>
      <c r="T7" s="889" t="s">
        <v>774</v>
      </c>
      <c r="U7" s="452"/>
    </row>
    <row r="8" spans="1:21">
      <c r="A8" s="459">
        <v>1</v>
      </c>
      <c r="B8" s="450" t="s">
        <v>776</v>
      </c>
      <c r="C8" s="890">
        <v>227525963.69999996</v>
      </c>
      <c r="D8" s="858">
        <v>206961047.76999995</v>
      </c>
      <c r="E8" s="858">
        <v>207.86</v>
      </c>
      <c r="F8" s="858">
        <v>0</v>
      </c>
      <c r="G8" s="858">
        <v>15223274.129999999</v>
      </c>
      <c r="H8" s="858">
        <v>218918.16</v>
      </c>
      <c r="I8" s="858">
        <v>0</v>
      </c>
      <c r="J8" s="858">
        <v>0</v>
      </c>
      <c r="K8" s="858">
        <v>0</v>
      </c>
      <c r="L8" s="858">
        <v>5341641.8</v>
      </c>
      <c r="M8" s="858">
        <v>796923.36</v>
      </c>
      <c r="N8" s="858">
        <v>14156.31</v>
      </c>
      <c r="O8" s="858">
        <v>33262.369999999995</v>
      </c>
      <c r="P8" s="858">
        <v>153922.97999999989</v>
      </c>
      <c r="Q8" s="858">
        <v>12013.75</v>
      </c>
      <c r="R8" s="858">
        <v>1878631.0799999998</v>
      </c>
      <c r="S8" s="858">
        <v>192403.22999999998</v>
      </c>
      <c r="T8" s="858">
        <v>0</v>
      </c>
      <c r="U8" s="436"/>
    </row>
    <row r="9" spans="1:21">
      <c r="A9" s="457">
        <v>1.1000000000000001</v>
      </c>
      <c r="B9" s="457" t="s">
        <v>792</v>
      </c>
      <c r="C9" s="875">
        <v>184874489.31999996</v>
      </c>
      <c r="D9" s="858">
        <v>164523747.88000003</v>
      </c>
      <c r="E9" s="858">
        <v>207.86</v>
      </c>
      <c r="F9" s="858">
        <v>0</v>
      </c>
      <c r="G9" s="858">
        <v>15222305.649999997</v>
      </c>
      <c r="H9" s="858">
        <v>218918.16</v>
      </c>
      <c r="I9" s="858">
        <v>0</v>
      </c>
      <c r="J9" s="858">
        <v>0</v>
      </c>
      <c r="K9" s="858">
        <v>0</v>
      </c>
      <c r="L9" s="858">
        <v>5128435.790000001</v>
      </c>
      <c r="M9" s="858">
        <v>796240.22999999986</v>
      </c>
      <c r="N9" s="858">
        <v>14156.31</v>
      </c>
      <c r="O9" s="858">
        <v>33262.370000000003</v>
      </c>
      <c r="P9" s="858">
        <v>145600.95000000001</v>
      </c>
      <c r="Q9" s="858">
        <v>151.5</v>
      </c>
      <c r="R9" s="858">
        <v>1820356.88</v>
      </c>
      <c r="S9" s="858">
        <v>148779.10999999999</v>
      </c>
      <c r="T9" s="858">
        <v>0</v>
      </c>
      <c r="U9" s="436"/>
    </row>
    <row r="10" spans="1:21">
      <c r="A10" s="460" t="s">
        <v>252</v>
      </c>
      <c r="B10" s="460" t="s">
        <v>793</v>
      </c>
      <c r="C10" s="891">
        <v>112893542.26000001</v>
      </c>
      <c r="D10" s="858">
        <v>103365301.80999997</v>
      </c>
      <c r="E10" s="858">
        <v>0</v>
      </c>
      <c r="F10" s="858">
        <v>0</v>
      </c>
      <c r="G10" s="858">
        <v>4856117.2200000016</v>
      </c>
      <c r="H10" s="858">
        <v>218918.16</v>
      </c>
      <c r="I10" s="858">
        <v>0</v>
      </c>
      <c r="J10" s="858">
        <v>0</v>
      </c>
      <c r="K10" s="858">
        <v>0</v>
      </c>
      <c r="L10" s="858">
        <v>4672123.2299999995</v>
      </c>
      <c r="M10" s="858">
        <v>795870.35999999987</v>
      </c>
      <c r="N10" s="858">
        <v>14156.31</v>
      </c>
      <c r="O10" s="858">
        <v>29706.34</v>
      </c>
      <c r="P10" s="858">
        <v>145600.95000000001</v>
      </c>
      <c r="Q10" s="858">
        <v>0</v>
      </c>
      <c r="R10" s="858">
        <v>1798619.39</v>
      </c>
      <c r="S10" s="858">
        <v>0</v>
      </c>
      <c r="T10" s="858">
        <v>0</v>
      </c>
      <c r="U10" s="436"/>
    </row>
    <row r="11" spans="1:21">
      <c r="A11" s="461" t="s">
        <v>794</v>
      </c>
      <c r="B11" s="462" t="s">
        <v>795</v>
      </c>
      <c r="C11" s="892">
        <v>87487470.870000005</v>
      </c>
      <c r="D11" s="858">
        <v>78020605.909999967</v>
      </c>
      <c r="E11" s="858">
        <v>0</v>
      </c>
      <c r="F11" s="858">
        <v>0</v>
      </c>
      <c r="G11" s="858">
        <v>4856117.2200000016</v>
      </c>
      <c r="H11" s="858">
        <v>218918.16</v>
      </c>
      <c r="I11" s="858">
        <v>0</v>
      </c>
      <c r="J11" s="858">
        <v>0</v>
      </c>
      <c r="K11" s="858">
        <v>0</v>
      </c>
      <c r="L11" s="858">
        <v>4610747.7399999993</v>
      </c>
      <c r="M11" s="858">
        <v>795870.35999999987</v>
      </c>
      <c r="N11" s="858">
        <v>14156.31</v>
      </c>
      <c r="O11" s="858">
        <v>29706.34</v>
      </c>
      <c r="P11" s="858">
        <v>145600.95000000001</v>
      </c>
      <c r="Q11" s="858">
        <v>0</v>
      </c>
      <c r="R11" s="858">
        <v>1798619.39</v>
      </c>
      <c r="S11" s="858">
        <v>0</v>
      </c>
      <c r="T11" s="858">
        <v>0</v>
      </c>
      <c r="U11" s="436"/>
    </row>
    <row r="12" spans="1:21">
      <c r="A12" s="461" t="s">
        <v>796</v>
      </c>
      <c r="B12" s="462" t="s">
        <v>797</v>
      </c>
      <c r="C12" s="892">
        <v>5629742.9500000002</v>
      </c>
      <c r="D12" s="858">
        <v>5629742.9500000002</v>
      </c>
      <c r="E12" s="858">
        <v>0</v>
      </c>
      <c r="F12" s="858">
        <v>0</v>
      </c>
      <c r="G12" s="858">
        <v>0</v>
      </c>
      <c r="H12" s="858">
        <v>0</v>
      </c>
      <c r="I12" s="858">
        <v>0</v>
      </c>
      <c r="J12" s="858">
        <v>0</v>
      </c>
      <c r="K12" s="858">
        <v>0</v>
      </c>
      <c r="L12" s="858">
        <v>0</v>
      </c>
      <c r="M12" s="858">
        <v>0</v>
      </c>
      <c r="N12" s="858">
        <v>0</v>
      </c>
      <c r="O12" s="858">
        <v>0</v>
      </c>
      <c r="P12" s="858">
        <v>0</v>
      </c>
      <c r="Q12" s="858">
        <v>0</v>
      </c>
      <c r="R12" s="858">
        <v>0</v>
      </c>
      <c r="S12" s="858">
        <v>0</v>
      </c>
      <c r="T12" s="858">
        <v>0</v>
      </c>
      <c r="U12" s="436"/>
    </row>
    <row r="13" spans="1:21">
      <c r="A13" s="461" t="s">
        <v>798</v>
      </c>
      <c r="B13" s="462" t="s">
        <v>799</v>
      </c>
      <c r="C13" s="892">
        <v>465489.72</v>
      </c>
      <c r="D13" s="858">
        <v>465489.72</v>
      </c>
      <c r="E13" s="858">
        <v>0</v>
      </c>
      <c r="F13" s="858">
        <v>0</v>
      </c>
      <c r="G13" s="858">
        <v>0</v>
      </c>
      <c r="H13" s="858">
        <v>0</v>
      </c>
      <c r="I13" s="858">
        <v>0</v>
      </c>
      <c r="J13" s="858">
        <v>0</v>
      </c>
      <c r="K13" s="858">
        <v>0</v>
      </c>
      <c r="L13" s="858">
        <v>0</v>
      </c>
      <c r="M13" s="858">
        <v>0</v>
      </c>
      <c r="N13" s="858">
        <v>0</v>
      </c>
      <c r="O13" s="858">
        <v>0</v>
      </c>
      <c r="P13" s="858">
        <v>0</v>
      </c>
      <c r="Q13" s="858">
        <v>0</v>
      </c>
      <c r="R13" s="858">
        <v>0</v>
      </c>
      <c r="S13" s="858">
        <v>0</v>
      </c>
      <c r="T13" s="858">
        <v>0</v>
      </c>
      <c r="U13" s="436"/>
    </row>
    <row r="14" spans="1:21">
      <c r="A14" s="461" t="s">
        <v>800</v>
      </c>
      <c r="B14" s="462" t="s">
        <v>801</v>
      </c>
      <c r="C14" s="892">
        <v>19310838.719999999</v>
      </c>
      <c r="D14" s="858">
        <v>19249463.23</v>
      </c>
      <c r="E14" s="858">
        <v>0</v>
      </c>
      <c r="F14" s="858">
        <v>0</v>
      </c>
      <c r="G14" s="858">
        <v>0</v>
      </c>
      <c r="H14" s="858">
        <v>0</v>
      </c>
      <c r="I14" s="858">
        <v>0</v>
      </c>
      <c r="J14" s="858">
        <v>0</v>
      </c>
      <c r="K14" s="858">
        <v>0</v>
      </c>
      <c r="L14" s="858">
        <v>61375.49</v>
      </c>
      <c r="M14" s="858">
        <v>0</v>
      </c>
      <c r="N14" s="858">
        <v>0</v>
      </c>
      <c r="O14" s="858">
        <v>0</v>
      </c>
      <c r="P14" s="858">
        <v>0</v>
      </c>
      <c r="Q14" s="858">
        <v>0</v>
      </c>
      <c r="R14" s="858">
        <v>0</v>
      </c>
      <c r="S14" s="858">
        <v>0</v>
      </c>
      <c r="T14" s="858">
        <v>0</v>
      </c>
      <c r="U14" s="436"/>
    </row>
    <row r="15" spans="1:21">
      <c r="A15" s="463">
        <v>1.2</v>
      </c>
      <c r="B15" s="464" t="s">
        <v>802</v>
      </c>
      <c r="C15" s="875">
        <v>6938128.5926000047</v>
      </c>
      <c r="D15" s="858">
        <v>3290474.9575999998</v>
      </c>
      <c r="E15" s="858">
        <v>4.1572000000000005</v>
      </c>
      <c r="F15" s="858">
        <v>0</v>
      </c>
      <c r="G15" s="858">
        <v>1522230.5649999997</v>
      </c>
      <c r="H15" s="858">
        <v>21891.816000000003</v>
      </c>
      <c r="I15" s="858">
        <v>0</v>
      </c>
      <c r="J15" s="858">
        <v>0</v>
      </c>
      <c r="K15" s="858">
        <v>0</v>
      </c>
      <c r="L15" s="858">
        <v>2125423.0699999989</v>
      </c>
      <c r="M15" s="858">
        <v>258551.74299999999</v>
      </c>
      <c r="N15" s="858">
        <v>7078.1549999999997</v>
      </c>
      <c r="O15" s="858">
        <v>12467.932000000001</v>
      </c>
      <c r="P15" s="858">
        <v>43680.285000000003</v>
      </c>
      <c r="Q15" s="858">
        <v>151.5</v>
      </c>
      <c r="R15" s="858">
        <v>561323.30699999991</v>
      </c>
      <c r="S15" s="858">
        <v>148779.10999999999</v>
      </c>
      <c r="T15" s="858">
        <v>0</v>
      </c>
      <c r="U15" s="436"/>
    </row>
    <row r="16" spans="1:21">
      <c r="A16" s="465">
        <v>1.3</v>
      </c>
      <c r="B16" s="464" t="s">
        <v>803</v>
      </c>
      <c r="C16" s="466"/>
      <c r="D16" s="466"/>
      <c r="E16" s="466"/>
      <c r="F16" s="466"/>
      <c r="G16" s="466"/>
      <c r="H16" s="466"/>
      <c r="I16" s="466"/>
      <c r="J16" s="466"/>
      <c r="K16" s="466"/>
      <c r="L16" s="466"/>
      <c r="M16" s="466"/>
      <c r="N16" s="466"/>
      <c r="O16" s="466"/>
      <c r="P16" s="466"/>
      <c r="Q16" s="466"/>
      <c r="R16" s="466"/>
      <c r="S16" s="466"/>
      <c r="T16" s="466"/>
      <c r="U16" s="436"/>
    </row>
    <row r="17" spans="1:21" s="434" customFormat="1" ht="25.5">
      <c r="A17" s="467" t="s">
        <v>804</v>
      </c>
      <c r="B17" s="468" t="s">
        <v>805</v>
      </c>
      <c r="C17" s="893">
        <v>181507920.40260959</v>
      </c>
      <c r="D17" s="858">
        <v>161159154.45260963</v>
      </c>
      <c r="E17" s="858">
        <v>207.86</v>
      </c>
      <c r="F17" s="858">
        <v>0</v>
      </c>
      <c r="G17" s="858">
        <v>15222305.649999997</v>
      </c>
      <c r="H17" s="858">
        <v>218918.16</v>
      </c>
      <c r="I17" s="858">
        <v>0</v>
      </c>
      <c r="J17" s="858">
        <v>0</v>
      </c>
      <c r="K17" s="858">
        <v>0</v>
      </c>
      <c r="L17" s="858">
        <v>5126460.3000000007</v>
      </c>
      <c r="M17" s="858">
        <v>796240.22999999986</v>
      </c>
      <c r="N17" s="858">
        <v>14156.31</v>
      </c>
      <c r="O17" s="858">
        <v>33262.370000000003</v>
      </c>
      <c r="P17" s="858">
        <v>145600.95000000001</v>
      </c>
      <c r="Q17" s="858">
        <v>151.5</v>
      </c>
      <c r="R17" s="858">
        <v>1820356.88</v>
      </c>
      <c r="S17" s="858">
        <v>148779.10999999999</v>
      </c>
      <c r="T17" s="858">
        <v>0</v>
      </c>
      <c r="U17" s="440"/>
    </row>
    <row r="18" spans="1:21" s="434" customFormat="1" ht="25.5">
      <c r="A18" s="469" t="s">
        <v>806</v>
      </c>
      <c r="B18" s="469" t="s">
        <v>807</v>
      </c>
      <c r="C18" s="894">
        <v>99897019.21040301</v>
      </c>
      <c r="D18" s="858">
        <v>90370754.250402972</v>
      </c>
      <c r="E18" s="858">
        <v>0</v>
      </c>
      <c r="F18" s="858">
        <v>0</v>
      </c>
      <c r="G18" s="858">
        <v>4856117.2200000016</v>
      </c>
      <c r="H18" s="858">
        <v>218918.16</v>
      </c>
      <c r="I18" s="858">
        <v>0</v>
      </c>
      <c r="J18" s="858">
        <v>0</v>
      </c>
      <c r="K18" s="858">
        <v>0</v>
      </c>
      <c r="L18" s="858">
        <v>4670147.7399999993</v>
      </c>
      <c r="M18" s="858">
        <v>795870.35999999987</v>
      </c>
      <c r="N18" s="858">
        <v>14156.31</v>
      </c>
      <c r="O18" s="858">
        <v>29706.34</v>
      </c>
      <c r="P18" s="858">
        <v>145600.95000000001</v>
      </c>
      <c r="Q18" s="858">
        <v>0</v>
      </c>
      <c r="R18" s="858">
        <v>1798619.39</v>
      </c>
      <c r="S18" s="858">
        <v>0</v>
      </c>
      <c r="T18" s="858">
        <v>0</v>
      </c>
      <c r="U18" s="440"/>
    </row>
    <row r="19" spans="1:21" s="434" customFormat="1">
      <c r="A19" s="467" t="s">
        <v>808</v>
      </c>
      <c r="B19" s="470" t="s">
        <v>809</v>
      </c>
      <c r="C19" s="895">
        <v>192003282.46827212</v>
      </c>
      <c r="D19" s="858">
        <v>166451153.31490934</v>
      </c>
      <c r="E19" s="858">
        <v>0</v>
      </c>
      <c r="F19" s="858">
        <v>0</v>
      </c>
      <c r="G19" s="858">
        <v>11756183.630277997</v>
      </c>
      <c r="H19" s="858">
        <v>223523.84</v>
      </c>
      <c r="I19" s="858">
        <v>0</v>
      </c>
      <c r="J19" s="858">
        <v>0</v>
      </c>
      <c r="K19" s="858">
        <v>0</v>
      </c>
      <c r="L19" s="858">
        <v>13795945.523084782</v>
      </c>
      <c r="M19" s="858">
        <v>4624908.4899999993</v>
      </c>
      <c r="N19" s="858">
        <v>80587.649999999994</v>
      </c>
      <c r="O19" s="858">
        <v>121988.05999999997</v>
      </c>
      <c r="P19" s="858">
        <v>252596.84999999998</v>
      </c>
      <c r="Q19" s="858">
        <v>40122.11</v>
      </c>
      <c r="R19" s="858">
        <v>4023061.8999999994</v>
      </c>
      <c r="S19" s="858">
        <v>0</v>
      </c>
      <c r="T19" s="858">
        <v>0</v>
      </c>
      <c r="U19" s="440"/>
    </row>
    <row r="20" spans="1:21" s="434" customFormat="1">
      <c r="A20" s="469" t="s">
        <v>810</v>
      </c>
      <c r="B20" s="469" t="s">
        <v>811</v>
      </c>
      <c r="C20" s="894">
        <v>125664917.40617377</v>
      </c>
      <c r="D20" s="858">
        <v>109495758.27480537</v>
      </c>
      <c r="E20" s="858">
        <v>0</v>
      </c>
      <c r="F20" s="858">
        <v>0</v>
      </c>
      <c r="G20" s="858">
        <v>5622041.7861483339</v>
      </c>
      <c r="H20" s="858">
        <v>223523.84</v>
      </c>
      <c r="I20" s="858">
        <v>0</v>
      </c>
      <c r="J20" s="858">
        <v>0</v>
      </c>
      <c r="K20" s="858">
        <v>0</v>
      </c>
      <c r="L20" s="858">
        <v>10547117.345220003</v>
      </c>
      <c r="M20" s="858">
        <v>3867152.2899999996</v>
      </c>
      <c r="N20" s="858">
        <v>66431.34</v>
      </c>
      <c r="O20" s="858">
        <v>121988.05999999997</v>
      </c>
      <c r="P20" s="858">
        <v>252596.84999999998</v>
      </c>
      <c r="Q20" s="858">
        <v>0</v>
      </c>
      <c r="R20" s="858">
        <v>2224442.5099999998</v>
      </c>
      <c r="S20" s="858">
        <v>0</v>
      </c>
      <c r="T20" s="858">
        <v>0</v>
      </c>
      <c r="U20" s="440"/>
    </row>
    <row r="21" spans="1:21" s="434" customFormat="1">
      <c r="A21" s="471">
        <v>1.4</v>
      </c>
      <c r="B21" s="512" t="s">
        <v>946</v>
      </c>
      <c r="C21" s="896"/>
      <c r="D21" s="858"/>
      <c r="E21" s="858"/>
      <c r="F21" s="858"/>
      <c r="G21" s="858"/>
      <c r="H21" s="858"/>
      <c r="I21" s="858"/>
      <c r="J21" s="858"/>
      <c r="K21" s="858"/>
      <c r="L21" s="858"/>
      <c r="M21" s="858"/>
      <c r="N21" s="858"/>
      <c r="O21" s="858"/>
      <c r="P21" s="858"/>
      <c r="Q21" s="858"/>
      <c r="R21" s="858"/>
      <c r="S21" s="858"/>
      <c r="T21" s="858"/>
      <c r="U21" s="440"/>
    </row>
    <row r="22" spans="1:21" s="434" customFormat="1">
      <c r="A22" s="471">
        <v>1.5</v>
      </c>
      <c r="B22" s="512" t="s">
        <v>947</v>
      </c>
      <c r="C22" s="896"/>
      <c r="D22" s="858"/>
      <c r="E22" s="858"/>
      <c r="F22" s="858"/>
      <c r="G22" s="858"/>
      <c r="H22" s="858"/>
      <c r="I22" s="858"/>
      <c r="J22" s="858"/>
      <c r="K22" s="858"/>
      <c r="L22" s="858"/>
      <c r="M22" s="858"/>
      <c r="N22" s="858"/>
      <c r="O22" s="858"/>
      <c r="P22" s="858"/>
      <c r="Q22" s="858"/>
      <c r="R22" s="858"/>
      <c r="S22" s="858"/>
      <c r="T22" s="858"/>
      <c r="U22" s="440"/>
    </row>
  </sheetData>
  <mergeCells count="6">
    <mergeCell ref="A5:B7"/>
    <mergeCell ref="D6:F6"/>
    <mergeCell ref="G6:K6"/>
    <mergeCell ref="L6:T6"/>
    <mergeCell ref="C6:C7"/>
    <mergeCell ref="C5:T5"/>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election activeCell="A5" sqref="A5:B6"/>
    </sheetView>
  </sheetViews>
  <sheetFormatPr defaultColWidth="9.140625" defaultRowHeight="12.75"/>
  <cols>
    <col min="1" max="1" width="11.85546875" style="413" bestFit="1" customWidth="1"/>
    <col min="2" max="2" width="61.5703125" style="413" bestFit="1" customWidth="1"/>
    <col min="3" max="3" width="12.28515625" style="413" bestFit="1" customWidth="1"/>
    <col min="4" max="4" width="13.42578125" style="413" bestFit="1" customWidth="1"/>
    <col min="5" max="5" width="12.42578125" style="413" bestFit="1" customWidth="1"/>
    <col min="6" max="6" width="16.140625" style="475" bestFit="1" customWidth="1"/>
    <col min="7" max="7" width="7.7109375" style="475" bestFit="1" customWidth="1"/>
    <col min="8" max="9" width="10.28515625" style="413" bestFit="1" customWidth="1"/>
    <col min="10" max="10" width="13.42578125" style="475" bestFit="1" customWidth="1"/>
    <col min="11" max="11" width="12.42578125" style="475" bestFit="1" customWidth="1"/>
    <col min="12" max="12" width="16.140625" style="475" bestFit="1" customWidth="1"/>
    <col min="13" max="13" width="7.7109375" style="475" bestFit="1" customWidth="1"/>
    <col min="14" max="14" width="10.28515625" style="475" bestFit="1" customWidth="1"/>
    <col min="15" max="15" width="18.28515625" style="413" bestFit="1" customWidth="1"/>
    <col min="16" max="16384" width="9.140625" style="413"/>
  </cols>
  <sheetData>
    <row r="1" spans="1:15" ht="15">
      <c r="A1" s="531" t="s">
        <v>188</v>
      </c>
      <c r="B1" s="532" t="s">
        <v>960</v>
      </c>
      <c r="F1" s="413"/>
      <c r="G1" s="413"/>
      <c r="J1" s="413"/>
      <c r="K1" s="413"/>
      <c r="L1" s="413"/>
      <c r="M1" s="413"/>
      <c r="N1" s="413"/>
    </row>
    <row r="2" spans="1:15" ht="15">
      <c r="A2" s="531" t="s">
        <v>189</v>
      </c>
      <c r="B2" s="533">
        <f>'1. key ratios'!B2</f>
        <v>44377</v>
      </c>
      <c r="F2" s="413"/>
      <c r="G2" s="413"/>
      <c r="J2" s="413"/>
      <c r="K2" s="413"/>
      <c r="L2" s="413"/>
      <c r="M2" s="413"/>
      <c r="N2" s="413"/>
    </row>
    <row r="3" spans="1:15">
      <c r="A3" s="415" t="s">
        <v>814</v>
      </c>
      <c r="B3" s="416"/>
      <c r="F3" s="413"/>
      <c r="G3" s="413"/>
      <c r="J3" s="413"/>
      <c r="K3" s="413"/>
      <c r="L3" s="413"/>
      <c r="M3" s="413"/>
      <c r="N3" s="413"/>
    </row>
    <row r="4" spans="1:15">
      <c r="F4" s="413"/>
      <c r="G4" s="413"/>
      <c r="J4" s="413"/>
      <c r="K4" s="413"/>
      <c r="L4" s="413"/>
      <c r="M4" s="413"/>
      <c r="N4" s="413"/>
    </row>
    <row r="5" spans="1:15" ht="37.5" customHeight="1">
      <c r="A5" s="763" t="s">
        <v>815</v>
      </c>
      <c r="B5" s="764"/>
      <c r="C5" s="775" t="s">
        <v>816</v>
      </c>
      <c r="D5" s="776"/>
      <c r="E5" s="776"/>
      <c r="F5" s="776"/>
      <c r="G5" s="776"/>
      <c r="H5" s="777"/>
      <c r="I5" s="778" t="s">
        <v>817</v>
      </c>
      <c r="J5" s="779"/>
      <c r="K5" s="779"/>
      <c r="L5" s="779"/>
      <c r="M5" s="779"/>
      <c r="N5" s="780"/>
      <c r="O5" s="781" t="s">
        <v>687</v>
      </c>
    </row>
    <row r="6" spans="1:15" ht="39.6" customHeight="1">
      <c r="A6" s="765"/>
      <c r="B6" s="766"/>
      <c r="C6" s="472"/>
      <c r="D6" s="473" t="s">
        <v>818</v>
      </c>
      <c r="E6" s="473" t="s">
        <v>819</v>
      </c>
      <c r="F6" s="473" t="s">
        <v>820</v>
      </c>
      <c r="G6" s="473" t="s">
        <v>821</v>
      </c>
      <c r="H6" s="473" t="s">
        <v>822</v>
      </c>
      <c r="I6" s="524"/>
      <c r="J6" s="473" t="s">
        <v>818</v>
      </c>
      <c r="K6" s="473" t="s">
        <v>819</v>
      </c>
      <c r="L6" s="473" t="s">
        <v>820</v>
      </c>
      <c r="M6" s="473" t="s">
        <v>821</v>
      </c>
      <c r="N6" s="473" t="s">
        <v>822</v>
      </c>
      <c r="O6" s="782"/>
    </row>
    <row r="7" spans="1:15" ht="18">
      <c r="A7" s="427">
        <v>1</v>
      </c>
      <c r="B7" s="435" t="s">
        <v>697</v>
      </c>
      <c r="C7" s="897">
        <v>11136045.25</v>
      </c>
      <c r="D7" s="858">
        <v>11124504.52</v>
      </c>
      <c r="E7" s="858">
        <v>4387.9399999999996</v>
      </c>
      <c r="F7" s="898">
        <v>0</v>
      </c>
      <c r="G7" s="858">
        <v>3324.96</v>
      </c>
      <c r="H7" s="858">
        <v>3827.83</v>
      </c>
      <c r="I7" s="858">
        <v>228419.19440000001</v>
      </c>
      <c r="J7" s="858">
        <v>222490.09039999999</v>
      </c>
      <c r="K7" s="858">
        <v>438.79399999999993</v>
      </c>
      <c r="L7" s="858">
        <v>0</v>
      </c>
      <c r="M7" s="858">
        <v>1662.48</v>
      </c>
      <c r="N7" s="858">
        <v>3827.83</v>
      </c>
      <c r="O7" s="858"/>
    </row>
    <row r="8" spans="1:15">
      <c r="A8" s="427">
        <v>2</v>
      </c>
      <c r="B8" s="435" t="s">
        <v>698</v>
      </c>
      <c r="C8" s="897">
        <v>38035349.730000004</v>
      </c>
      <c r="D8" s="858">
        <v>37921249.07</v>
      </c>
      <c r="E8" s="858">
        <v>110995.14</v>
      </c>
      <c r="F8" s="899">
        <v>0</v>
      </c>
      <c r="G8" s="899">
        <v>3105.52</v>
      </c>
      <c r="H8" s="858">
        <v>0</v>
      </c>
      <c r="I8" s="858">
        <v>615546.2746</v>
      </c>
      <c r="J8" s="899">
        <v>602894.00059999991</v>
      </c>
      <c r="K8" s="899">
        <v>11099.513999999999</v>
      </c>
      <c r="L8" s="899">
        <v>0</v>
      </c>
      <c r="M8" s="899">
        <v>1552.76</v>
      </c>
      <c r="N8" s="899">
        <v>0</v>
      </c>
      <c r="O8" s="858"/>
    </row>
    <row r="9" spans="1:15">
      <c r="A9" s="427">
        <v>3</v>
      </c>
      <c r="B9" s="435" t="s">
        <v>699</v>
      </c>
      <c r="C9" s="897">
        <v>0</v>
      </c>
      <c r="D9" s="858">
        <v>0</v>
      </c>
      <c r="E9" s="858">
        <v>0</v>
      </c>
      <c r="F9" s="900">
        <v>0</v>
      </c>
      <c r="G9" s="900">
        <v>0</v>
      </c>
      <c r="H9" s="858">
        <v>0</v>
      </c>
      <c r="I9" s="858">
        <v>0</v>
      </c>
      <c r="J9" s="900">
        <v>0</v>
      </c>
      <c r="K9" s="900">
        <v>0</v>
      </c>
      <c r="L9" s="900">
        <v>0</v>
      </c>
      <c r="M9" s="900">
        <v>0</v>
      </c>
      <c r="N9" s="900">
        <v>0</v>
      </c>
      <c r="O9" s="858"/>
    </row>
    <row r="10" spans="1:15">
      <c r="A10" s="427">
        <v>4</v>
      </c>
      <c r="B10" s="435" t="s">
        <v>700</v>
      </c>
      <c r="C10" s="897">
        <v>17664144.449999999</v>
      </c>
      <c r="D10" s="858">
        <v>17006179.699999999</v>
      </c>
      <c r="E10" s="858">
        <v>0</v>
      </c>
      <c r="F10" s="900">
        <v>657951.05000000005</v>
      </c>
      <c r="G10" s="900">
        <v>0</v>
      </c>
      <c r="H10" s="858">
        <v>13.7</v>
      </c>
      <c r="I10" s="858">
        <v>537522.60900000005</v>
      </c>
      <c r="J10" s="900">
        <v>340123.59399999998</v>
      </c>
      <c r="K10" s="900">
        <v>0</v>
      </c>
      <c r="L10" s="900">
        <v>197385.31500000003</v>
      </c>
      <c r="M10" s="900">
        <v>0</v>
      </c>
      <c r="N10" s="900">
        <v>13.7</v>
      </c>
      <c r="O10" s="858"/>
    </row>
    <row r="11" spans="1:15">
      <c r="A11" s="427">
        <v>5</v>
      </c>
      <c r="B11" s="435" t="s">
        <v>701</v>
      </c>
      <c r="C11" s="897">
        <v>14708314.120000001</v>
      </c>
      <c r="D11" s="858">
        <v>14708314.120000001</v>
      </c>
      <c r="E11" s="858">
        <v>0</v>
      </c>
      <c r="F11" s="900">
        <v>0</v>
      </c>
      <c r="G11" s="900">
        <v>0</v>
      </c>
      <c r="H11" s="858">
        <v>0</v>
      </c>
      <c r="I11" s="858">
        <v>294166.28240000003</v>
      </c>
      <c r="J11" s="900">
        <v>294166.28240000003</v>
      </c>
      <c r="K11" s="900">
        <v>0</v>
      </c>
      <c r="L11" s="900">
        <v>0</v>
      </c>
      <c r="M11" s="900">
        <v>0</v>
      </c>
      <c r="N11" s="900">
        <v>0</v>
      </c>
      <c r="O11" s="858"/>
    </row>
    <row r="12" spans="1:15">
      <c r="A12" s="427">
        <v>6</v>
      </c>
      <c r="B12" s="435" t="s">
        <v>702</v>
      </c>
      <c r="C12" s="897">
        <v>949075.22</v>
      </c>
      <c r="D12" s="858">
        <v>855021.82</v>
      </c>
      <c r="E12" s="858">
        <v>23244.54</v>
      </c>
      <c r="F12" s="900">
        <v>37305.160000000003</v>
      </c>
      <c r="G12" s="900">
        <v>14156.31</v>
      </c>
      <c r="H12" s="858">
        <v>19347.39</v>
      </c>
      <c r="I12" s="858">
        <v>57041.983399999997</v>
      </c>
      <c r="J12" s="900">
        <v>17100.436399999999</v>
      </c>
      <c r="K12" s="900">
        <v>2324.4540000000002</v>
      </c>
      <c r="L12" s="900">
        <v>11191.548000000001</v>
      </c>
      <c r="M12" s="900">
        <v>7078.1549999999997</v>
      </c>
      <c r="N12" s="900">
        <v>19347.39</v>
      </c>
      <c r="O12" s="858"/>
    </row>
    <row r="13" spans="1:15">
      <c r="A13" s="427">
        <v>7</v>
      </c>
      <c r="B13" s="435" t="s">
        <v>703</v>
      </c>
      <c r="C13" s="897">
        <v>17390663.949999999</v>
      </c>
      <c r="D13" s="858">
        <v>17390663.949999999</v>
      </c>
      <c r="E13" s="858">
        <v>0</v>
      </c>
      <c r="F13" s="900">
        <v>0</v>
      </c>
      <c r="G13" s="900">
        <v>0</v>
      </c>
      <c r="H13" s="858">
        <v>0</v>
      </c>
      <c r="I13" s="858">
        <v>347813.27899999998</v>
      </c>
      <c r="J13" s="900">
        <v>347813.27899999998</v>
      </c>
      <c r="K13" s="900">
        <v>0</v>
      </c>
      <c r="L13" s="900">
        <v>0</v>
      </c>
      <c r="M13" s="900">
        <v>0</v>
      </c>
      <c r="N13" s="900">
        <v>0</v>
      </c>
      <c r="O13" s="858"/>
    </row>
    <row r="14" spans="1:15">
      <c r="A14" s="427">
        <v>8</v>
      </c>
      <c r="B14" s="435" t="s">
        <v>704</v>
      </c>
      <c r="C14" s="897">
        <v>5754686.5999999987</v>
      </c>
      <c r="D14" s="858">
        <v>4775062.6099999994</v>
      </c>
      <c r="E14" s="858">
        <v>0</v>
      </c>
      <c r="F14" s="900">
        <v>757756.2</v>
      </c>
      <c r="G14" s="900">
        <v>0</v>
      </c>
      <c r="H14" s="858">
        <v>221867.79</v>
      </c>
      <c r="I14" s="858">
        <v>544695.90220000013</v>
      </c>
      <c r="J14" s="900">
        <v>95501.252199999988</v>
      </c>
      <c r="K14" s="900">
        <v>0</v>
      </c>
      <c r="L14" s="900">
        <v>227326.86</v>
      </c>
      <c r="M14" s="900">
        <v>0</v>
      </c>
      <c r="N14" s="900">
        <v>221867.79</v>
      </c>
      <c r="O14" s="858"/>
    </row>
    <row r="15" spans="1:15">
      <c r="A15" s="427">
        <v>9</v>
      </c>
      <c r="B15" s="435" t="s">
        <v>705</v>
      </c>
      <c r="C15" s="897">
        <v>7267976.6100000003</v>
      </c>
      <c r="D15" s="858">
        <v>7267976.6100000003</v>
      </c>
      <c r="E15" s="858">
        <v>0</v>
      </c>
      <c r="F15" s="900">
        <v>0</v>
      </c>
      <c r="G15" s="900">
        <v>0</v>
      </c>
      <c r="H15" s="858">
        <v>0</v>
      </c>
      <c r="I15" s="858">
        <v>145359.53220000002</v>
      </c>
      <c r="J15" s="900">
        <v>145359.53220000002</v>
      </c>
      <c r="K15" s="900">
        <v>0</v>
      </c>
      <c r="L15" s="900">
        <v>0</v>
      </c>
      <c r="M15" s="900">
        <v>0</v>
      </c>
      <c r="N15" s="900">
        <v>0</v>
      </c>
      <c r="O15" s="858"/>
    </row>
    <row r="16" spans="1:15">
      <c r="A16" s="427">
        <v>10</v>
      </c>
      <c r="B16" s="435" t="s">
        <v>706</v>
      </c>
      <c r="C16" s="897">
        <v>7836267.1799999997</v>
      </c>
      <c r="D16" s="858">
        <v>6037647.79</v>
      </c>
      <c r="E16" s="858">
        <v>0</v>
      </c>
      <c r="F16" s="900">
        <v>1798619.39</v>
      </c>
      <c r="G16" s="900">
        <v>0</v>
      </c>
      <c r="H16" s="858">
        <v>0</v>
      </c>
      <c r="I16" s="858">
        <v>660338.77279999992</v>
      </c>
      <c r="J16" s="900">
        <v>120752.95580000003</v>
      </c>
      <c r="K16" s="900">
        <v>0</v>
      </c>
      <c r="L16" s="900">
        <v>539585.81699999992</v>
      </c>
      <c r="M16" s="900">
        <v>0</v>
      </c>
      <c r="N16" s="900">
        <v>0</v>
      </c>
      <c r="O16" s="858"/>
    </row>
    <row r="17" spans="1:15">
      <c r="A17" s="427">
        <v>11</v>
      </c>
      <c r="B17" s="435" t="s">
        <v>707</v>
      </c>
      <c r="C17" s="897">
        <v>14525879.18</v>
      </c>
      <c r="D17" s="858">
        <v>4132293.96</v>
      </c>
      <c r="E17" s="858">
        <v>10366188.43</v>
      </c>
      <c r="F17" s="900">
        <v>1591.35</v>
      </c>
      <c r="G17" s="900">
        <v>5252.99</v>
      </c>
      <c r="H17" s="858">
        <v>20552.45</v>
      </c>
      <c r="I17" s="858">
        <v>1142921.0722000001</v>
      </c>
      <c r="J17" s="900">
        <v>82645.879199999996</v>
      </c>
      <c r="K17" s="900">
        <v>1036618.8430000001</v>
      </c>
      <c r="L17" s="900">
        <v>477.40499999999997</v>
      </c>
      <c r="M17" s="900">
        <v>2626.4949999999999</v>
      </c>
      <c r="N17" s="900">
        <v>20552.45</v>
      </c>
      <c r="O17" s="858"/>
    </row>
    <row r="18" spans="1:15">
      <c r="A18" s="427">
        <v>12</v>
      </c>
      <c r="B18" s="435" t="s">
        <v>708</v>
      </c>
      <c r="C18" s="897">
        <v>6025570.7600000007</v>
      </c>
      <c r="D18" s="858">
        <v>5188047.9399999995</v>
      </c>
      <c r="E18" s="858">
        <v>586889.82999999996</v>
      </c>
      <c r="F18" s="900">
        <v>98556.239999999991</v>
      </c>
      <c r="G18" s="900">
        <v>0</v>
      </c>
      <c r="H18" s="858">
        <v>152076.75</v>
      </c>
      <c r="I18" s="858">
        <v>344093.5638</v>
      </c>
      <c r="J18" s="900">
        <v>103760.95880000002</v>
      </c>
      <c r="K18" s="900">
        <v>58688.983</v>
      </c>
      <c r="L18" s="900">
        <v>29566.871999999999</v>
      </c>
      <c r="M18" s="900">
        <v>0</v>
      </c>
      <c r="N18" s="900">
        <v>152076.75</v>
      </c>
      <c r="O18" s="858"/>
    </row>
    <row r="19" spans="1:15">
      <c r="A19" s="427">
        <v>13</v>
      </c>
      <c r="B19" s="435" t="s">
        <v>709</v>
      </c>
      <c r="C19" s="897">
        <v>3530076.25</v>
      </c>
      <c r="D19" s="858">
        <v>316808.44000000006</v>
      </c>
      <c r="E19" s="858">
        <v>3154099.51</v>
      </c>
      <c r="F19" s="900">
        <v>32613.93</v>
      </c>
      <c r="G19" s="900">
        <v>3240.16</v>
      </c>
      <c r="H19" s="858">
        <v>23314.21</v>
      </c>
      <c r="I19" s="858">
        <v>356464.58880000003</v>
      </c>
      <c r="J19" s="900">
        <v>6336.1688000000004</v>
      </c>
      <c r="K19" s="900">
        <v>315409.951</v>
      </c>
      <c r="L19" s="900">
        <v>9784.1790000000001</v>
      </c>
      <c r="M19" s="900">
        <v>1620.08</v>
      </c>
      <c r="N19" s="900">
        <v>23314.21</v>
      </c>
      <c r="O19" s="858"/>
    </row>
    <row r="20" spans="1:15">
      <c r="A20" s="427">
        <v>14</v>
      </c>
      <c r="B20" s="435" t="s">
        <v>710</v>
      </c>
      <c r="C20" s="897">
        <v>16653880.689999998</v>
      </c>
      <c r="D20" s="858">
        <v>16000591.949999999</v>
      </c>
      <c r="E20" s="858">
        <v>1121.23</v>
      </c>
      <c r="F20" s="900">
        <v>525843.9</v>
      </c>
      <c r="G20" s="900">
        <v>10176.65</v>
      </c>
      <c r="H20" s="858">
        <v>116146.96</v>
      </c>
      <c r="I20" s="858">
        <v>599112.41700000002</v>
      </c>
      <c r="J20" s="900">
        <v>320011.83899999992</v>
      </c>
      <c r="K20" s="900">
        <v>112.12299999999999</v>
      </c>
      <c r="L20" s="900">
        <v>157753.17000000001</v>
      </c>
      <c r="M20" s="900">
        <v>5088.3249999999998</v>
      </c>
      <c r="N20" s="900">
        <v>116146.96</v>
      </c>
      <c r="O20" s="858"/>
    </row>
    <row r="21" spans="1:15">
      <c r="A21" s="427">
        <v>15</v>
      </c>
      <c r="B21" s="435" t="s">
        <v>711</v>
      </c>
      <c r="C21" s="897">
        <v>2545166.2599999998</v>
      </c>
      <c r="D21" s="858">
        <v>2364072.2799999998</v>
      </c>
      <c r="E21" s="858">
        <v>0</v>
      </c>
      <c r="F21" s="900">
        <v>180630.89</v>
      </c>
      <c r="G21" s="900">
        <v>0</v>
      </c>
      <c r="H21" s="858">
        <v>463.09</v>
      </c>
      <c r="I21" s="858">
        <v>101933.8026</v>
      </c>
      <c r="J21" s="900">
        <v>47281.445599999999</v>
      </c>
      <c r="K21" s="900">
        <v>0</v>
      </c>
      <c r="L21" s="900">
        <v>54189.267</v>
      </c>
      <c r="M21" s="900">
        <v>0</v>
      </c>
      <c r="N21" s="900">
        <v>463.09</v>
      </c>
      <c r="O21" s="858"/>
    </row>
    <row r="22" spans="1:15">
      <c r="A22" s="427">
        <v>16</v>
      </c>
      <c r="B22" s="435" t="s">
        <v>712</v>
      </c>
      <c r="C22" s="897">
        <v>0</v>
      </c>
      <c r="D22" s="858">
        <v>0</v>
      </c>
      <c r="E22" s="858">
        <v>0</v>
      </c>
      <c r="F22" s="900">
        <v>0</v>
      </c>
      <c r="G22" s="900">
        <v>0</v>
      </c>
      <c r="H22" s="858">
        <v>0</v>
      </c>
      <c r="I22" s="858">
        <v>0</v>
      </c>
      <c r="J22" s="900">
        <v>0</v>
      </c>
      <c r="K22" s="900">
        <v>0</v>
      </c>
      <c r="L22" s="900">
        <v>0</v>
      </c>
      <c r="M22" s="900">
        <v>0</v>
      </c>
      <c r="N22" s="900">
        <v>0</v>
      </c>
      <c r="O22" s="858"/>
    </row>
    <row r="23" spans="1:15">
      <c r="A23" s="427">
        <v>17</v>
      </c>
      <c r="B23" s="435" t="s">
        <v>713</v>
      </c>
      <c r="C23" s="897">
        <v>0</v>
      </c>
      <c r="D23" s="858">
        <v>0</v>
      </c>
      <c r="E23" s="858">
        <v>0</v>
      </c>
      <c r="F23" s="900">
        <v>0</v>
      </c>
      <c r="G23" s="900">
        <v>0</v>
      </c>
      <c r="H23" s="858">
        <v>0</v>
      </c>
      <c r="I23" s="858">
        <v>0</v>
      </c>
      <c r="J23" s="900">
        <v>0</v>
      </c>
      <c r="K23" s="900">
        <v>0</v>
      </c>
      <c r="L23" s="900">
        <v>0</v>
      </c>
      <c r="M23" s="900">
        <v>0</v>
      </c>
      <c r="N23" s="900">
        <v>0</v>
      </c>
      <c r="O23" s="858"/>
    </row>
    <row r="24" spans="1:15">
      <c r="A24" s="427">
        <v>18</v>
      </c>
      <c r="B24" s="435" t="s">
        <v>714</v>
      </c>
      <c r="C24" s="897">
        <v>41983075.530000001</v>
      </c>
      <c r="D24" s="858">
        <v>41983075.530000001</v>
      </c>
      <c r="E24" s="858">
        <v>0</v>
      </c>
      <c r="F24" s="900">
        <v>0</v>
      </c>
      <c r="G24" s="900">
        <v>0</v>
      </c>
      <c r="H24" s="858">
        <v>0</v>
      </c>
      <c r="I24" s="858">
        <v>839661.51060000004</v>
      </c>
      <c r="J24" s="900">
        <v>839661.51060000004</v>
      </c>
      <c r="K24" s="900">
        <v>0</v>
      </c>
      <c r="L24" s="900">
        <v>0</v>
      </c>
      <c r="M24" s="900">
        <v>0</v>
      </c>
      <c r="N24" s="900">
        <v>0</v>
      </c>
      <c r="O24" s="858"/>
    </row>
    <row r="25" spans="1:15">
      <c r="A25" s="427">
        <v>19</v>
      </c>
      <c r="B25" s="435" t="s">
        <v>715</v>
      </c>
      <c r="C25" s="897">
        <v>0</v>
      </c>
      <c r="D25" s="858">
        <v>0</v>
      </c>
      <c r="E25" s="858">
        <v>0</v>
      </c>
      <c r="F25" s="900">
        <v>0</v>
      </c>
      <c r="G25" s="900">
        <v>0</v>
      </c>
      <c r="H25" s="858">
        <v>0</v>
      </c>
      <c r="I25" s="858">
        <v>0</v>
      </c>
      <c r="J25" s="900">
        <v>0</v>
      </c>
      <c r="K25" s="900">
        <v>0</v>
      </c>
      <c r="L25" s="900">
        <v>0</v>
      </c>
      <c r="M25" s="900">
        <v>0</v>
      </c>
      <c r="N25" s="900">
        <v>0</v>
      </c>
      <c r="O25" s="858"/>
    </row>
    <row r="26" spans="1:15">
      <c r="A26" s="427">
        <v>20</v>
      </c>
      <c r="B26" s="435" t="s">
        <v>716</v>
      </c>
      <c r="C26" s="897">
        <v>5227643.3600000003</v>
      </c>
      <c r="D26" s="858">
        <v>5175026.63</v>
      </c>
      <c r="E26" s="858">
        <v>368.97</v>
      </c>
      <c r="F26" s="900">
        <v>2529.77</v>
      </c>
      <c r="G26" s="900">
        <v>7908.3600000000006</v>
      </c>
      <c r="H26" s="858">
        <v>41809.630000000005</v>
      </c>
      <c r="I26" s="858">
        <v>150060.17060000001</v>
      </c>
      <c r="J26" s="900">
        <v>103500.53260000001</v>
      </c>
      <c r="K26" s="900">
        <v>36.897000000000006</v>
      </c>
      <c r="L26" s="900">
        <v>758.93100000000004</v>
      </c>
      <c r="M26" s="900">
        <v>3954.1800000000003</v>
      </c>
      <c r="N26" s="900">
        <v>41809.630000000005</v>
      </c>
      <c r="O26" s="858"/>
    </row>
    <row r="27" spans="1:15">
      <c r="A27" s="427">
        <v>21</v>
      </c>
      <c r="B27" s="435" t="s">
        <v>717</v>
      </c>
      <c r="C27" s="897">
        <v>58500</v>
      </c>
      <c r="D27" s="858">
        <v>58500</v>
      </c>
      <c r="E27" s="858">
        <v>0</v>
      </c>
      <c r="F27" s="900">
        <v>0</v>
      </c>
      <c r="G27" s="900">
        <v>0</v>
      </c>
      <c r="H27" s="858">
        <v>0</v>
      </c>
      <c r="I27" s="858">
        <v>1170</v>
      </c>
      <c r="J27" s="900">
        <v>1170</v>
      </c>
      <c r="K27" s="900">
        <v>0</v>
      </c>
      <c r="L27" s="900">
        <v>0</v>
      </c>
      <c r="M27" s="900">
        <v>0</v>
      </c>
      <c r="N27" s="900">
        <v>0</v>
      </c>
      <c r="O27" s="858"/>
    </row>
    <row r="28" spans="1:15">
      <c r="A28" s="427">
        <v>22</v>
      </c>
      <c r="B28" s="435" t="s">
        <v>718</v>
      </c>
      <c r="C28" s="897">
        <v>752.35</v>
      </c>
      <c r="D28" s="858">
        <v>0</v>
      </c>
      <c r="E28" s="858">
        <v>0</v>
      </c>
      <c r="F28" s="900">
        <v>0</v>
      </c>
      <c r="G28" s="900">
        <v>0</v>
      </c>
      <c r="H28" s="858">
        <v>752.35</v>
      </c>
      <c r="I28" s="858">
        <v>752.35</v>
      </c>
      <c r="J28" s="900">
        <v>0</v>
      </c>
      <c r="K28" s="900">
        <v>0</v>
      </c>
      <c r="L28" s="900">
        <v>0</v>
      </c>
      <c r="M28" s="900">
        <v>0</v>
      </c>
      <c r="N28" s="900">
        <v>752.35</v>
      </c>
      <c r="O28" s="858"/>
    </row>
    <row r="29" spans="1:15">
      <c r="A29" s="427">
        <v>23</v>
      </c>
      <c r="B29" s="435" t="s">
        <v>719</v>
      </c>
      <c r="C29" s="897">
        <v>15367792.040000001</v>
      </c>
      <c r="D29" s="858">
        <v>14309156.560000001</v>
      </c>
      <c r="E29" s="858">
        <v>766783.21000000008</v>
      </c>
      <c r="F29" s="900">
        <v>180624.08999999994</v>
      </c>
      <c r="G29" s="900">
        <v>0</v>
      </c>
      <c r="H29" s="858">
        <v>111228.18</v>
      </c>
      <c r="I29" s="858">
        <v>528276.85919999995</v>
      </c>
      <c r="J29" s="900">
        <v>286183.1312</v>
      </c>
      <c r="K29" s="900">
        <v>76678.321000000011</v>
      </c>
      <c r="L29" s="900">
        <v>54187.226999999992</v>
      </c>
      <c r="M29" s="900">
        <v>0</v>
      </c>
      <c r="N29" s="900">
        <v>111228.18</v>
      </c>
      <c r="O29" s="858"/>
    </row>
    <row r="30" spans="1:15">
      <c r="A30" s="427">
        <v>24</v>
      </c>
      <c r="B30" s="435" t="s">
        <v>720</v>
      </c>
      <c r="C30" s="897">
        <v>12036</v>
      </c>
      <c r="D30" s="858">
        <v>12036</v>
      </c>
      <c r="E30" s="858">
        <v>0</v>
      </c>
      <c r="F30" s="900">
        <v>0</v>
      </c>
      <c r="G30" s="900">
        <v>0</v>
      </c>
      <c r="H30" s="858">
        <v>0</v>
      </c>
      <c r="I30" s="858">
        <v>240.72</v>
      </c>
      <c r="J30" s="900">
        <v>240.72</v>
      </c>
      <c r="K30" s="900">
        <v>0</v>
      </c>
      <c r="L30" s="900">
        <v>0</v>
      </c>
      <c r="M30" s="900">
        <v>0</v>
      </c>
      <c r="N30" s="900">
        <v>0</v>
      </c>
      <c r="O30" s="858"/>
    </row>
    <row r="31" spans="1:15">
      <c r="A31" s="427">
        <v>25</v>
      </c>
      <c r="B31" s="435" t="s">
        <v>721</v>
      </c>
      <c r="C31" s="897">
        <v>853068.16999999993</v>
      </c>
      <c r="D31" s="858">
        <v>334818.28999999998</v>
      </c>
      <c r="E31" s="858">
        <v>209195.33</v>
      </c>
      <c r="F31" s="900">
        <v>0</v>
      </c>
      <c r="G31" s="900">
        <v>1495.86</v>
      </c>
      <c r="H31" s="858">
        <v>307558.69</v>
      </c>
      <c r="I31" s="858">
        <v>335922.51879999996</v>
      </c>
      <c r="J31" s="900">
        <v>6696.3657999999996</v>
      </c>
      <c r="K31" s="900">
        <v>20919.532999999999</v>
      </c>
      <c r="L31" s="900">
        <v>0</v>
      </c>
      <c r="M31" s="900">
        <v>747.93</v>
      </c>
      <c r="N31" s="900">
        <v>307558.69</v>
      </c>
      <c r="O31" s="858"/>
    </row>
    <row r="32" spans="1:15">
      <c r="A32" s="427">
        <v>26</v>
      </c>
      <c r="B32" s="435" t="s">
        <v>823</v>
      </c>
      <c r="C32" s="897">
        <v>0</v>
      </c>
      <c r="D32" s="858">
        <v>0</v>
      </c>
      <c r="E32" s="858">
        <v>0</v>
      </c>
      <c r="F32" s="900">
        <v>0</v>
      </c>
      <c r="G32" s="900">
        <v>0</v>
      </c>
      <c r="H32" s="858">
        <v>0</v>
      </c>
      <c r="I32" s="858">
        <v>0</v>
      </c>
      <c r="J32" s="900">
        <v>0</v>
      </c>
      <c r="K32" s="900">
        <v>0</v>
      </c>
      <c r="L32" s="900">
        <v>0</v>
      </c>
      <c r="M32" s="900">
        <v>0</v>
      </c>
      <c r="N32" s="900">
        <v>0</v>
      </c>
      <c r="O32" s="858"/>
    </row>
    <row r="33" spans="1:15">
      <c r="A33" s="427">
        <v>27</v>
      </c>
      <c r="B33" s="474" t="s">
        <v>68</v>
      </c>
      <c r="C33" s="901">
        <f>SUM(C7:C32)</f>
        <v>227525963.69999999</v>
      </c>
      <c r="D33" s="901">
        <f t="shared" ref="D33:N33" si="0">SUM(D7:D32)</f>
        <v>206961047.76999998</v>
      </c>
      <c r="E33" s="901">
        <f t="shared" si="0"/>
        <v>15223274.130000001</v>
      </c>
      <c r="F33" s="901">
        <f t="shared" si="0"/>
        <v>4274021.97</v>
      </c>
      <c r="G33" s="901">
        <f t="shared" si="0"/>
        <v>48660.81</v>
      </c>
      <c r="H33" s="901">
        <f t="shared" si="0"/>
        <v>1018959.02</v>
      </c>
      <c r="I33" s="901">
        <f t="shared" si="0"/>
        <v>7831513.4035999989</v>
      </c>
      <c r="J33" s="901">
        <f t="shared" si="0"/>
        <v>3983689.9746000003</v>
      </c>
      <c r="K33" s="901">
        <f t="shared" si="0"/>
        <v>1522327.4130000004</v>
      </c>
      <c r="L33" s="901">
        <f t="shared" si="0"/>
        <v>1282206.591</v>
      </c>
      <c r="M33" s="901">
        <f t="shared" si="0"/>
        <v>24330.404999999999</v>
      </c>
      <c r="N33" s="901">
        <f t="shared" si="0"/>
        <v>1018959.02</v>
      </c>
      <c r="O33" s="901">
        <v>3402357</v>
      </c>
    </row>
    <row r="34" spans="1:15">
      <c r="A34" s="436"/>
      <c r="B34" s="436"/>
      <c r="C34" s="436"/>
      <c r="D34" s="436"/>
      <c r="E34" s="436"/>
      <c r="H34" s="436"/>
      <c r="I34" s="436"/>
      <c r="O34" s="436"/>
    </row>
    <row r="35" spans="1:15">
      <c r="A35" s="436"/>
      <c r="B35" s="438"/>
      <c r="C35" s="438"/>
      <c r="D35" s="436"/>
      <c r="E35" s="436"/>
      <c r="H35" s="436"/>
      <c r="I35" s="436"/>
      <c r="O35" s="436"/>
    </row>
    <row r="36" spans="1:15">
      <c r="A36" s="436"/>
      <c r="B36" s="436"/>
      <c r="C36" s="436"/>
      <c r="D36" s="436"/>
      <c r="E36" s="436"/>
      <c r="H36" s="436"/>
      <c r="I36" s="436"/>
      <c r="O36" s="436"/>
    </row>
    <row r="37" spans="1:15">
      <c r="A37" s="436"/>
      <c r="B37" s="436"/>
      <c r="C37" s="436"/>
      <c r="D37" s="436"/>
      <c r="E37" s="436"/>
      <c r="H37" s="436"/>
      <c r="I37" s="436"/>
      <c r="O37" s="436"/>
    </row>
    <row r="38" spans="1:15">
      <c r="A38" s="436"/>
      <c r="B38" s="436"/>
      <c r="C38" s="436"/>
      <c r="D38" s="436"/>
      <c r="E38" s="436"/>
      <c r="H38" s="436"/>
      <c r="I38" s="436"/>
      <c r="O38" s="436"/>
    </row>
    <row r="39" spans="1:15">
      <c r="A39" s="436"/>
      <c r="B39" s="436"/>
      <c r="C39" s="436"/>
      <c r="D39" s="436"/>
      <c r="E39" s="436"/>
      <c r="H39" s="436"/>
      <c r="I39" s="436"/>
      <c r="O39" s="436"/>
    </row>
    <row r="40" spans="1:15">
      <c r="A40" s="436"/>
      <c r="B40" s="436"/>
      <c r="C40" s="436"/>
      <c r="D40" s="436"/>
      <c r="E40" s="436"/>
      <c r="H40" s="436"/>
      <c r="I40" s="436"/>
      <c r="O40" s="436"/>
    </row>
    <row r="41" spans="1:15">
      <c r="A41" s="439"/>
      <c r="B41" s="439"/>
      <c r="C41" s="439"/>
      <c r="D41" s="436"/>
      <c r="E41" s="436"/>
      <c r="H41" s="436"/>
      <c r="I41" s="436"/>
      <c r="O41" s="436"/>
    </row>
    <row r="42" spans="1:15">
      <c r="A42" s="439"/>
      <c r="B42" s="439"/>
      <c r="C42" s="439"/>
      <c r="D42" s="436"/>
      <c r="E42" s="436"/>
      <c r="H42" s="436"/>
      <c r="I42" s="436"/>
      <c r="O42" s="436"/>
    </row>
    <row r="43" spans="1:15">
      <c r="A43" s="436"/>
      <c r="B43" s="440"/>
      <c r="C43" s="440"/>
      <c r="D43" s="436"/>
      <c r="E43" s="436"/>
      <c r="H43" s="436"/>
      <c r="I43" s="436"/>
      <c r="O43" s="436"/>
    </row>
    <row r="44" spans="1:15">
      <c r="A44" s="436"/>
      <c r="B44" s="440"/>
      <c r="C44" s="440"/>
      <c r="D44" s="436"/>
      <c r="E44" s="436"/>
      <c r="H44" s="436"/>
      <c r="I44" s="436"/>
      <c r="O44" s="436"/>
    </row>
    <row r="45" spans="1:15">
      <c r="A45" s="436"/>
      <c r="B45" s="440"/>
      <c r="C45" s="440"/>
      <c r="D45" s="436"/>
      <c r="E45" s="436"/>
      <c r="H45" s="436"/>
      <c r="I45" s="436"/>
      <c r="O45" s="436"/>
    </row>
    <row r="46" spans="1:15">
      <c r="A46" s="436"/>
      <c r="B46" s="436"/>
      <c r="C46" s="436"/>
      <c r="D46" s="436"/>
      <c r="E46" s="436"/>
      <c r="H46" s="436"/>
      <c r="I46" s="436"/>
      <c r="O46" s="436"/>
    </row>
  </sheetData>
  <mergeCells count="4">
    <mergeCell ref="A5:B6"/>
    <mergeCell ref="C5:H5"/>
    <mergeCell ref="I5:N5"/>
    <mergeCell ref="O5:O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A5" sqref="A5:B5"/>
    </sheetView>
  </sheetViews>
  <sheetFormatPr defaultColWidth="8.7109375" defaultRowHeight="12"/>
  <cols>
    <col min="1" max="1" width="11.85546875" style="476" bestFit="1" customWidth="1"/>
    <col min="2" max="2" width="58.42578125" style="476" bestFit="1" customWidth="1"/>
    <col min="3" max="3" width="19.5703125" style="476" bestFit="1" customWidth="1"/>
    <col min="4" max="4" width="27.28515625" style="476" bestFit="1" customWidth="1"/>
    <col min="5" max="5" width="24.5703125" style="476" bestFit="1" customWidth="1"/>
    <col min="6" max="6" width="26.5703125" style="476" bestFit="1" customWidth="1"/>
    <col min="7" max="7" width="19.5703125" style="476" bestFit="1" customWidth="1"/>
    <col min="8" max="8" width="27" style="476" bestFit="1" customWidth="1"/>
    <col min="9" max="9" width="24.140625" style="476" bestFit="1" customWidth="1"/>
    <col min="10" max="10" width="19.5703125" style="476" bestFit="1" customWidth="1"/>
    <col min="11" max="11" width="22.85546875" style="476" bestFit="1" customWidth="1"/>
    <col min="12" max="16384" width="8.7109375" style="476"/>
  </cols>
  <sheetData>
    <row r="1" spans="1:11" s="413" customFormat="1" ht="15">
      <c r="A1" s="531" t="s">
        <v>188</v>
      </c>
      <c r="B1" s="532" t="s">
        <v>960</v>
      </c>
    </row>
    <row r="2" spans="1:11" s="413" customFormat="1" ht="15">
      <c r="A2" s="531" t="s">
        <v>189</v>
      </c>
      <c r="B2" s="533">
        <f>'1. key ratios'!B2</f>
        <v>44377</v>
      </c>
    </row>
    <row r="3" spans="1:11" s="413" customFormat="1" ht="12.75">
      <c r="A3" s="415" t="s">
        <v>824</v>
      </c>
      <c r="B3" s="416"/>
    </row>
    <row r="4" spans="1:11">
      <c r="C4" s="477" t="s">
        <v>674</v>
      </c>
      <c r="D4" s="477" t="s">
        <v>675</v>
      </c>
      <c r="E4" s="477" t="s">
        <v>676</v>
      </c>
      <c r="F4" s="477" t="s">
        <v>677</v>
      </c>
      <c r="G4" s="477" t="s">
        <v>678</v>
      </c>
      <c r="H4" s="477" t="s">
        <v>679</v>
      </c>
      <c r="I4" s="477" t="s">
        <v>680</v>
      </c>
      <c r="J4" s="477" t="s">
        <v>681</v>
      </c>
      <c r="K4" s="477" t="s">
        <v>682</v>
      </c>
    </row>
    <row r="5" spans="1:11" ht="104.1" customHeight="1">
      <c r="A5" s="902" t="s">
        <v>825</v>
      </c>
      <c r="B5" s="903"/>
      <c r="C5" s="417" t="s">
        <v>826</v>
      </c>
      <c r="D5" s="417" t="s">
        <v>812</v>
      </c>
      <c r="E5" s="417" t="s">
        <v>813</v>
      </c>
      <c r="F5" s="417" t="s">
        <v>827</v>
      </c>
      <c r="G5" s="417" t="s">
        <v>828</v>
      </c>
      <c r="H5" s="417" t="s">
        <v>829</v>
      </c>
      <c r="I5" s="417" t="s">
        <v>830</v>
      </c>
      <c r="J5" s="417" t="s">
        <v>831</v>
      </c>
      <c r="K5" s="417" t="s">
        <v>832</v>
      </c>
    </row>
    <row r="6" spans="1:11" ht="12.75">
      <c r="A6" s="427">
        <v>1</v>
      </c>
      <c r="B6" s="427" t="s">
        <v>833</v>
      </c>
      <c r="C6" s="858">
        <v>5363828.1550000003</v>
      </c>
      <c r="D6" s="858">
        <v>0</v>
      </c>
      <c r="E6" s="858">
        <v>0</v>
      </c>
      <c r="F6" s="858">
        <v>0</v>
      </c>
      <c r="G6" s="858">
        <v>99820099.21040301</v>
      </c>
      <c r="H6" s="858">
        <v>0</v>
      </c>
      <c r="I6" s="858">
        <v>26091249.024871375</v>
      </c>
      <c r="J6" s="858">
        <v>50232744.012335218</v>
      </c>
      <c r="K6" s="858">
        <v>46018043.297390357</v>
      </c>
    </row>
    <row r="7" spans="1:11" ht="12.75">
      <c r="A7" s="427">
        <v>2</v>
      </c>
      <c r="B7" s="428" t="s">
        <v>834</v>
      </c>
      <c r="C7" s="858">
        <v>0</v>
      </c>
      <c r="D7" s="858">
        <v>0</v>
      </c>
      <c r="E7" s="858">
        <v>0</v>
      </c>
      <c r="F7" s="858">
        <v>0</v>
      </c>
      <c r="G7" s="858">
        <v>0</v>
      </c>
      <c r="H7" s="858">
        <v>0</v>
      </c>
      <c r="I7" s="858">
        <v>0</v>
      </c>
      <c r="J7" s="858">
        <v>0</v>
      </c>
      <c r="K7" s="858">
        <v>15831660.842616422</v>
      </c>
    </row>
    <row r="8" spans="1:11" ht="12.75">
      <c r="A8" s="427">
        <v>3</v>
      </c>
      <c r="B8" s="428" t="s">
        <v>784</v>
      </c>
      <c r="C8" s="858">
        <v>649544</v>
      </c>
      <c r="D8" s="858"/>
      <c r="E8" s="858">
        <v>0</v>
      </c>
      <c r="F8" s="858">
        <v>0</v>
      </c>
      <c r="G8" s="858">
        <v>18386156.817596983</v>
      </c>
      <c r="H8" s="858">
        <v>0</v>
      </c>
      <c r="I8" s="858">
        <v>545337.7647934024</v>
      </c>
      <c r="J8" s="858">
        <v>4801250.3900000006</v>
      </c>
      <c r="K8" s="858">
        <v>91787930.545128614</v>
      </c>
    </row>
    <row r="9" spans="1:11" ht="12.75">
      <c r="A9" s="427">
        <v>4</v>
      </c>
      <c r="B9" s="457" t="s">
        <v>835</v>
      </c>
      <c r="C9" s="858">
        <v>0</v>
      </c>
      <c r="D9" s="858"/>
      <c r="E9" s="858">
        <v>0</v>
      </c>
      <c r="F9" s="858">
        <v>0</v>
      </c>
      <c r="G9" s="858">
        <v>4670147.7399999993</v>
      </c>
      <c r="H9" s="858">
        <v>0</v>
      </c>
      <c r="I9" s="858">
        <v>66252.507864778861</v>
      </c>
      <c r="J9" s="858">
        <v>390060.05213522119</v>
      </c>
      <c r="K9" s="858">
        <v>215181.50000000006</v>
      </c>
    </row>
    <row r="10" spans="1:11" ht="12.75">
      <c r="A10" s="427">
        <v>5</v>
      </c>
      <c r="B10" s="478" t="s">
        <v>836</v>
      </c>
      <c r="C10" s="858"/>
      <c r="D10" s="858"/>
      <c r="E10" s="858"/>
      <c r="F10" s="858"/>
      <c r="G10" s="858"/>
      <c r="H10" s="858"/>
      <c r="I10" s="858"/>
      <c r="J10" s="858"/>
      <c r="K10" s="858"/>
    </row>
    <row r="11" spans="1:11" ht="12.75">
      <c r="A11" s="427">
        <v>6</v>
      </c>
      <c r="B11" s="478" t="s">
        <v>837</v>
      </c>
      <c r="C11" s="858"/>
      <c r="D11" s="858"/>
      <c r="E11" s="858"/>
      <c r="F11" s="858"/>
      <c r="G11" s="858"/>
      <c r="H11" s="858"/>
      <c r="I11" s="858"/>
      <c r="J11" s="858"/>
      <c r="K11" s="858"/>
    </row>
  </sheetData>
  <mergeCells count="1">
    <mergeCell ref="A5:B5"/>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15"/>
  <sheetViews>
    <sheetView showGridLines="0" zoomScale="115" zoomScaleNormal="115" workbookViewId="0">
      <selection activeCell="C221" sqref="C221"/>
    </sheetView>
  </sheetViews>
  <sheetFormatPr defaultColWidth="43.5703125" defaultRowHeight="11.25"/>
  <cols>
    <col min="1" max="1" width="5.28515625" style="204" customWidth="1"/>
    <col min="2" max="2" width="66.140625" style="205" customWidth="1"/>
    <col min="3" max="3" width="131.42578125" style="206" customWidth="1"/>
    <col min="4" max="5" width="10.28515625" style="197" customWidth="1"/>
    <col min="6" max="16384" width="43.5703125" style="197"/>
  </cols>
  <sheetData>
    <row r="1" spans="1:3" ht="12.75" thickTop="1" thickBot="1">
      <c r="A1" s="832" t="s">
        <v>326</v>
      </c>
      <c r="B1" s="833"/>
      <c r="C1" s="834"/>
    </row>
    <row r="2" spans="1:3" ht="26.25" customHeight="1">
      <c r="A2" s="479"/>
      <c r="B2" s="835" t="s">
        <v>327</v>
      </c>
      <c r="C2" s="835"/>
    </row>
    <row r="3" spans="1:3" s="202" customFormat="1" ht="11.25" customHeight="1">
      <c r="A3" s="201"/>
      <c r="B3" s="835" t="s">
        <v>419</v>
      </c>
      <c r="C3" s="835"/>
    </row>
    <row r="4" spans="1:3" ht="12" customHeight="1" thickBot="1">
      <c r="A4" s="815" t="s">
        <v>423</v>
      </c>
      <c r="B4" s="816"/>
      <c r="C4" s="817"/>
    </row>
    <row r="5" spans="1:3" ht="12" customHeight="1" thickTop="1">
      <c r="A5" s="198"/>
      <c r="B5" s="818" t="s">
        <v>328</v>
      </c>
      <c r="C5" s="819"/>
    </row>
    <row r="6" spans="1:3">
      <c r="A6" s="479"/>
      <c r="B6" s="795" t="s">
        <v>420</v>
      </c>
      <c r="C6" s="796"/>
    </row>
    <row r="7" spans="1:3" ht="11.25" customHeight="1">
      <c r="A7" s="479"/>
      <c r="B7" s="795" t="s">
        <v>329</v>
      </c>
      <c r="C7" s="796"/>
    </row>
    <row r="8" spans="1:3" ht="11.25" customHeight="1">
      <c r="A8" s="479"/>
      <c r="B8" s="795" t="s">
        <v>421</v>
      </c>
      <c r="C8" s="796"/>
    </row>
    <row r="9" spans="1:3">
      <c r="A9" s="479"/>
      <c r="B9" s="830" t="s">
        <v>422</v>
      </c>
      <c r="C9" s="831"/>
    </row>
    <row r="10" spans="1:3">
      <c r="A10" s="479"/>
      <c r="B10" s="820" t="s">
        <v>330</v>
      </c>
      <c r="C10" s="821" t="s">
        <v>330</v>
      </c>
    </row>
    <row r="11" spans="1:3" ht="11.25" customHeight="1">
      <c r="A11" s="479"/>
      <c r="B11" s="820" t="s">
        <v>331</v>
      </c>
      <c r="C11" s="821" t="s">
        <v>331</v>
      </c>
    </row>
    <row r="12" spans="1:3">
      <c r="A12" s="479"/>
      <c r="B12" s="820" t="s">
        <v>332</v>
      </c>
      <c r="C12" s="821" t="s">
        <v>332</v>
      </c>
    </row>
    <row r="13" spans="1:3" ht="11.25" customHeight="1">
      <c r="A13" s="479"/>
      <c r="B13" s="820" t="s">
        <v>333</v>
      </c>
      <c r="C13" s="821" t="s">
        <v>333</v>
      </c>
    </row>
    <row r="14" spans="1:3" ht="11.25" customHeight="1">
      <c r="A14" s="479"/>
      <c r="B14" s="820" t="s">
        <v>334</v>
      </c>
      <c r="C14" s="821" t="s">
        <v>334</v>
      </c>
    </row>
    <row r="15" spans="1:3" ht="21.75" customHeight="1">
      <c r="A15" s="479"/>
      <c r="B15" s="820" t="s">
        <v>335</v>
      </c>
      <c r="C15" s="821" t="s">
        <v>335</v>
      </c>
    </row>
    <row r="16" spans="1:3" ht="11.25" customHeight="1">
      <c r="A16" s="479"/>
      <c r="B16" s="820" t="s">
        <v>336</v>
      </c>
      <c r="C16" s="821" t="s">
        <v>337</v>
      </c>
    </row>
    <row r="17" spans="1:3" ht="11.25" customHeight="1">
      <c r="A17" s="479"/>
      <c r="B17" s="820" t="s">
        <v>338</v>
      </c>
      <c r="C17" s="821" t="s">
        <v>339</v>
      </c>
    </row>
    <row r="18" spans="1:3" ht="11.25" customHeight="1">
      <c r="A18" s="479"/>
      <c r="B18" s="820" t="s">
        <v>340</v>
      </c>
      <c r="C18" s="821" t="s">
        <v>341</v>
      </c>
    </row>
    <row r="19" spans="1:3">
      <c r="A19" s="479"/>
      <c r="B19" s="820" t="s">
        <v>342</v>
      </c>
      <c r="C19" s="821" t="s">
        <v>342</v>
      </c>
    </row>
    <row r="20" spans="1:3" ht="11.25" customHeight="1">
      <c r="A20" s="479"/>
      <c r="B20" s="820" t="s">
        <v>343</v>
      </c>
      <c r="C20" s="821" t="s">
        <v>343</v>
      </c>
    </row>
    <row r="21" spans="1:3" ht="11.25" customHeight="1">
      <c r="A21" s="479"/>
      <c r="B21" s="820" t="s">
        <v>344</v>
      </c>
      <c r="C21" s="821" t="s">
        <v>344</v>
      </c>
    </row>
    <row r="22" spans="1:3" ht="23.25" customHeight="1">
      <c r="A22" s="479"/>
      <c r="B22" s="820" t="s">
        <v>345</v>
      </c>
      <c r="C22" s="821" t="s">
        <v>346</v>
      </c>
    </row>
    <row r="23" spans="1:3" ht="11.25" customHeight="1">
      <c r="A23" s="479"/>
      <c r="B23" s="820" t="s">
        <v>347</v>
      </c>
      <c r="C23" s="821" t="s">
        <v>347</v>
      </c>
    </row>
    <row r="24" spans="1:3" ht="11.25" customHeight="1">
      <c r="A24" s="479"/>
      <c r="B24" s="820" t="s">
        <v>348</v>
      </c>
      <c r="C24" s="821" t="s">
        <v>349</v>
      </c>
    </row>
    <row r="25" spans="1:3" ht="12" customHeight="1" thickBot="1">
      <c r="A25" s="199"/>
      <c r="B25" s="824" t="s">
        <v>350</v>
      </c>
      <c r="C25" s="825"/>
    </row>
    <row r="26" spans="1:3" ht="12.75" customHeight="1" thickTop="1" thickBot="1">
      <c r="A26" s="815" t="s">
        <v>433</v>
      </c>
      <c r="B26" s="816"/>
      <c r="C26" s="817"/>
    </row>
    <row r="27" spans="1:3" ht="12.75" customHeight="1" thickTop="1" thickBot="1">
      <c r="A27" s="200"/>
      <c r="B27" s="826" t="s">
        <v>351</v>
      </c>
      <c r="C27" s="827"/>
    </row>
    <row r="28" spans="1:3" ht="12.75" customHeight="1" thickTop="1" thickBot="1">
      <c r="A28" s="815" t="s">
        <v>424</v>
      </c>
      <c r="B28" s="816"/>
      <c r="C28" s="817"/>
    </row>
    <row r="29" spans="1:3" ht="12" customHeight="1" thickTop="1">
      <c r="A29" s="198"/>
      <c r="B29" s="828" t="s">
        <v>352</v>
      </c>
      <c r="C29" s="829" t="s">
        <v>353</v>
      </c>
    </row>
    <row r="30" spans="1:3" ht="11.25" customHeight="1">
      <c r="A30" s="479"/>
      <c r="B30" s="806" t="s">
        <v>354</v>
      </c>
      <c r="C30" s="807" t="s">
        <v>355</v>
      </c>
    </row>
    <row r="31" spans="1:3" ht="11.25" customHeight="1">
      <c r="A31" s="479"/>
      <c r="B31" s="806" t="s">
        <v>356</v>
      </c>
      <c r="C31" s="807" t="s">
        <v>357</v>
      </c>
    </row>
    <row r="32" spans="1:3" ht="11.25" customHeight="1">
      <c r="A32" s="479"/>
      <c r="B32" s="806" t="s">
        <v>358</v>
      </c>
      <c r="C32" s="807" t="s">
        <v>359</v>
      </c>
    </row>
    <row r="33" spans="1:3" ht="11.25" customHeight="1">
      <c r="A33" s="479"/>
      <c r="B33" s="806" t="s">
        <v>360</v>
      </c>
      <c r="C33" s="807" t="s">
        <v>361</v>
      </c>
    </row>
    <row r="34" spans="1:3" ht="11.25" customHeight="1">
      <c r="A34" s="479"/>
      <c r="B34" s="806" t="s">
        <v>362</v>
      </c>
      <c r="C34" s="807" t="s">
        <v>363</v>
      </c>
    </row>
    <row r="35" spans="1:3" ht="23.25" customHeight="1">
      <c r="A35" s="479"/>
      <c r="B35" s="806" t="s">
        <v>364</v>
      </c>
      <c r="C35" s="807" t="s">
        <v>365</v>
      </c>
    </row>
    <row r="36" spans="1:3" ht="24" customHeight="1">
      <c r="A36" s="479"/>
      <c r="B36" s="806" t="s">
        <v>366</v>
      </c>
      <c r="C36" s="807" t="s">
        <v>367</v>
      </c>
    </row>
    <row r="37" spans="1:3" ht="24.75" customHeight="1">
      <c r="A37" s="479"/>
      <c r="B37" s="806" t="s">
        <v>368</v>
      </c>
      <c r="C37" s="807" t="s">
        <v>369</v>
      </c>
    </row>
    <row r="38" spans="1:3" ht="23.25" customHeight="1">
      <c r="A38" s="479"/>
      <c r="B38" s="806" t="s">
        <v>425</v>
      </c>
      <c r="C38" s="807" t="s">
        <v>370</v>
      </c>
    </row>
    <row r="39" spans="1:3" ht="39.75" customHeight="1">
      <c r="A39" s="479"/>
      <c r="B39" s="820" t="s">
        <v>440</v>
      </c>
      <c r="C39" s="821" t="s">
        <v>371</v>
      </c>
    </row>
    <row r="40" spans="1:3" ht="12" customHeight="1">
      <c r="A40" s="479"/>
      <c r="B40" s="806" t="s">
        <v>372</v>
      </c>
      <c r="C40" s="807" t="s">
        <v>373</v>
      </c>
    </row>
    <row r="41" spans="1:3" ht="27" customHeight="1" thickBot="1">
      <c r="A41" s="199"/>
      <c r="B41" s="822" t="s">
        <v>374</v>
      </c>
      <c r="C41" s="823" t="s">
        <v>375</v>
      </c>
    </row>
    <row r="42" spans="1:3" ht="12.75" customHeight="1" thickTop="1" thickBot="1">
      <c r="A42" s="815" t="s">
        <v>426</v>
      </c>
      <c r="B42" s="816"/>
      <c r="C42" s="817"/>
    </row>
    <row r="43" spans="1:3" ht="12" customHeight="1" thickTop="1">
      <c r="A43" s="198"/>
      <c r="B43" s="818" t="s">
        <v>463</v>
      </c>
      <c r="C43" s="819" t="s">
        <v>376</v>
      </c>
    </row>
    <row r="44" spans="1:3" ht="11.25" customHeight="1">
      <c r="A44" s="479"/>
      <c r="B44" s="795" t="s">
        <v>462</v>
      </c>
      <c r="C44" s="796"/>
    </row>
    <row r="45" spans="1:3" ht="23.25" customHeight="1" thickBot="1">
      <c r="A45" s="199"/>
      <c r="B45" s="813" t="s">
        <v>377</v>
      </c>
      <c r="C45" s="814" t="s">
        <v>378</v>
      </c>
    </row>
    <row r="46" spans="1:3" ht="11.25" customHeight="1" thickTop="1" thickBot="1">
      <c r="A46" s="815" t="s">
        <v>427</v>
      </c>
      <c r="B46" s="816"/>
      <c r="C46" s="817"/>
    </row>
    <row r="47" spans="1:3" ht="26.25" customHeight="1" thickTop="1">
      <c r="A47" s="479"/>
      <c r="B47" s="795" t="s">
        <v>428</v>
      </c>
      <c r="C47" s="796"/>
    </row>
    <row r="48" spans="1:3" ht="12" customHeight="1" thickBot="1">
      <c r="A48" s="815" t="s">
        <v>429</v>
      </c>
      <c r="B48" s="816"/>
      <c r="C48" s="817"/>
    </row>
    <row r="49" spans="1:3" ht="12" thickTop="1">
      <c r="A49" s="198"/>
      <c r="B49" s="818" t="s">
        <v>379</v>
      </c>
      <c r="C49" s="819" t="s">
        <v>379</v>
      </c>
    </row>
    <row r="50" spans="1:3" ht="11.25" customHeight="1">
      <c r="A50" s="479"/>
      <c r="B50" s="795" t="s">
        <v>380</v>
      </c>
      <c r="C50" s="796" t="s">
        <v>380</v>
      </c>
    </row>
    <row r="51" spans="1:3">
      <c r="A51" s="479"/>
      <c r="B51" s="795" t="s">
        <v>381</v>
      </c>
      <c r="C51" s="796" t="s">
        <v>381</v>
      </c>
    </row>
    <row r="52" spans="1:3" ht="11.25" customHeight="1">
      <c r="A52" s="479"/>
      <c r="B52" s="795" t="s">
        <v>490</v>
      </c>
      <c r="C52" s="796" t="s">
        <v>382</v>
      </c>
    </row>
    <row r="53" spans="1:3" ht="33.6" customHeight="1">
      <c r="A53" s="479"/>
      <c r="B53" s="795" t="s">
        <v>383</v>
      </c>
      <c r="C53" s="796" t="s">
        <v>383</v>
      </c>
    </row>
    <row r="54" spans="1:3" ht="11.25" customHeight="1">
      <c r="A54" s="479"/>
      <c r="B54" s="795" t="s">
        <v>483</v>
      </c>
      <c r="C54" s="796" t="s">
        <v>384</v>
      </c>
    </row>
    <row r="55" spans="1:3" ht="11.25" customHeight="1" thickBot="1">
      <c r="A55" s="815" t="s">
        <v>430</v>
      </c>
      <c r="B55" s="816"/>
      <c r="C55" s="817"/>
    </row>
    <row r="56" spans="1:3" ht="12" thickTop="1">
      <c r="A56" s="198"/>
      <c r="B56" s="818" t="s">
        <v>379</v>
      </c>
      <c r="C56" s="819" t="s">
        <v>379</v>
      </c>
    </row>
    <row r="57" spans="1:3" ht="11.25" customHeight="1">
      <c r="A57" s="479"/>
      <c r="B57" s="795" t="s">
        <v>385</v>
      </c>
      <c r="C57" s="796" t="s">
        <v>385</v>
      </c>
    </row>
    <row r="58" spans="1:3" ht="11.25" customHeight="1">
      <c r="A58" s="479"/>
      <c r="B58" s="795" t="s">
        <v>436</v>
      </c>
      <c r="C58" s="796" t="s">
        <v>386</v>
      </c>
    </row>
    <row r="59" spans="1:3" ht="11.25" customHeight="1">
      <c r="A59" s="479"/>
      <c r="B59" s="795" t="s">
        <v>387</v>
      </c>
      <c r="C59" s="796" t="s">
        <v>387</v>
      </c>
    </row>
    <row r="60" spans="1:3" ht="11.25" customHeight="1">
      <c r="A60" s="479"/>
      <c r="B60" s="795" t="s">
        <v>388</v>
      </c>
      <c r="C60" s="796" t="s">
        <v>388</v>
      </c>
    </row>
    <row r="61" spans="1:3" ht="11.25" customHeight="1">
      <c r="A61" s="479"/>
      <c r="B61" s="795" t="s">
        <v>389</v>
      </c>
      <c r="C61" s="796" t="s">
        <v>389</v>
      </c>
    </row>
    <row r="62" spans="1:3" ht="11.25" customHeight="1">
      <c r="A62" s="479"/>
      <c r="B62" s="795" t="s">
        <v>437</v>
      </c>
      <c r="C62" s="796" t="s">
        <v>390</v>
      </c>
    </row>
    <row r="63" spans="1:3" ht="11.25" customHeight="1">
      <c r="A63" s="479"/>
      <c r="B63" s="795" t="s">
        <v>391</v>
      </c>
      <c r="C63" s="796" t="s">
        <v>391</v>
      </c>
    </row>
    <row r="64" spans="1:3" ht="12" customHeight="1" thickBot="1">
      <c r="A64" s="199"/>
      <c r="B64" s="813" t="s">
        <v>392</v>
      </c>
      <c r="C64" s="814" t="s">
        <v>392</v>
      </c>
    </row>
    <row r="65" spans="1:3" ht="11.25" customHeight="1" thickTop="1">
      <c r="A65" s="801" t="s">
        <v>431</v>
      </c>
      <c r="B65" s="802"/>
      <c r="C65" s="803"/>
    </row>
    <row r="66" spans="1:3" ht="12" customHeight="1" thickBot="1">
      <c r="A66" s="199"/>
      <c r="B66" s="813" t="s">
        <v>393</v>
      </c>
      <c r="C66" s="814" t="s">
        <v>393</v>
      </c>
    </row>
    <row r="67" spans="1:3" ht="11.25" customHeight="1" thickTop="1" thickBot="1">
      <c r="A67" s="815" t="s">
        <v>432</v>
      </c>
      <c r="B67" s="816"/>
      <c r="C67" s="817"/>
    </row>
    <row r="68" spans="1:3" ht="12" customHeight="1" thickTop="1">
      <c r="A68" s="198"/>
      <c r="B68" s="818" t="s">
        <v>394</v>
      </c>
      <c r="C68" s="819" t="s">
        <v>394</v>
      </c>
    </row>
    <row r="69" spans="1:3" ht="11.25" customHeight="1">
      <c r="A69" s="479"/>
      <c r="B69" s="795" t="s">
        <v>395</v>
      </c>
      <c r="C69" s="796" t="s">
        <v>395</v>
      </c>
    </row>
    <row r="70" spans="1:3" ht="11.25" customHeight="1">
      <c r="A70" s="479"/>
      <c r="B70" s="795" t="s">
        <v>396</v>
      </c>
      <c r="C70" s="796" t="s">
        <v>396</v>
      </c>
    </row>
    <row r="71" spans="1:3" ht="38.25" customHeight="1">
      <c r="A71" s="479"/>
      <c r="B71" s="811" t="s">
        <v>439</v>
      </c>
      <c r="C71" s="812" t="s">
        <v>397</v>
      </c>
    </row>
    <row r="72" spans="1:3" ht="33.75" customHeight="1">
      <c r="A72" s="479"/>
      <c r="B72" s="811" t="s">
        <v>442</v>
      </c>
      <c r="C72" s="812" t="s">
        <v>398</v>
      </c>
    </row>
    <row r="73" spans="1:3" ht="15.75" customHeight="1">
      <c r="A73" s="479"/>
      <c r="B73" s="811" t="s">
        <v>438</v>
      </c>
      <c r="C73" s="812" t="s">
        <v>399</v>
      </c>
    </row>
    <row r="74" spans="1:3" ht="11.25" customHeight="1">
      <c r="A74" s="479"/>
      <c r="B74" s="795" t="s">
        <v>400</v>
      </c>
      <c r="C74" s="796" t="s">
        <v>400</v>
      </c>
    </row>
    <row r="75" spans="1:3" ht="12" customHeight="1" thickBot="1">
      <c r="A75" s="199"/>
      <c r="B75" s="813" t="s">
        <v>401</v>
      </c>
      <c r="C75" s="814" t="s">
        <v>401</v>
      </c>
    </row>
    <row r="76" spans="1:3" ht="12" customHeight="1" thickTop="1">
      <c r="A76" s="801" t="s">
        <v>466</v>
      </c>
      <c r="B76" s="802"/>
      <c r="C76" s="803"/>
    </row>
    <row r="77" spans="1:3" ht="11.25" customHeight="1">
      <c r="A77" s="479"/>
      <c r="B77" s="795" t="s">
        <v>393</v>
      </c>
      <c r="C77" s="796"/>
    </row>
    <row r="78" spans="1:3" ht="11.25" customHeight="1">
      <c r="A78" s="479"/>
      <c r="B78" s="795" t="s">
        <v>464</v>
      </c>
      <c r="C78" s="796"/>
    </row>
    <row r="79" spans="1:3" ht="11.25" customHeight="1">
      <c r="A79" s="479"/>
      <c r="B79" s="795" t="s">
        <v>465</v>
      </c>
      <c r="C79" s="796"/>
    </row>
    <row r="80" spans="1:3" ht="11.25" customHeight="1">
      <c r="A80" s="801" t="s">
        <v>467</v>
      </c>
      <c r="B80" s="802"/>
      <c r="C80" s="803"/>
    </row>
    <row r="81" spans="1:3" ht="11.25" customHeight="1">
      <c r="A81" s="479"/>
      <c r="B81" s="795" t="s">
        <v>393</v>
      </c>
      <c r="C81" s="796"/>
    </row>
    <row r="82" spans="1:3" ht="11.25" customHeight="1">
      <c r="A82" s="479"/>
      <c r="B82" s="795" t="s">
        <v>468</v>
      </c>
      <c r="C82" s="796"/>
    </row>
    <row r="83" spans="1:3" ht="76.5" customHeight="1">
      <c r="A83" s="479"/>
      <c r="B83" s="795" t="s">
        <v>482</v>
      </c>
      <c r="C83" s="796"/>
    </row>
    <row r="84" spans="1:3" ht="53.25" customHeight="1">
      <c r="A84" s="479"/>
      <c r="B84" s="795" t="s">
        <v>481</v>
      </c>
      <c r="C84" s="796"/>
    </row>
    <row r="85" spans="1:3" ht="11.25" customHeight="1">
      <c r="A85" s="479"/>
      <c r="B85" s="795" t="s">
        <v>469</v>
      </c>
      <c r="C85" s="796"/>
    </row>
    <row r="86" spans="1:3" ht="11.25" customHeight="1">
      <c r="A86" s="479"/>
      <c r="B86" s="795" t="s">
        <v>470</v>
      </c>
      <c r="C86" s="796"/>
    </row>
    <row r="87" spans="1:3" ht="11.25" customHeight="1">
      <c r="A87" s="479"/>
      <c r="B87" s="795" t="s">
        <v>471</v>
      </c>
      <c r="C87" s="796"/>
    </row>
    <row r="88" spans="1:3" ht="11.25" customHeight="1">
      <c r="A88" s="801" t="s">
        <v>472</v>
      </c>
      <c r="B88" s="802"/>
      <c r="C88" s="803"/>
    </row>
    <row r="89" spans="1:3" ht="11.25" customHeight="1">
      <c r="A89" s="479"/>
      <c r="B89" s="795" t="s">
        <v>393</v>
      </c>
      <c r="C89" s="796"/>
    </row>
    <row r="90" spans="1:3" ht="11.25" customHeight="1">
      <c r="A90" s="479"/>
      <c r="B90" s="795" t="s">
        <v>474</v>
      </c>
      <c r="C90" s="796"/>
    </row>
    <row r="91" spans="1:3" ht="12" customHeight="1">
      <c r="A91" s="479"/>
      <c r="B91" s="795" t="s">
        <v>475</v>
      </c>
      <c r="C91" s="796"/>
    </row>
    <row r="92" spans="1:3" ht="11.25" customHeight="1">
      <c r="A92" s="479"/>
      <c r="B92" s="795" t="s">
        <v>476</v>
      </c>
      <c r="C92" s="796"/>
    </row>
    <row r="93" spans="1:3" ht="24.75" customHeight="1">
      <c r="A93" s="479"/>
      <c r="B93" s="804" t="s">
        <v>518</v>
      </c>
      <c r="C93" s="805"/>
    </row>
    <row r="94" spans="1:3" ht="24" customHeight="1">
      <c r="A94" s="479"/>
      <c r="B94" s="804" t="s">
        <v>519</v>
      </c>
      <c r="C94" s="805"/>
    </row>
    <row r="95" spans="1:3" ht="13.5" customHeight="1">
      <c r="A95" s="479"/>
      <c r="B95" s="806" t="s">
        <v>477</v>
      </c>
      <c r="C95" s="807"/>
    </row>
    <row r="96" spans="1:3" ht="11.25" customHeight="1" thickBot="1">
      <c r="A96" s="808" t="s">
        <v>514</v>
      </c>
      <c r="B96" s="809"/>
      <c r="C96" s="810"/>
    </row>
    <row r="97" spans="1:3" ht="12.75" thickTop="1" thickBot="1">
      <c r="A97" s="800" t="s">
        <v>402</v>
      </c>
      <c r="B97" s="800"/>
      <c r="C97" s="800"/>
    </row>
    <row r="98" spans="1:3">
      <c r="A98" s="265">
        <v>2</v>
      </c>
      <c r="B98" s="409" t="s">
        <v>494</v>
      </c>
      <c r="C98" s="409" t="s">
        <v>515</v>
      </c>
    </row>
    <row r="99" spans="1:3">
      <c r="A99" s="203">
        <v>3</v>
      </c>
      <c r="B99" s="410" t="s">
        <v>495</v>
      </c>
      <c r="C99" s="411" t="s">
        <v>516</v>
      </c>
    </row>
    <row r="100" spans="1:3">
      <c r="A100" s="203">
        <v>4</v>
      </c>
      <c r="B100" s="410" t="s">
        <v>496</v>
      </c>
      <c r="C100" s="411" t="s">
        <v>520</v>
      </c>
    </row>
    <row r="101" spans="1:3" ht="11.25" customHeight="1">
      <c r="A101" s="203">
        <v>5</v>
      </c>
      <c r="B101" s="410" t="s">
        <v>497</v>
      </c>
      <c r="C101" s="411" t="s">
        <v>517</v>
      </c>
    </row>
    <row r="102" spans="1:3" ht="12" customHeight="1">
      <c r="A102" s="203">
        <v>6</v>
      </c>
      <c r="B102" s="410" t="s">
        <v>512</v>
      </c>
      <c r="C102" s="411" t="s">
        <v>498</v>
      </c>
    </row>
    <row r="103" spans="1:3" ht="12" customHeight="1">
      <c r="A103" s="203">
        <v>7</v>
      </c>
      <c r="B103" s="410" t="s">
        <v>499</v>
      </c>
      <c r="C103" s="411" t="s">
        <v>513</v>
      </c>
    </row>
    <row r="104" spans="1:3">
      <c r="A104" s="203">
        <v>8</v>
      </c>
      <c r="B104" s="410" t="s">
        <v>504</v>
      </c>
      <c r="C104" s="411" t="s">
        <v>524</v>
      </c>
    </row>
    <row r="105" spans="1:3" ht="11.25" customHeight="1">
      <c r="A105" s="801" t="s">
        <v>478</v>
      </c>
      <c r="B105" s="802"/>
      <c r="C105" s="803"/>
    </row>
    <row r="106" spans="1:3" ht="12" customHeight="1">
      <c r="A106" s="479"/>
      <c r="B106" s="795" t="s">
        <v>393</v>
      </c>
      <c r="C106" s="796"/>
    </row>
    <row r="107" spans="1:3" ht="11.25" customHeight="1">
      <c r="A107" s="801" t="s">
        <v>661</v>
      </c>
      <c r="B107" s="802"/>
      <c r="C107" s="803"/>
    </row>
    <row r="108" spans="1:3" ht="12" customHeight="1">
      <c r="A108" s="479"/>
      <c r="B108" s="795" t="s">
        <v>663</v>
      </c>
      <c r="C108" s="796"/>
    </row>
    <row r="109" spans="1:3" ht="11.25" customHeight="1">
      <c r="A109" s="479"/>
      <c r="B109" s="795" t="s">
        <v>664</v>
      </c>
      <c r="C109" s="796"/>
    </row>
    <row r="110" spans="1:3" ht="11.25" customHeight="1">
      <c r="A110" s="479"/>
      <c r="B110" s="795" t="s">
        <v>662</v>
      </c>
      <c r="C110" s="796"/>
    </row>
    <row r="111" spans="1:3" ht="11.25" customHeight="1">
      <c r="A111" s="783" t="s">
        <v>954</v>
      </c>
      <c r="B111" s="783"/>
      <c r="C111" s="783"/>
    </row>
    <row r="112" spans="1:3">
      <c r="A112" s="797" t="s">
        <v>326</v>
      </c>
      <c r="B112" s="797"/>
      <c r="C112" s="797"/>
    </row>
    <row r="113" spans="1:3" ht="11.25" customHeight="1">
      <c r="A113" s="480">
        <v>1</v>
      </c>
      <c r="B113" s="793" t="s">
        <v>838</v>
      </c>
      <c r="C113" s="794"/>
    </row>
    <row r="114" spans="1:3" ht="11.25" customHeight="1">
      <c r="A114" s="480">
        <v>2</v>
      </c>
      <c r="B114" s="798" t="s">
        <v>839</v>
      </c>
      <c r="C114" s="799"/>
    </row>
    <row r="115" spans="1:3" ht="11.25" customHeight="1">
      <c r="A115" s="480">
        <v>3</v>
      </c>
      <c r="B115" s="793" t="s">
        <v>840</v>
      </c>
      <c r="C115" s="794"/>
    </row>
    <row r="116" spans="1:3" ht="11.25" customHeight="1">
      <c r="A116" s="480">
        <v>4</v>
      </c>
      <c r="B116" s="793" t="s">
        <v>841</v>
      </c>
      <c r="C116" s="794"/>
    </row>
    <row r="117" spans="1:3" ht="11.25" customHeight="1">
      <c r="A117" s="480">
        <v>5</v>
      </c>
      <c r="B117" s="793" t="s">
        <v>842</v>
      </c>
      <c r="C117" s="794"/>
    </row>
    <row r="118" spans="1:3" ht="55.5" customHeight="1">
      <c r="A118" s="480">
        <v>6</v>
      </c>
      <c r="B118" s="793" t="s">
        <v>955</v>
      </c>
      <c r="C118" s="794"/>
    </row>
    <row r="119" spans="1:3" ht="22.5">
      <c r="A119" s="480">
        <v>6.01</v>
      </c>
      <c r="B119" s="481" t="s">
        <v>697</v>
      </c>
      <c r="C119" s="526" t="s">
        <v>956</v>
      </c>
    </row>
    <row r="120" spans="1:3" ht="33.75">
      <c r="A120" s="480">
        <v>6.02</v>
      </c>
      <c r="B120" s="481" t="s">
        <v>698</v>
      </c>
      <c r="C120" s="528" t="s">
        <v>984</v>
      </c>
    </row>
    <row r="121" spans="1:3">
      <c r="A121" s="480">
        <v>6.03</v>
      </c>
      <c r="B121" s="487" t="s">
        <v>699</v>
      </c>
      <c r="C121" s="487" t="s">
        <v>843</v>
      </c>
    </row>
    <row r="122" spans="1:3">
      <c r="A122" s="480">
        <v>6.04</v>
      </c>
      <c r="B122" s="481" t="s">
        <v>700</v>
      </c>
      <c r="C122" s="483" t="s">
        <v>844</v>
      </c>
    </row>
    <row r="123" spans="1:3">
      <c r="A123" s="480">
        <v>6.05</v>
      </c>
      <c r="B123" s="481" t="s">
        <v>701</v>
      </c>
      <c r="C123" s="483" t="s">
        <v>845</v>
      </c>
    </row>
    <row r="124" spans="1:3" ht="22.5">
      <c r="A124" s="480">
        <v>6.06</v>
      </c>
      <c r="B124" s="481" t="s">
        <v>702</v>
      </c>
      <c r="C124" s="483" t="s">
        <v>846</v>
      </c>
    </row>
    <row r="125" spans="1:3">
      <c r="A125" s="480">
        <v>6.07</v>
      </c>
      <c r="B125" s="484" t="s">
        <v>703</v>
      </c>
      <c r="C125" s="483" t="s">
        <v>847</v>
      </c>
    </row>
    <row r="126" spans="1:3" ht="22.5">
      <c r="A126" s="480">
        <v>6.08</v>
      </c>
      <c r="B126" s="481" t="s">
        <v>704</v>
      </c>
      <c r="C126" s="483" t="s">
        <v>848</v>
      </c>
    </row>
    <row r="127" spans="1:3" ht="22.5">
      <c r="A127" s="480">
        <v>6.09</v>
      </c>
      <c r="B127" s="485" t="s">
        <v>705</v>
      </c>
      <c r="C127" s="483" t="s">
        <v>849</v>
      </c>
    </row>
    <row r="128" spans="1:3">
      <c r="A128" s="486">
        <v>6.1</v>
      </c>
      <c r="B128" s="485" t="s">
        <v>706</v>
      </c>
      <c r="C128" s="483" t="s">
        <v>850</v>
      </c>
    </row>
    <row r="129" spans="1:3">
      <c r="A129" s="480">
        <v>6.11</v>
      </c>
      <c r="B129" s="485" t="s">
        <v>707</v>
      </c>
      <c r="C129" s="483" t="s">
        <v>851</v>
      </c>
    </row>
    <row r="130" spans="1:3">
      <c r="A130" s="480">
        <v>6.12</v>
      </c>
      <c r="B130" s="485" t="s">
        <v>708</v>
      </c>
      <c r="C130" s="483" t="s">
        <v>852</v>
      </c>
    </row>
    <row r="131" spans="1:3">
      <c r="A131" s="480">
        <v>6.13</v>
      </c>
      <c r="B131" s="485" t="s">
        <v>709</v>
      </c>
      <c r="C131" s="487" t="s">
        <v>853</v>
      </c>
    </row>
    <row r="132" spans="1:3">
      <c r="A132" s="480">
        <v>6.14</v>
      </c>
      <c r="B132" s="485" t="s">
        <v>710</v>
      </c>
      <c r="C132" s="487" t="s">
        <v>854</v>
      </c>
    </row>
    <row r="133" spans="1:3">
      <c r="A133" s="480">
        <v>6.15</v>
      </c>
      <c r="B133" s="485" t="s">
        <v>711</v>
      </c>
      <c r="C133" s="487" t="s">
        <v>855</v>
      </c>
    </row>
    <row r="134" spans="1:3" ht="22.5">
      <c r="A134" s="480">
        <v>6.16</v>
      </c>
      <c r="B134" s="485" t="s">
        <v>712</v>
      </c>
      <c r="C134" s="487" t="s">
        <v>856</v>
      </c>
    </row>
    <row r="135" spans="1:3">
      <c r="A135" s="480">
        <v>6.17</v>
      </c>
      <c r="B135" s="487" t="s">
        <v>713</v>
      </c>
      <c r="C135" s="487" t="s">
        <v>857</v>
      </c>
    </row>
    <row r="136" spans="1:3" ht="22.5">
      <c r="A136" s="480">
        <v>6.18</v>
      </c>
      <c r="B136" s="485" t="s">
        <v>714</v>
      </c>
      <c r="C136" s="487" t="s">
        <v>858</v>
      </c>
    </row>
    <row r="137" spans="1:3">
      <c r="A137" s="480">
        <v>6.19</v>
      </c>
      <c r="B137" s="485" t="s">
        <v>715</v>
      </c>
      <c r="C137" s="487" t="s">
        <v>859</v>
      </c>
    </row>
    <row r="138" spans="1:3">
      <c r="A138" s="486">
        <v>6.2</v>
      </c>
      <c r="B138" s="485" t="s">
        <v>716</v>
      </c>
      <c r="C138" s="487" t="s">
        <v>860</v>
      </c>
    </row>
    <row r="139" spans="1:3">
      <c r="A139" s="480">
        <v>6.21</v>
      </c>
      <c r="B139" s="485" t="s">
        <v>717</v>
      </c>
      <c r="C139" s="487" t="s">
        <v>861</v>
      </c>
    </row>
    <row r="140" spans="1:3">
      <c r="A140" s="480">
        <v>6.22</v>
      </c>
      <c r="B140" s="485" t="s">
        <v>718</v>
      </c>
      <c r="C140" s="487" t="s">
        <v>862</v>
      </c>
    </row>
    <row r="141" spans="1:3" ht="22.5">
      <c r="A141" s="480">
        <v>6.23</v>
      </c>
      <c r="B141" s="485" t="s">
        <v>719</v>
      </c>
      <c r="C141" s="487" t="s">
        <v>863</v>
      </c>
    </row>
    <row r="142" spans="1:3" ht="22.5">
      <c r="A142" s="480">
        <v>6.24</v>
      </c>
      <c r="B142" s="481" t="s">
        <v>720</v>
      </c>
      <c r="C142" s="487" t="s">
        <v>864</v>
      </c>
    </row>
    <row r="143" spans="1:3">
      <c r="A143" s="480">
        <v>6.2500000000000098</v>
      </c>
      <c r="B143" s="481" t="s">
        <v>721</v>
      </c>
      <c r="C143" s="487" t="s">
        <v>865</v>
      </c>
    </row>
    <row r="144" spans="1:3" ht="22.5">
      <c r="A144" s="480">
        <v>6.2600000000000202</v>
      </c>
      <c r="B144" s="481" t="s">
        <v>866</v>
      </c>
      <c r="C144" s="527" t="s">
        <v>867</v>
      </c>
    </row>
    <row r="145" spans="1:3" ht="22.5">
      <c r="A145" s="480">
        <v>6.2700000000000298</v>
      </c>
      <c r="B145" s="481" t="s">
        <v>165</v>
      </c>
      <c r="C145" s="527" t="s">
        <v>958</v>
      </c>
    </row>
    <row r="146" spans="1:3">
      <c r="A146" s="480"/>
      <c r="B146" s="785" t="s">
        <v>868</v>
      </c>
      <c r="C146" s="786"/>
    </row>
    <row r="147" spans="1:3" s="489" customFormat="1" ht="11.25" customHeight="1">
      <c r="A147" s="488">
        <v>7.1</v>
      </c>
      <c r="B147" s="481" t="s">
        <v>869</v>
      </c>
      <c r="C147" s="904" t="s">
        <v>870</v>
      </c>
    </row>
    <row r="148" spans="1:3" s="489" customFormat="1">
      <c r="A148" s="488">
        <v>7.2</v>
      </c>
      <c r="B148" s="481" t="s">
        <v>871</v>
      </c>
      <c r="C148" s="905"/>
    </row>
    <row r="149" spans="1:3" s="489" customFormat="1">
      <c r="A149" s="488">
        <v>7.3</v>
      </c>
      <c r="B149" s="481" t="s">
        <v>872</v>
      </c>
      <c r="C149" s="905"/>
    </row>
    <row r="150" spans="1:3" s="489" customFormat="1">
      <c r="A150" s="488">
        <v>7.4</v>
      </c>
      <c r="B150" s="481" t="s">
        <v>873</v>
      </c>
      <c r="C150" s="905"/>
    </row>
    <row r="151" spans="1:3" s="489" customFormat="1">
      <c r="A151" s="488">
        <v>7.5</v>
      </c>
      <c r="B151" s="481" t="s">
        <v>874</v>
      </c>
      <c r="C151" s="905"/>
    </row>
    <row r="152" spans="1:3" s="489" customFormat="1">
      <c r="A152" s="488">
        <v>7.6</v>
      </c>
      <c r="B152" s="481" t="s">
        <v>949</v>
      </c>
      <c r="C152" s="906"/>
    </row>
    <row r="153" spans="1:3" s="489" customFormat="1" ht="22.5">
      <c r="A153" s="488">
        <v>7.7</v>
      </c>
      <c r="B153" s="481" t="s">
        <v>875</v>
      </c>
      <c r="C153" s="490" t="s">
        <v>876</v>
      </c>
    </row>
    <row r="154" spans="1:3" s="489" customFormat="1" ht="22.5">
      <c r="A154" s="488">
        <v>7.8</v>
      </c>
      <c r="B154" s="481" t="s">
        <v>877</v>
      </c>
      <c r="C154" s="490" t="s">
        <v>878</v>
      </c>
    </row>
    <row r="155" spans="1:3">
      <c r="A155" s="479"/>
      <c r="B155" s="785" t="s">
        <v>879</v>
      </c>
      <c r="C155" s="786"/>
    </row>
    <row r="156" spans="1:3" ht="11.25" customHeight="1">
      <c r="A156" s="488">
        <v>1</v>
      </c>
      <c r="B156" s="787" t="s">
        <v>985</v>
      </c>
      <c r="C156" s="788"/>
    </row>
    <row r="157" spans="1:3" ht="24.95" customHeight="1">
      <c r="A157" s="488">
        <v>2</v>
      </c>
      <c r="B157" s="789" t="s">
        <v>959</v>
      </c>
      <c r="C157" s="790"/>
    </row>
    <row r="158" spans="1:3" ht="11.25" customHeight="1">
      <c r="A158" s="488">
        <v>3</v>
      </c>
      <c r="B158" s="789" t="s">
        <v>948</v>
      </c>
      <c r="C158" s="790"/>
    </row>
    <row r="159" spans="1:3">
      <c r="A159" s="479"/>
      <c r="B159" s="785" t="s">
        <v>880</v>
      </c>
      <c r="C159" s="786"/>
    </row>
    <row r="160" spans="1:3" ht="24.6" customHeight="1">
      <c r="A160" s="488">
        <v>1</v>
      </c>
      <c r="B160" s="791" t="s">
        <v>986</v>
      </c>
      <c r="C160" s="792"/>
    </row>
    <row r="161" spans="1:3" ht="22.5">
      <c r="A161" s="488">
        <v>3</v>
      </c>
      <c r="B161" s="481" t="s">
        <v>685</v>
      </c>
      <c r="C161" s="490" t="s">
        <v>881</v>
      </c>
    </row>
    <row r="162" spans="1:3" ht="22.5">
      <c r="A162" s="488">
        <v>4</v>
      </c>
      <c r="B162" s="481" t="s">
        <v>686</v>
      </c>
      <c r="C162" s="490" t="s">
        <v>882</v>
      </c>
    </row>
    <row r="163" spans="1:3" ht="33.75">
      <c r="A163" s="488">
        <v>5</v>
      </c>
      <c r="B163" s="481" t="s">
        <v>687</v>
      </c>
      <c r="C163" s="490" t="s">
        <v>883</v>
      </c>
    </row>
    <row r="164" spans="1:3">
      <c r="A164" s="488">
        <v>6</v>
      </c>
      <c r="B164" s="481" t="s">
        <v>688</v>
      </c>
      <c r="C164" s="481" t="s">
        <v>884</v>
      </c>
    </row>
    <row r="165" spans="1:3">
      <c r="A165" s="479"/>
      <c r="B165" s="785" t="s">
        <v>885</v>
      </c>
      <c r="C165" s="786"/>
    </row>
    <row r="166" spans="1:3" ht="22.5">
      <c r="A166" s="488"/>
      <c r="B166" s="481" t="s">
        <v>886</v>
      </c>
      <c r="C166" s="491" t="s">
        <v>887</v>
      </c>
    </row>
    <row r="167" spans="1:3">
      <c r="A167" s="488"/>
      <c r="B167" s="481" t="s">
        <v>687</v>
      </c>
      <c r="C167" s="490" t="s">
        <v>888</v>
      </c>
    </row>
    <row r="168" spans="1:3">
      <c r="A168" s="479"/>
      <c r="B168" s="785" t="s">
        <v>889</v>
      </c>
      <c r="C168" s="786"/>
    </row>
    <row r="169" spans="1:3">
      <c r="A169" s="479"/>
      <c r="B169" s="795" t="s">
        <v>952</v>
      </c>
      <c r="C169" s="796"/>
    </row>
    <row r="170" spans="1:3">
      <c r="A170" s="479" t="s">
        <v>890</v>
      </c>
      <c r="B170" s="492" t="s">
        <v>745</v>
      </c>
      <c r="C170" s="493" t="s">
        <v>891</v>
      </c>
    </row>
    <row r="171" spans="1:3" ht="11.25" customHeight="1">
      <c r="A171" s="479" t="s">
        <v>539</v>
      </c>
      <c r="B171" s="494" t="s">
        <v>746</v>
      </c>
      <c r="C171" s="490" t="s">
        <v>892</v>
      </c>
    </row>
    <row r="172" spans="1:3" ht="22.5">
      <c r="A172" s="479" t="s">
        <v>546</v>
      </c>
      <c r="B172" s="493" t="s">
        <v>747</v>
      </c>
      <c r="C172" s="490" t="s">
        <v>893</v>
      </c>
    </row>
    <row r="173" spans="1:3">
      <c r="A173" s="479" t="s">
        <v>894</v>
      </c>
      <c r="B173" s="494" t="s">
        <v>748</v>
      </c>
      <c r="C173" s="494" t="s">
        <v>895</v>
      </c>
    </row>
    <row r="174" spans="1:3" ht="22.5">
      <c r="A174" s="479" t="s">
        <v>896</v>
      </c>
      <c r="B174" s="495" t="s">
        <v>749</v>
      </c>
      <c r="C174" s="495" t="s">
        <v>897</v>
      </c>
    </row>
    <row r="175" spans="1:3" ht="22.5">
      <c r="A175" s="479" t="s">
        <v>547</v>
      </c>
      <c r="B175" s="495" t="s">
        <v>750</v>
      </c>
      <c r="C175" s="495" t="s">
        <v>898</v>
      </c>
    </row>
    <row r="176" spans="1:3" ht="22.5">
      <c r="A176" s="479" t="s">
        <v>899</v>
      </c>
      <c r="B176" s="495" t="s">
        <v>751</v>
      </c>
      <c r="C176" s="495" t="s">
        <v>900</v>
      </c>
    </row>
    <row r="177" spans="1:3" ht="22.5">
      <c r="A177" s="479" t="s">
        <v>901</v>
      </c>
      <c r="B177" s="495" t="s">
        <v>752</v>
      </c>
      <c r="C177" s="495" t="s">
        <v>903</v>
      </c>
    </row>
    <row r="178" spans="1:3" ht="22.5">
      <c r="A178" s="479" t="s">
        <v>902</v>
      </c>
      <c r="B178" s="495" t="s">
        <v>753</v>
      </c>
      <c r="C178" s="495" t="s">
        <v>905</v>
      </c>
    </row>
    <row r="179" spans="1:3" ht="22.5">
      <c r="A179" s="479" t="s">
        <v>904</v>
      </c>
      <c r="B179" s="495" t="s">
        <v>754</v>
      </c>
      <c r="C179" s="496" t="s">
        <v>907</v>
      </c>
    </row>
    <row r="180" spans="1:3" ht="22.5">
      <c r="A180" s="479" t="s">
        <v>906</v>
      </c>
      <c r="B180" s="513" t="s">
        <v>755</v>
      </c>
      <c r="C180" s="496" t="s">
        <v>909</v>
      </c>
    </row>
    <row r="181" spans="1:3" ht="22.5">
      <c r="A181" s="479" t="s">
        <v>908</v>
      </c>
      <c r="B181" s="495" t="s">
        <v>756</v>
      </c>
      <c r="C181" s="497" t="s">
        <v>911</v>
      </c>
    </row>
    <row r="182" spans="1:3">
      <c r="A182" s="907" t="s">
        <v>910</v>
      </c>
      <c r="B182" s="498" t="s">
        <v>757</v>
      </c>
      <c r="C182" s="493" t="s">
        <v>912</v>
      </c>
    </row>
    <row r="183" spans="1:3" ht="22.5">
      <c r="A183" s="479"/>
      <c r="B183" s="499" t="s">
        <v>913</v>
      </c>
      <c r="C183" s="483" t="s">
        <v>914</v>
      </c>
    </row>
    <row r="184" spans="1:3" ht="22.5">
      <c r="A184" s="479"/>
      <c r="B184" s="499" t="s">
        <v>915</v>
      </c>
      <c r="C184" s="483" t="s">
        <v>916</v>
      </c>
    </row>
    <row r="185" spans="1:3" ht="22.5">
      <c r="A185" s="479"/>
      <c r="B185" s="499" t="s">
        <v>917</v>
      </c>
      <c r="C185" s="483" t="s">
        <v>918</v>
      </c>
    </row>
    <row r="186" spans="1:3">
      <c r="A186" s="479"/>
      <c r="B186" s="785" t="s">
        <v>919</v>
      </c>
      <c r="C186" s="786"/>
    </row>
    <row r="187" spans="1:3">
      <c r="A187" s="479"/>
      <c r="B187" s="787" t="s">
        <v>987</v>
      </c>
      <c r="C187" s="788"/>
    </row>
    <row r="188" spans="1:3">
      <c r="A188" s="488">
        <v>1</v>
      </c>
      <c r="B188" s="487" t="s">
        <v>777</v>
      </c>
      <c r="C188" s="487" t="s">
        <v>777</v>
      </c>
    </row>
    <row r="189" spans="1:3" ht="33.75">
      <c r="A189" s="488">
        <v>2</v>
      </c>
      <c r="B189" s="487" t="s">
        <v>920</v>
      </c>
      <c r="C189" s="487" t="s">
        <v>921</v>
      </c>
    </row>
    <row r="190" spans="1:3">
      <c r="A190" s="488">
        <v>3</v>
      </c>
      <c r="B190" s="487" t="s">
        <v>779</v>
      </c>
      <c r="C190" s="487" t="s">
        <v>922</v>
      </c>
    </row>
    <row r="191" spans="1:3" ht="23.45" customHeight="1">
      <c r="A191" s="488">
        <v>4</v>
      </c>
      <c r="B191" s="487" t="s">
        <v>780</v>
      </c>
      <c r="C191" s="487" t="s">
        <v>923</v>
      </c>
    </row>
    <row r="192" spans="1:3" ht="22.5">
      <c r="A192" s="488">
        <v>5</v>
      </c>
      <c r="B192" s="487" t="s">
        <v>781</v>
      </c>
      <c r="C192" s="482" t="s">
        <v>988</v>
      </c>
    </row>
    <row r="193" spans="1:4" ht="45">
      <c r="A193" s="488">
        <v>6</v>
      </c>
      <c r="B193" s="487" t="s">
        <v>782</v>
      </c>
      <c r="C193" s="487" t="s">
        <v>924</v>
      </c>
    </row>
    <row r="194" spans="1:4">
      <c r="A194" s="479"/>
      <c r="B194" s="785" t="s">
        <v>925</v>
      </c>
      <c r="C194" s="786"/>
    </row>
    <row r="195" spans="1:4">
      <c r="A195" s="479"/>
      <c r="B195" s="784" t="s">
        <v>950</v>
      </c>
      <c r="C195" s="908"/>
    </row>
    <row r="196" spans="1:4" ht="22.5">
      <c r="A196" s="479">
        <v>1.1000000000000001</v>
      </c>
      <c r="B196" s="500" t="s">
        <v>792</v>
      </c>
      <c r="C196" s="526" t="s">
        <v>926</v>
      </c>
    </row>
    <row r="197" spans="1:4">
      <c r="A197" s="479" t="s">
        <v>252</v>
      </c>
      <c r="B197" s="501" t="s">
        <v>793</v>
      </c>
      <c r="C197" s="526" t="s">
        <v>927</v>
      </c>
    </row>
    <row r="198" spans="1:4">
      <c r="A198" s="479" t="s">
        <v>794</v>
      </c>
      <c r="B198" s="502" t="s">
        <v>795</v>
      </c>
      <c r="C198" s="835" t="s">
        <v>951</v>
      </c>
    </row>
    <row r="199" spans="1:4" ht="26.1" customHeight="1">
      <c r="A199" s="479" t="s">
        <v>796</v>
      </c>
      <c r="B199" s="502" t="s">
        <v>797</v>
      </c>
      <c r="C199" s="835"/>
    </row>
    <row r="200" spans="1:4" ht="12.75">
      <c r="A200" s="479" t="s">
        <v>798</v>
      </c>
      <c r="B200" s="502" t="s">
        <v>799</v>
      </c>
      <c r="C200" s="835"/>
      <c r="D200" s="514"/>
    </row>
    <row r="201" spans="1:4" ht="12.75">
      <c r="A201" s="479" t="s">
        <v>800</v>
      </c>
      <c r="B201" s="502" t="s">
        <v>801</v>
      </c>
      <c r="C201" s="835"/>
      <c r="D201" s="515"/>
    </row>
    <row r="202" spans="1:4" ht="12.75" customHeight="1">
      <c r="A202" s="479">
        <v>1.2</v>
      </c>
      <c r="B202" s="503" t="s">
        <v>802</v>
      </c>
      <c r="C202" s="504" t="s">
        <v>928</v>
      </c>
      <c r="D202" s="516"/>
    </row>
    <row r="203" spans="1:4" ht="22.5">
      <c r="A203" s="479" t="s">
        <v>804</v>
      </c>
      <c r="B203" s="505" t="s">
        <v>805</v>
      </c>
      <c r="C203" s="506" t="s">
        <v>929</v>
      </c>
      <c r="D203" s="516"/>
    </row>
    <row r="204" spans="1:4" ht="23.25">
      <c r="A204" s="479" t="s">
        <v>806</v>
      </c>
      <c r="B204" s="507" t="s">
        <v>807</v>
      </c>
      <c r="C204" s="506" t="s">
        <v>930</v>
      </c>
      <c r="D204" s="516"/>
    </row>
    <row r="205" spans="1:4" ht="12.75">
      <c r="A205" s="479" t="s">
        <v>808</v>
      </c>
      <c r="B205" s="508" t="s">
        <v>809</v>
      </c>
      <c r="C205" s="504" t="s">
        <v>931</v>
      </c>
      <c r="D205" s="516"/>
    </row>
    <row r="206" spans="1:4" ht="22.5">
      <c r="A206" s="479" t="s">
        <v>810</v>
      </c>
      <c r="B206" s="511" t="s">
        <v>811</v>
      </c>
      <c r="C206" s="504" t="s">
        <v>932</v>
      </c>
      <c r="D206" s="517"/>
    </row>
    <row r="207" spans="1:4" ht="22.5">
      <c r="A207" s="479">
        <v>1.4</v>
      </c>
      <c r="B207" s="505" t="s">
        <v>946</v>
      </c>
      <c r="C207" s="509" t="s">
        <v>933</v>
      </c>
      <c r="D207" s="518"/>
    </row>
    <row r="208" spans="1:4" ht="12.75">
      <c r="A208" s="479">
        <v>1.5</v>
      </c>
      <c r="B208" s="505" t="s">
        <v>947</v>
      </c>
      <c r="C208" s="509" t="s">
        <v>933</v>
      </c>
      <c r="D208" s="519"/>
    </row>
    <row r="209" spans="1:4" ht="12.75">
      <c r="A209" s="479"/>
      <c r="B209" s="783" t="s">
        <v>934</v>
      </c>
      <c r="C209" s="783"/>
      <c r="D209" s="518"/>
    </row>
    <row r="210" spans="1:4" ht="18" customHeight="1">
      <c r="A210" s="479"/>
      <c r="B210" s="784" t="s">
        <v>935</v>
      </c>
      <c r="C210" s="784"/>
      <c r="D210" s="519"/>
    </row>
    <row r="211" spans="1:4" ht="22.5">
      <c r="A211" s="488"/>
      <c r="B211" s="481" t="s">
        <v>685</v>
      </c>
      <c r="C211" s="490" t="s">
        <v>881</v>
      </c>
      <c r="D211" s="520"/>
    </row>
    <row r="212" spans="1:4" ht="22.5">
      <c r="A212" s="488"/>
      <c r="B212" s="481" t="s">
        <v>686</v>
      </c>
      <c r="C212" s="490" t="s">
        <v>882</v>
      </c>
      <c r="D212" s="520"/>
    </row>
    <row r="213" spans="1:4" ht="22.5">
      <c r="A213" s="479"/>
      <c r="B213" s="481" t="s">
        <v>687</v>
      </c>
      <c r="C213" s="490" t="s">
        <v>936</v>
      </c>
    </row>
    <row r="214" spans="1:4" ht="24.6" customHeight="1">
      <c r="A214" s="479"/>
      <c r="B214" s="783" t="s">
        <v>937</v>
      </c>
      <c r="C214" s="783"/>
    </row>
    <row r="215" spans="1:4" ht="34.5" customHeight="1">
      <c r="A215" s="488"/>
      <c r="B215" s="909" t="s">
        <v>953</v>
      </c>
      <c r="C215" s="909"/>
    </row>
  </sheetData>
  <mergeCells count="131">
    <mergeCell ref="B168:C168"/>
    <mergeCell ref="B169:C169"/>
    <mergeCell ref="B186:C186"/>
    <mergeCell ref="B187:C187"/>
    <mergeCell ref="B194:C194"/>
    <mergeCell ref="B195:C195"/>
    <mergeCell ref="C198:C201"/>
    <mergeCell ref="B209:C209"/>
    <mergeCell ref="B210:C210"/>
    <mergeCell ref="B7:C7"/>
    <mergeCell ref="B8:C8"/>
    <mergeCell ref="B9:C9"/>
    <mergeCell ref="B10:C10"/>
    <mergeCell ref="B11:C11"/>
    <mergeCell ref="B12:C12"/>
    <mergeCell ref="A1:C1"/>
    <mergeCell ref="B2:C2"/>
    <mergeCell ref="B3:C3"/>
    <mergeCell ref="A4:C4"/>
    <mergeCell ref="B5:C5"/>
    <mergeCell ref="B6:C6"/>
    <mergeCell ref="B19:C19"/>
    <mergeCell ref="B20:C20"/>
    <mergeCell ref="B21:C21"/>
    <mergeCell ref="B22:C22"/>
    <mergeCell ref="B23:C23"/>
    <mergeCell ref="B24:C24"/>
    <mergeCell ref="B13:C13"/>
    <mergeCell ref="B14:C14"/>
    <mergeCell ref="B15:C15"/>
    <mergeCell ref="B16:C16"/>
    <mergeCell ref="B17:C17"/>
    <mergeCell ref="B18:C18"/>
    <mergeCell ref="B31:C31"/>
    <mergeCell ref="B32:C32"/>
    <mergeCell ref="B33:C33"/>
    <mergeCell ref="B34:C34"/>
    <mergeCell ref="B35:C35"/>
    <mergeCell ref="B36:C36"/>
    <mergeCell ref="B25:C25"/>
    <mergeCell ref="A26:C26"/>
    <mergeCell ref="B27:C27"/>
    <mergeCell ref="A28:C28"/>
    <mergeCell ref="B29:C29"/>
    <mergeCell ref="B30:C30"/>
    <mergeCell ref="B43:C43"/>
    <mergeCell ref="B44:C44"/>
    <mergeCell ref="B45:C45"/>
    <mergeCell ref="A46:C46"/>
    <mergeCell ref="B47:C47"/>
    <mergeCell ref="A48:C48"/>
    <mergeCell ref="B37:C37"/>
    <mergeCell ref="B38:C38"/>
    <mergeCell ref="B39:C39"/>
    <mergeCell ref="B40:C40"/>
    <mergeCell ref="B41:C41"/>
    <mergeCell ref="A42:C42"/>
    <mergeCell ref="A55:C55"/>
    <mergeCell ref="B56:C56"/>
    <mergeCell ref="B57:C57"/>
    <mergeCell ref="B58:C58"/>
    <mergeCell ref="B59:C59"/>
    <mergeCell ref="B60:C60"/>
    <mergeCell ref="B49:C49"/>
    <mergeCell ref="B50:C50"/>
    <mergeCell ref="B51:C51"/>
    <mergeCell ref="B52:C52"/>
    <mergeCell ref="B53:C53"/>
    <mergeCell ref="B54:C54"/>
    <mergeCell ref="A67:C67"/>
    <mergeCell ref="B68:C68"/>
    <mergeCell ref="B69:C69"/>
    <mergeCell ref="B70:C70"/>
    <mergeCell ref="B71:C71"/>
    <mergeCell ref="B72:C72"/>
    <mergeCell ref="B61:C61"/>
    <mergeCell ref="B62:C62"/>
    <mergeCell ref="B63:C63"/>
    <mergeCell ref="B64:C64"/>
    <mergeCell ref="A65:C65"/>
    <mergeCell ref="B66:C66"/>
    <mergeCell ref="B79:C79"/>
    <mergeCell ref="A80:C80"/>
    <mergeCell ref="B81:C81"/>
    <mergeCell ref="B82:C82"/>
    <mergeCell ref="B83:C83"/>
    <mergeCell ref="B84:C84"/>
    <mergeCell ref="B73:C73"/>
    <mergeCell ref="B74:C74"/>
    <mergeCell ref="B75:C75"/>
    <mergeCell ref="A76:C76"/>
    <mergeCell ref="B77:C77"/>
    <mergeCell ref="B78:C78"/>
    <mergeCell ref="B91:C91"/>
    <mergeCell ref="B92:C92"/>
    <mergeCell ref="B93:C93"/>
    <mergeCell ref="B94:C94"/>
    <mergeCell ref="B95:C95"/>
    <mergeCell ref="A96:C96"/>
    <mergeCell ref="B85:C85"/>
    <mergeCell ref="B86:C86"/>
    <mergeCell ref="B87:C87"/>
    <mergeCell ref="A88:C88"/>
    <mergeCell ref="B89:C89"/>
    <mergeCell ref="B90:C90"/>
    <mergeCell ref="B110:C110"/>
    <mergeCell ref="A111:C111"/>
    <mergeCell ref="A112:C112"/>
    <mergeCell ref="B113:C113"/>
    <mergeCell ref="B114:C114"/>
    <mergeCell ref="B115:C115"/>
    <mergeCell ref="A97:C97"/>
    <mergeCell ref="A105:C105"/>
    <mergeCell ref="B106:C106"/>
    <mergeCell ref="A107:C107"/>
    <mergeCell ref="B108:C108"/>
    <mergeCell ref="B109:C109"/>
    <mergeCell ref="B156:C156"/>
    <mergeCell ref="B157:C157"/>
    <mergeCell ref="B158:C158"/>
    <mergeCell ref="B159:C159"/>
    <mergeCell ref="B160:C160"/>
    <mergeCell ref="B116:C116"/>
    <mergeCell ref="B117:C117"/>
    <mergeCell ref="B118:C118"/>
    <mergeCell ref="B146:C146"/>
    <mergeCell ref="B155:C155"/>
    <mergeCell ref="C147:C152"/>
    <mergeCell ref="B165:C165"/>
    <mergeCell ref="B214:C214"/>
    <mergeCell ref="B215:C215"/>
  </mergeCells>
  <pageMargins left="0.25" right="0.25"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10.7109375" style="2" bestFit="1" customWidth="1"/>
    <col min="2" max="2" width="55.140625" style="2" bestFit="1" customWidth="1"/>
    <col min="3" max="3" width="11.7109375" style="2" customWidth="1"/>
    <col min="4" max="4" width="13.28515625" style="2" customWidth="1"/>
    <col min="5" max="5" width="14.5703125" style="2" customWidth="1"/>
    <col min="6" max="6" width="11.7109375" style="2" customWidth="1"/>
    <col min="7" max="7" width="13.7109375" style="2" customWidth="1"/>
    <col min="8" max="8" width="14.5703125" style="2" customWidth="1"/>
  </cols>
  <sheetData>
    <row r="1" spans="1:8" ht="15.75">
      <c r="A1" s="531" t="s">
        <v>188</v>
      </c>
      <c r="B1" s="532" t="s">
        <v>960</v>
      </c>
    </row>
    <row r="2" spans="1:8" ht="15.75">
      <c r="A2" s="531" t="s">
        <v>189</v>
      </c>
      <c r="B2" s="533">
        <f>'1. key ratios'!B2</f>
        <v>44377</v>
      </c>
    </row>
    <row r="3" spans="1:8" ht="15.75">
      <c r="A3" s="18"/>
    </row>
    <row r="4" spans="1:8" ht="16.5" thickBot="1">
      <c r="A4" s="32" t="s">
        <v>406</v>
      </c>
      <c r="B4" s="54" t="s">
        <v>244</v>
      </c>
      <c r="C4" s="32"/>
      <c r="D4" s="33"/>
      <c r="E4" s="33"/>
      <c r="F4" s="34"/>
      <c r="G4" s="34"/>
      <c r="H4" s="35" t="s">
        <v>93</v>
      </c>
    </row>
    <row r="5" spans="1:8" ht="15.75">
      <c r="A5" s="36"/>
      <c r="B5" s="37"/>
      <c r="C5" s="716" t="s">
        <v>194</v>
      </c>
      <c r="D5" s="717"/>
      <c r="E5" s="718"/>
      <c r="F5" s="716" t="s">
        <v>195</v>
      </c>
      <c r="G5" s="717"/>
      <c r="H5" s="719"/>
    </row>
    <row r="6" spans="1:8" ht="15.75">
      <c r="A6" s="564" t="s">
        <v>26</v>
      </c>
      <c r="B6" s="565" t="s">
        <v>153</v>
      </c>
      <c r="C6" s="566" t="s">
        <v>27</v>
      </c>
      <c r="D6" s="566" t="s">
        <v>94</v>
      </c>
      <c r="E6" s="566" t="s">
        <v>68</v>
      </c>
      <c r="F6" s="566" t="s">
        <v>27</v>
      </c>
      <c r="G6" s="566" t="s">
        <v>94</v>
      </c>
      <c r="H6" s="567" t="s">
        <v>68</v>
      </c>
    </row>
    <row r="7" spans="1:8" ht="15.75">
      <c r="A7" s="564">
        <v>1</v>
      </c>
      <c r="B7" s="568" t="s">
        <v>154</v>
      </c>
      <c r="C7" s="569">
        <v>1474380.2999999998</v>
      </c>
      <c r="D7" s="569">
        <v>3211745.5700000003</v>
      </c>
      <c r="E7" s="570">
        <f>C7+D7</f>
        <v>4686125.87</v>
      </c>
      <c r="F7" s="571">
        <v>1169019.5</v>
      </c>
      <c r="G7" s="569">
        <v>2528306.5700000003</v>
      </c>
      <c r="H7" s="572">
        <f>F7+G7</f>
        <v>3697326.0700000003</v>
      </c>
    </row>
    <row r="8" spans="1:8" ht="15.75">
      <c r="A8" s="564">
        <v>2</v>
      </c>
      <c r="B8" s="568" t="s">
        <v>155</v>
      </c>
      <c r="C8" s="569">
        <v>2349583.38</v>
      </c>
      <c r="D8" s="569">
        <v>36787731.909999996</v>
      </c>
      <c r="E8" s="570">
        <f t="shared" ref="E8:E20" si="0">C8+D8</f>
        <v>39137315.289999999</v>
      </c>
      <c r="F8" s="571">
        <v>5883069.4500000002</v>
      </c>
      <c r="G8" s="569">
        <v>32990223.699999999</v>
      </c>
      <c r="H8" s="572">
        <f t="shared" ref="H8:H40" si="1">F8+G8</f>
        <v>38873293.149999999</v>
      </c>
    </row>
    <row r="9" spans="1:8" ht="15.75">
      <c r="A9" s="564">
        <v>3</v>
      </c>
      <c r="B9" s="568" t="s">
        <v>156</v>
      </c>
      <c r="C9" s="569">
        <v>10108631.73</v>
      </c>
      <c r="D9" s="569">
        <v>45410849.542181008</v>
      </c>
      <c r="E9" s="570">
        <f t="shared" si="0"/>
        <v>55519481.272181004</v>
      </c>
      <c r="F9" s="571">
        <v>96830.73000000001</v>
      </c>
      <c r="G9" s="569">
        <v>30442045.090402998</v>
      </c>
      <c r="H9" s="572">
        <f t="shared" si="1"/>
        <v>30538875.820402998</v>
      </c>
    </row>
    <row r="10" spans="1:8" ht="15.75">
      <c r="A10" s="564">
        <v>4</v>
      </c>
      <c r="B10" s="568" t="s">
        <v>185</v>
      </c>
      <c r="C10" s="569">
        <v>0</v>
      </c>
      <c r="D10" s="569">
        <v>0</v>
      </c>
      <c r="E10" s="570">
        <f t="shared" si="0"/>
        <v>0</v>
      </c>
      <c r="F10" s="571">
        <v>0</v>
      </c>
      <c r="G10" s="569">
        <v>0</v>
      </c>
      <c r="H10" s="572">
        <f t="shared" si="1"/>
        <v>0</v>
      </c>
    </row>
    <row r="11" spans="1:8" ht="15.75">
      <c r="A11" s="564">
        <v>5</v>
      </c>
      <c r="B11" s="568" t="s">
        <v>157</v>
      </c>
      <c r="C11" s="569">
        <v>21036618.22000964</v>
      </c>
      <c r="D11" s="569">
        <v>10666519.299042065</v>
      </c>
      <c r="E11" s="570">
        <f t="shared" si="0"/>
        <v>31703137.519051705</v>
      </c>
      <c r="F11" s="571">
        <v>23309721.513735712</v>
      </c>
      <c r="G11" s="569">
        <v>9628304.9768156614</v>
      </c>
      <c r="H11" s="572">
        <f t="shared" si="1"/>
        <v>32938026.490551375</v>
      </c>
    </row>
    <row r="12" spans="1:8" ht="15.75">
      <c r="A12" s="564">
        <v>6.1</v>
      </c>
      <c r="B12" s="573" t="s">
        <v>158</v>
      </c>
      <c r="C12" s="569">
        <v>75954578.959999993</v>
      </c>
      <c r="D12" s="569">
        <v>151571384.74000001</v>
      </c>
      <c r="E12" s="570">
        <f t="shared" si="0"/>
        <v>227525963.69999999</v>
      </c>
      <c r="F12" s="571">
        <v>72038765.230000004</v>
      </c>
      <c r="G12" s="569">
        <v>125939314.53000002</v>
      </c>
      <c r="H12" s="572">
        <f t="shared" si="1"/>
        <v>197978079.76000002</v>
      </c>
    </row>
    <row r="13" spans="1:8" ht="15.75">
      <c r="A13" s="564">
        <v>6.2</v>
      </c>
      <c r="B13" s="573" t="s">
        <v>159</v>
      </c>
      <c r="C13" s="574">
        <v>-6961955.0019999994</v>
      </c>
      <c r="D13" s="574">
        <v>-4271915.4016000004</v>
      </c>
      <c r="E13" s="575">
        <f t="shared" si="0"/>
        <v>-11233870.4036</v>
      </c>
      <c r="F13" s="576">
        <v>-7088189.0877999999</v>
      </c>
      <c r="G13" s="574">
        <v>-4278394.8159999996</v>
      </c>
      <c r="H13" s="577">
        <f t="shared" si="1"/>
        <v>-11366583.9038</v>
      </c>
    </row>
    <row r="14" spans="1:8" ht="15.75">
      <c r="A14" s="564">
        <v>6</v>
      </c>
      <c r="B14" s="568" t="s">
        <v>160</v>
      </c>
      <c r="C14" s="570">
        <f>C12+C13</f>
        <v>68992623.957999989</v>
      </c>
      <c r="D14" s="570">
        <f>D12+D13</f>
        <v>147299469.33840001</v>
      </c>
      <c r="E14" s="570">
        <f t="shared" si="0"/>
        <v>216292093.29640001</v>
      </c>
      <c r="F14" s="570">
        <f>F12+F13</f>
        <v>64950576.142200008</v>
      </c>
      <c r="G14" s="570">
        <f>G12+G13</f>
        <v>121660919.71400002</v>
      </c>
      <c r="H14" s="572">
        <f t="shared" si="1"/>
        <v>186611495.85620004</v>
      </c>
    </row>
    <row r="15" spans="1:8" ht="15.75">
      <c r="A15" s="564">
        <v>7</v>
      </c>
      <c r="B15" s="568" t="s">
        <v>161</v>
      </c>
      <c r="C15" s="569">
        <v>1052225.0000000002</v>
      </c>
      <c r="D15" s="569">
        <v>1166293.020819</v>
      </c>
      <c r="E15" s="570">
        <f t="shared" si="0"/>
        <v>2218518.020819</v>
      </c>
      <c r="F15" s="571">
        <v>1531388.4599999983</v>
      </c>
      <c r="G15" s="569">
        <v>977848.93048799981</v>
      </c>
      <c r="H15" s="572">
        <f t="shared" si="1"/>
        <v>2509237.3904879983</v>
      </c>
    </row>
    <row r="16" spans="1:8" ht="15.75">
      <c r="A16" s="564">
        <v>8</v>
      </c>
      <c r="B16" s="568" t="s">
        <v>162</v>
      </c>
      <c r="C16" s="569">
        <v>1102532.9100000001</v>
      </c>
      <c r="D16" s="569">
        <v>0</v>
      </c>
      <c r="E16" s="570">
        <f t="shared" si="0"/>
        <v>1102532.9100000001</v>
      </c>
      <c r="F16" s="571">
        <v>1046317.8400000001</v>
      </c>
      <c r="G16" s="569">
        <v>0</v>
      </c>
      <c r="H16" s="572">
        <f t="shared" si="1"/>
        <v>1046317.8400000001</v>
      </c>
    </row>
    <row r="17" spans="1:8" ht="15.75">
      <c r="A17" s="564">
        <v>9</v>
      </c>
      <c r="B17" s="568" t="s">
        <v>163</v>
      </c>
      <c r="C17" s="569">
        <v>0</v>
      </c>
      <c r="D17" s="569">
        <v>0</v>
      </c>
      <c r="E17" s="570">
        <f t="shared" si="0"/>
        <v>0</v>
      </c>
      <c r="F17" s="571">
        <v>0</v>
      </c>
      <c r="G17" s="569">
        <v>0</v>
      </c>
      <c r="H17" s="572">
        <f t="shared" si="1"/>
        <v>0</v>
      </c>
    </row>
    <row r="18" spans="1:8" ht="15.75">
      <c r="A18" s="564">
        <v>10</v>
      </c>
      <c r="B18" s="568" t="s">
        <v>164</v>
      </c>
      <c r="C18" s="569">
        <v>1184989.0100000007</v>
      </c>
      <c r="D18" s="569">
        <v>0</v>
      </c>
      <c r="E18" s="570">
        <f t="shared" si="0"/>
        <v>1184989.0100000007</v>
      </c>
      <c r="F18" s="571">
        <v>688956.61000000034</v>
      </c>
      <c r="G18" s="569">
        <v>0</v>
      </c>
      <c r="H18" s="572">
        <f t="shared" si="1"/>
        <v>688956.61000000034</v>
      </c>
    </row>
    <row r="19" spans="1:8" ht="15.75">
      <c r="A19" s="564">
        <v>11</v>
      </c>
      <c r="B19" s="568" t="s">
        <v>165</v>
      </c>
      <c r="C19" s="569">
        <v>3475153.6541649294</v>
      </c>
      <c r="D19" s="569">
        <v>392615.62000000005</v>
      </c>
      <c r="E19" s="570">
        <f t="shared" si="0"/>
        <v>3867769.2741649295</v>
      </c>
      <c r="F19" s="571">
        <v>2595785.0130446409</v>
      </c>
      <c r="G19" s="569">
        <v>742192.39170199994</v>
      </c>
      <c r="H19" s="572">
        <f t="shared" si="1"/>
        <v>3337977.4047466409</v>
      </c>
    </row>
    <row r="20" spans="1:8" ht="15.75">
      <c r="A20" s="564">
        <v>12</v>
      </c>
      <c r="B20" s="578" t="s">
        <v>166</v>
      </c>
      <c r="C20" s="570">
        <f>SUM(C7:C11)+SUM(C14:C19)</f>
        <v>110776738.16217455</v>
      </c>
      <c r="D20" s="570">
        <f>SUM(D7:D11)+SUM(D14:D19)</f>
        <v>244935224.3004421</v>
      </c>
      <c r="E20" s="570">
        <f t="shared" si="0"/>
        <v>355711962.46261668</v>
      </c>
      <c r="F20" s="570">
        <f>SUM(F7:F11)+SUM(F14:F19)</f>
        <v>101271665.25898036</v>
      </c>
      <c r="G20" s="570">
        <f>SUM(G7:G11)+SUM(G14:G19)</f>
        <v>198969841.37340868</v>
      </c>
      <c r="H20" s="572">
        <f t="shared" si="1"/>
        <v>300241506.63238907</v>
      </c>
    </row>
    <row r="21" spans="1:8" ht="15.75">
      <c r="A21" s="564"/>
      <c r="B21" s="565" t="s">
        <v>183</v>
      </c>
      <c r="C21" s="579"/>
      <c r="D21" s="579"/>
      <c r="E21" s="579"/>
      <c r="F21" s="580"/>
      <c r="G21" s="579"/>
      <c r="H21" s="581"/>
    </row>
    <row r="22" spans="1:8" ht="15.75">
      <c r="A22" s="564">
        <v>13</v>
      </c>
      <c r="B22" s="568" t="s">
        <v>167</v>
      </c>
      <c r="C22" s="569">
        <v>0</v>
      </c>
      <c r="D22" s="569">
        <v>107001375.06999999</v>
      </c>
      <c r="E22" s="570">
        <f>C22+D22</f>
        <v>107001375.06999999</v>
      </c>
      <c r="F22" s="571">
        <v>1300000</v>
      </c>
      <c r="G22" s="569">
        <v>157687725.56999999</v>
      </c>
      <c r="H22" s="572">
        <f t="shared" si="1"/>
        <v>158987725.56999999</v>
      </c>
    </row>
    <row r="23" spans="1:8" ht="15.75">
      <c r="A23" s="564">
        <v>14</v>
      </c>
      <c r="B23" s="568" t="s">
        <v>168</v>
      </c>
      <c r="C23" s="569">
        <v>16460169.990000006</v>
      </c>
      <c r="D23" s="569">
        <v>36906345.319999993</v>
      </c>
      <c r="E23" s="570">
        <f t="shared" ref="E23:E40" si="2">C23+D23</f>
        <v>53366515.310000002</v>
      </c>
      <c r="F23" s="571">
        <v>12184287.25</v>
      </c>
      <c r="G23" s="569">
        <v>13273485.78999998</v>
      </c>
      <c r="H23" s="572">
        <f t="shared" si="1"/>
        <v>25457773.03999998</v>
      </c>
    </row>
    <row r="24" spans="1:8" ht="15.75">
      <c r="A24" s="564">
        <v>15</v>
      </c>
      <c r="B24" s="568" t="s">
        <v>169</v>
      </c>
      <c r="C24" s="569">
        <v>0</v>
      </c>
      <c r="D24" s="569">
        <v>0</v>
      </c>
      <c r="E24" s="570">
        <f t="shared" si="2"/>
        <v>0</v>
      </c>
      <c r="F24" s="571">
        <v>0</v>
      </c>
      <c r="G24" s="569">
        <v>0</v>
      </c>
      <c r="H24" s="572">
        <f t="shared" si="1"/>
        <v>0</v>
      </c>
    </row>
    <row r="25" spans="1:8" ht="15.75">
      <c r="A25" s="564">
        <v>16</v>
      </c>
      <c r="B25" s="568" t="s">
        <v>170</v>
      </c>
      <c r="C25" s="569">
        <v>787977.14999999991</v>
      </c>
      <c r="D25" s="569">
        <v>60355378.170000002</v>
      </c>
      <c r="E25" s="570">
        <f t="shared" si="2"/>
        <v>61143355.32</v>
      </c>
      <c r="F25" s="571">
        <v>113808.14</v>
      </c>
      <c r="G25" s="569">
        <v>18269399.309999999</v>
      </c>
      <c r="H25" s="572">
        <f t="shared" si="1"/>
        <v>18383207.449999999</v>
      </c>
    </row>
    <row r="26" spans="1:8" ht="15.75">
      <c r="A26" s="564">
        <v>17</v>
      </c>
      <c r="B26" s="568" t="s">
        <v>171</v>
      </c>
      <c r="C26" s="579"/>
      <c r="D26" s="579"/>
      <c r="E26" s="570">
        <f t="shared" si="2"/>
        <v>0</v>
      </c>
      <c r="F26" s="580"/>
      <c r="G26" s="579"/>
      <c r="H26" s="572">
        <f t="shared" si="1"/>
        <v>0</v>
      </c>
    </row>
    <row r="27" spans="1:8" ht="15.75">
      <c r="A27" s="564">
        <v>18</v>
      </c>
      <c r="B27" s="568" t="s">
        <v>172</v>
      </c>
      <c r="C27" s="569">
        <v>0</v>
      </c>
      <c r="D27" s="569">
        <v>41435044.409329996</v>
      </c>
      <c r="E27" s="570">
        <f t="shared" si="2"/>
        <v>41435044.409329996</v>
      </c>
      <c r="F27" s="571">
        <v>2000000</v>
      </c>
      <c r="G27" s="569">
        <v>14257599.979632001</v>
      </c>
      <c r="H27" s="572">
        <f t="shared" si="1"/>
        <v>16257599.979632001</v>
      </c>
    </row>
    <row r="28" spans="1:8" ht="15.75">
      <c r="A28" s="564">
        <v>19</v>
      </c>
      <c r="B28" s="568" t="s">
        <v>173</v>
      </c>
      <c r="C28" s="569">
        <v>19886.849999999991</v>
      </c>
      <c r="D28" s="569">
        <v>680270.04999999993</v>
      </c>
      <c r="E28" s="570">
        <f t="shared" si="2"/>
        <v>700156.89999999991</v>
      </c>
      <c r="F28" s="571">
        <v>8626.369999999999</v>
      </c>
      <c r="G28" s="569">
        <v>1270904.6099999999</v>
      </c>
      <c r="H28" s="572">
        <f t="shared" si="1"/>
        <v>1279530.98</v>
      </c>
    </row>
    <row r="29" spans="1:8" ht="15.75">
      <c r="A29" s="564">
        <v>20</v>
      </c>
      <c r="B29" s="568" t="s">
        <v>95</v>
      </c>
      <c r="C29" s="569">
        <v>1439476.5074</v>
      </c>
      <c r="D29" s="569">
        <v>1895906.1529999999</v>
      </c>
      <c r="E29" s="570">
        <f t="shared" si="2"/>
        <v>3335382.6603999999</v>
      </c>
      <c r="F29" s="571">
        <v>359073.73900000006</v>
      </c>
      <c r="G29" s="569">
        <v>717209.43500000006</v>
      </c>
      <c r="H29" s="572">
        <f t="shared" si="1"/>
        <v>1076283.1740000001</v>
      </c>
    </row>
    <row r="30" spans="1:8" ht="15.75">
      <c r="A30" s="564">
        <v>21</v>
      </c>
      <c r="B30" s="568" t="s">
        <v>174</v>
      </c>
      <c r="C30" s="569">
        <v>0</v>
      </c>
      <c r="D30" s="569">
        <v>0</v>
      </c>
      <c r="E30" s="570">
        <f t="shared" si="2"/>
        <v>0</v>
      </c>
      <c r="F30" s="571">
        <v>0</v>
      </c>
      <c r="G30" s="569">
        <v>0</v>
      </c>
      <c r="H30" s="572">
        <f t="shared" si="1"/>
        <v>0</v>
      </c>
    </row>
    <row r="31" spans="1:8" ht="15.75">
      <c r="A31" s="564">
        <v>22</v>
      </c>
      <c r="B31" s="578" t="s">
        <v>175</v>
      </c>
      <c r="C31" s="570">
        <f>SUM(C22:C30)</f>
        <v>18707510.497400004</v>
      </c>
      <c r="D31" s="570">
        <f>SUM(D22:D30)</f>
        <v>248274319.17233002</v>
      </c>
      <c r="E31" s="570">
        <f>C31+D31</f>
        <v>266981829.66973004</v>
      </c>
      <c r="F31" s="570">
        <f>SUM(F22:F30)</f>
        <v>15965795.499</v>
      </c>
      <c r="G31" s="570">
        <f>SUM(G22:G30)</f>
        <v>205476324.69463199</v>
      </c>
      <c r="H31" s="572">
        <f t="shared" si="1"/>
        <v>221442120.19363201</v>
      </c>
    </row>
    <row r="32" spans="1:8" ht="15.75">
      <c r="A32" s="564"/>
      <c r="B32" s="565" t="s">
        <v>184</v>
      </c>
      <c r="C32" s="579"/>
      <c r="D32" s="579"/>
      <c r="E32" s="569"/>
      <c r="F32" s="580"/>
      <c r="G32" s="579"/>
      <c r="H32" s="581"/>
    </row>
    <row r="33" spans="1:8" ht="15.75">
      <c r="A33" s="564">
        <v>23</v>
      </c>
      <c r="B33" s="568" t="s">
        <v>176</v>
      </c>
      <c r="C33" s="569">
        <v>69161600</v>
      </c>
      <c r="D33" s="579">
        <v>0</v>
      </c>
      <c r="E33" s="570">
        <f t="shared" si="2"/>
        <v>69161600</v>
      </c>
      <c r="F33" s="571">
        <v>69161600</v>
      </c>
      <c r="G33" s="579">
        <v>0</v>
      </c>
      <c r="H33" s="572">
        <f t="shared" si="1"/>
        <v>69161600</v>
      </c>
    </row>
    <row r="34" spans="1:8" ht="15.75">
      <c r="A34" s="564">
        <v>24</v>
      </c>
      <c r="B34" s="568" t="s">
        <v>177</v>
      </c>
      <c r="C34" s="569">
        <v>0</v>
      </c>
      <c r="D34" s="579">
        <v>0</v>
      </c>
      <c r="E34" s="570">
        <f t="shared" si="2"/>
        <v>0</v>
      </c>
      <c r="F34" s="571">
        <v>0</v>
      </c>
      <c r="G34" s="579">
        <v>0</v>
      </c>
      <c r="H34" s="572">
        <f t="shared" si="1"/>
        <v>0</v>
      </c>
    </row>
    <row r="35" spans="1:8" ht="15.75">
      <c r="A35" s="564">
        <v>25</v>
      </c>
      <c r="B35" s="573" t="s">
        <v>178</v>
      </c>
      <c r="C35" s="569">
        <v>0</v>
      </c>
      <c r="D35" s="579">
        <v>0</v>
      </c>
      <c r="E35" s="570">
        <f t="shared" si="2"/>
        <v>0</v>
      </c>
      <c r="F35" s="571">
        <v>0</v>
      </c>
      <c r="G35" s="579">
        <v>0</v>
      </c>
      <c r="H35" s="572">
        <f t="shared" si="1"/>
        <v>0</v>
      </c>
    </row>
    <row r="36" spans="1:8" ht="15.75">
      <c r="A36" s="564">
        <v>26</v>
      </c>
      <c r="B36" s="568" t="s">
        <v>179</v>
      </c>
      <c r="C36" s="569">
        <v>0</v>
      </c>
      <c r="D36" s="579">
        <v>0</v>
      </c>
      <c r="E36" s="570">
        <f t="shared" si="2"/>
        <v>0</v>
      </c>
      <c r="F36" s="571">
        <v>0</v>
      </c>
      <c r="G36" s="579">
        <v>0</v>
      </c>
      <c r="H36" s="572">
        <f t="shared" si="1"/>
        <v>0</v>
      </c>
    </row>
    <row r="37" spans="1:8" ht="15.75">
      <c r="A37" s="564">
        <v>27</v>
      </c>
      <c r="B37" s="568" t="s">
        <v>180</v>
      </c>
      <c r="C37" s="569">
        <v>0</v>
      </c>
      <c r="D37" s="579">
        <v>0</v>
      </c>
      <c r="E37" s="570">
        <f t="shared" si="2"/>
        <v>0</v>
      </c>
      <c r="F37" s="571">
        <v>0</v>
      </c>
      <c r="G37" s="579">
        <v>0</v>
      </c>
      <c r="H37" s="572">
        <f t="shared" si="1"/>
        <v>0</v>
      </c>
    </row>
    <row r="38" spans="1:8" ht="15.75">
      <c r="A38" s="564">
        <v>28</v>
      </c>
      <c r="B38" s="568" t="s">
        <v>181</v>
      </c>
      <c r="C38" s="569">
        <v>19568533.40744593</v>
      </c>
      <c r="D38" s="579">
        <v>0</v>
      </c>
      <c r="E38" s="570">
        <f t="shared" si="2"/>
        <v>19568533.40744593</v>
      </c>
      <c r="F38" s="571">
        <v>9637787.1320782118</v>
      </c>
      <c r="G38" s="579">
        <v>0</v>
      </c>
      <c r="H38" s="572">
        <f t="shared" si="1"/>
        <v>9637787.1320782118</v>
      </c>
    </row>
    <row r="39" spans="1:8" ht="15.75">
      <c r="A39" s="564">
        <v>29</v>
      </c>
      <c r="B39" s="568" t="s">
        <v>196</v>
      </c>
      <c r="C39" s="569">
        <v>0</v>
      </c>
      <c r="D39" s="579">
        <v>0</v>
      </c>
      <c r="E39" s="570">
        <f t="shared" si="2"/>
        <v>0</v>
      </c>
      <c r="F39" s="571">
        <v>0</v>
      </c>
      <c r="G39" s="579">
        <v>0</v>
      </c>
      <c r="H39" s="572">
        <f t="shared" si="1"/>
        <v>0</v>
      </c>
    </row>
    <row r="40" spans="1:8" ht="15.75">
      <c r="A40" s="564">
        <v>30</v>
      </c>
      <c r="B40" s="578" t="s">
        <v>182</v>
      </c>
      <c r="C40" s="582">
        <v>88730133.407445937</v>
      </c>
      <c r="D40" s="579">
        <v>0</v>
      </c>
      <c r="E40" s="570">
        <f t="shared" si="2"/>
        <v>88730133.407445937</v>
      </c>
      <c r="F40" s="583">
        <v>78799387.132078215</v>
      </c>
      <c r="G40" s="579">
        <v>0</v>
      </c>
      <c r="H40" s="572">
        <f t="shared" si="1"/>
        <v>78799387.132078215</v>
      </c>
    </row>
    <row r="41" spans="1:8" ht="16.5" thickBot="1">
      <c r="A41" s="38">
        <v>31</v>
      </c>
      <c r="B41" s="39" t="s">
        <v>197</v>
      </c>
      <c r="C41" s="584">
        <f>C31+C40</f>
        <v>107437643.90484594</v>
      </c>
      <c r="D41" s="584">
        <f>D31+D40</f>
        <v>248274319.17233002</v>
      </c>
      <c r="E41" s="584">
        <f>C41+D41</f>
        <v>355711963.07717597</v>
      </c>
      <c r="F41" s="584">
        <f>F31+F40</f>
        <v>94765182.631078213</v>
      </c>
      <c r="G41" s="584">
        <f>G31+G40</f>
        <v>205476324.69463199</v>
      </c>
      <c r="H41" s="585">
        <f>F41+G41</f>
        <v>300241507.32571018</v>
      </c>
    </row>
    <row r="43" spans="1:8">
      <c r="B43" s="40"/>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workbookViewId="0">
      <pane xSplit="1" ySplit="6" topLeftCell="B7" activePane="bottomRight" state="frozen"/>
      <selection pane="topRight" activeCell="B1" sqref="B1"/>
      <selection pane="bottomLeft" activeCell="A6" sqref="A6"/>
      <selection pane="bottomRight" activeCell="B4" sqref="B4"/>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531" t="s">
        <v>188</v>
      </c>
      <c r="B1" s="532" t="s">
        <v>960</v>
      </c>
      <c r="C1" s="17"/>
    </row>
    <row r="2" spans="1:8" ht="15.75">
      <c r="A2" s="531" t="s">
        <v>189</v>
      </c>
      <c r="B2" s="533">
        <f>'1. key ratios'!B2</f>
        <v>44377</v>
      </c>
      <c r="C2" s="30"/>
      <c r="D2" s="19"/>
      <c r="E2" s="19"/>
      <c r="F2" s="19"/>
      <c r="G2" s="19"/>
      <c r="H2" s="19"/>
    </row>
    <row r="3" spans="1:8" ht="15.75">
      <c r="A3" s="18"/>
      <c r="B3" s="17"/>
      <c r="C3" s="30"/>
      <c r="D3" s="19"/>
      <c r="E3" s="19"/>
      <c r="F3" s="19"/>
      <c r="G3" s="19"/>
      <c r="H3" s="19"/>
    </row>
    <row r="4" spans="1:8" ht="16.5" thickBot="1">
      <c r="A4" s="41" t="s">
        <v>407</v>
      </c>
      <c r="B4" s="31" t="s">
        <v>222</v>
      </c>
      <c r="C4" s="34"/>
      <c r="D4" s="34"/>
      <c r="E4" s="34"/>
      <c r="F4" s="41"/>
      <c r="G4" s="41"/>
      <c r="H4" s="42" t="s">
        <v>93</v>
      </c>
    </row>
    <row r="5" spans="1:8" ht="15.75">
      <c r="A5" s="106"/>
      <c r="B5" s="107"/>
      <c r="C5" s="716" t="s">
        <v>194</v>
      </c>
      <c r="D5" s="717"/>
      <c r="E5" s="718"/>
      <c r="F5" s="716" t="s">
        <v>195</v>
      </c>
      <c r="G5" s="717"/>
      <c r="H5" s="719"/>
    </row>
    <row r="6" spans="1:8">
      <c r="A6" s="586" t="s">
        <v>26</v>
      </c>
      <c r="B6" s="587"/>
      <c r="C6" s="588" t="s">
        <v>27</v>
      </c>
      <c r="D6" s="588" t="s">
        <v>96</v>
      </c>
      <c r="E6" s="588" t="s">
        <v>68</v>
      </c>
      <c r="F6" s="588" t="s">
        <v>27</v>
      </c>
      <c r="G6" s="588" t="s">
        <v>96</v>
      </c>
      <c r="H6" s="589" t="s">
        <v>68</v>
      </c>
    </row>
    <row r="7" spans="1:8">
      <c r="A7" s="590"/>
      <c r="B7" s="591" t="s">
        <v>92</v>
      </c>
      <c r="C7" s="592"/>
      <c r="D7" s="592"/>
      <c r="E7" s="592"/>
      <c r="F7" s="592"/>
      <c r="G7" s="592"/>
      <c r="H7" s="593"/>
    </row>
    <row r="8" spans="1:8">
      <c r="A8" s="590">
        <v>1</v>
      </c>
      <c r="B8" s="594" t="s">
        <v>97</v>
      </c>
      <c r="C8" s="595">
        <v>186369.72</v>
      </c>
      <c r="D8" s="595">
        <v>0</v>
      </c>
      <c r="E8" s="575">
        <f>C8+D8</f>
        <v>186369.72</v>
      </c>
      <c r="F8" s="596">
        <v>198955.7</v>
      </c>
      <c r="G8" s="596">
        <v>0</v>
      </c>
      <c r="H8" s="577">
        <f>F8+G8</f>
        <v>198955.7</v>
      </c>
    </row>
    <row r="9" spans="1:8">
      <c r="A9" s="590">
        <v>2</v>
      </c>
      <c r="B9" s="594" t="s">
        <v>98</v>
      </c>
      <c r="C9" s="597">
        <f>SUM(C10:C18)</f>
        <v>7845290.7599999998</v>
      </c>
      <c r="D9" s="597">
        <f>SUM(D10:D18)</f>
        <v>710261.14</v>
      </c>
      <c r="E9" s="575">
        <f t="shared" ref="E9:E67" si="0">C9+D9</f>
        <v>8555551.9000000004</v>
      </c>
      <c r="F9" s="597">
        <f>SUM(F10:F18)</f>
        <v>6222679.1600000001</v>
      </c>
      <c r="G9" s="597">
        <f>SUM(G10:G18)</f>
        <v>342885.76</v>
      </c>
      <c r="H9" s="577">
        <f t="shared" ref="H9:H67" si="1">F9+G9</f>
        <v>6565564.9199999999</v>
      </c>
    </row>
    <row r="10" spans="1:8">
      <c r="A10" s="590">
        <v>2.1</v>
      </c>
      <c r="B10" s="598" t="s">
        <v>99</v>
      </c>
      <c r="C10" s="596">
        <v>0</v>
      </c>
      <c r="D10" s="596">
        <v>184885.37</v>
      </c>
      <c r="E10" s="575">
        <f t="shared" si="0"/>
        <v>184885.37</v>
      </c>
      <c r="F10" s="596">
        <v>0</v>
      </c>
      <c r="G10" s="596">
        <v>52673.88</v>
      </c>
      <c r="H10" s="577">
        <f t="shared" si="1"/>
        <v>52673.88</v>
      </c>
    </row>
    <row r="11" spans="1:8">
      <c r="A11" s="590">
        <v>2.2000000000000002</v>
      </c>
      <c r="B11" s="598" t="s">
        <v>100</v>
      </c>
      <c r="C11" s="596">
        <v>7371091.2199999997</v>
      </c>
      <c r="D11" s="596">
        <v>0</v>
      </c>
      <c r="E11" s="575">
        <f t="shared" si="0"/>
        <v>7371091.2199999997</v>
      </c>
      <c r="F11" s="596">
        <v>5692797.21</v>
      </c>
      <c r="G11" s="596">
        <v>0</v>
      </c>
      <c r="H11" s="577">
        <f t="shared" si="1"/>
        <v>5692797.21</v>
      </c>
    </row>
    <row r="12" spans="1:8">
      <c r="A12" s="590">
        <v>2.2999999999999998</v>
      </c>
      <c r="B12" s="598" t="s">
        <v>101</v>
      </c>
      <c r="C12" s="596"/>
      <c r="D12" s="596"/>
      <c r="E12" s="575">
        <f t="shared" si="0"/>
        <v>0</v>
      </c>
      <c r="F12" s="596"/>
      <c r="G12" s="596"/>
      <c r="H12" s="577">
        <f t="shared" si="1"/>
        <v>0</v>
      </c>
    </row>
    <row r="13" spans="1:8">
      <c r="A13" s="590">
        <v>2.4</v>
      </c>
      <c r="B13" s="598" t="s">
        <v>102</v>
      </c>
      <c r="C13" s="596"/>
      <c r="D13" s="596"/>
      <c r="E13" s="575">
        <f t="shared" si="0"/>
        <v>0</v>
      </c>
      <c r="F13" s="596"/>
      <c r="G13" s="596"/>
      <c r="H13" s="577">
        <f t="shared" si="1"/>
        <v>0</v>
      </c>
    </row>
    <row r="14" spans="1:8">
      <c r="A14" s="590">
        <v>2.5</v>
      </c>
      <c r="B14" s="598" t="s">
        <v>103</v>
      </c>
      <c r="C14" s="596"/>
      <c r="D14" s="596"/>
      <c r="E14" s="575">
        <f t="shared" si="0"/>
        <v>0</v>
      </c>
      <c r="F14" s="596"/>
      <c r="G14" s="596"/>
      <c r="H14" s="577">
        <f t="shared" si="1"/>
        <v>0</v>
      </c>
    </row>
    <row r="15" spans="1:8">
      <c r="A15" s="590">
        <v>2.6</v>
      </c>
      <c r="B15" s="598" t="s">
        <v>104</v>
      </c>
      <c r="C15" s="596"/>
      <c r="D15" s="596"/>
      <c r="E15" s="575">
        <f t="shared" si="0"/>
        <v>0</v>
      </c>
      <c r="F15" s="596"/>
      <c r="G15" s="596"/>
      <c r="H15" s="577">
        <f t="shared" si="1"/>
        <v>0</v>
      </c>
    </row>
    <row r="16" spans="1:8">
      <c r="A16" s="590">
        <v>2.7</v>
      </c>
      <c r="B16" s="598" t="s">
        <v>105</v>
      </c>
      <c r="C16" s="596"/>
      <c r="D16" s="596"/>
      <c r="E16" s="575">
        <f t="shared" si="0"/>
        <v>0</v>
      </c>
      <c r="F16" s="596"/>
      <c r="G16" s="596"/>
      <c r="H16" s="577">
        <f t="shared" si="1"/>
        <v>0</v>
      </c>
    </row>
    <row r="17" spans="1:8">
      <c r="A17" s="590">
        <v>2.8</v>
      </c>
      <c r="B17" s="598" t="s">
        <v>106</v>
      </c>
      <c r="C17" s="596">
        <v>474199.54</v>
      </c>
      <c r="D17" s="596">
        <v>525375.77</v>
      </c>
      <c r="E17" s="575">
        <f t="shared" si="0"/>
        <v>999575.31</v>
      </c>
      <c r="F17" s="596">
        <v>529881.94999999995</v>
      </c>
      <c r="G17" s="596">
        <v>290211.88</v>
      </c>
      <c r="H17" s="577">
        <f t="shared" si="1"/>
        <v>820093.83</v>
      </c>
    </row>
    <row r="18" spans="1:8">
      <c r="A18" s="590">
        <v>2.9</v>
      </c>
      <c r="B18" s="598" t="s">
        <v>107</v>
      </c>
      <c r="C18" s="596">
        <v>0</v>
      </c>
      <c r="D18" s="596">
        <v>0</v>
      </c>
      <c r="E18" s="575">
        <f t="shared" si="0"/>
        <v>0</v>
      </c>
      <c r="F18" s="596">
        <v>0</v>
      </c>
      <c r="G18" s="596">
        <v>0</v>
      </c>
      <c r="H18" s="577">
        <f t="shared" si="1"/>
        <v>0</v>
      </c>
    </row>
    <row r="19" spans="1:8">
      <c r="A19" s="590">
        <v>3</v>
      </c>
      <c r="B19" s="594" t="s">
        <v>108</v>
      </c>
      <c r="C19" s="596">
        <v>0</v>
      </c>
      <c r="D19" s="596">
        <v>0</v>
      </c>
      <c r="E19" s="575">
        <f t="shared" si="0"/>
        <v>0</v>
      </c>
      <c r="F19" s="596">
        <v>0</v>
      </c>
      <c r="G19" s="596">
        <v>0</v>
      </c>
      <c r="H19" s="577">
        <f t="shared" si="1"/>
        <v>0</v>
      </c>
    </row>
    <row r="20" spans="1:8">
      <c r="A20" s="590">
        <v>4</v>
      </c>
      <c r="B20" s="594" t="s">
        <v>109</v>
      </c>
      <c r="C20" s="596">
        <v>1256316.9868757003</v>
      </c>
      <c r="D20" s="596">
        <v>223026.14820912055</v>
      </c>
      <c r="E20" s="575">
        <f t="shared" si="0"/>
        <v>1479343.1350848209</v>
      </c>
      <c r="F20" s="596">
        <v>1561655.9613515614</v>
      </c>
      <c r="G20" s="596">
        <v>234240.10882963758</v>
      </c>
      <c r="H20" s="577">
        <f t="shared" si="1"/>
        <v>1795896.0701811989</v>
      </c>
    </row>
    <row r="21" spans="1:8">
      <c r="A21" s="590">
        <v>5</v>
      </c>
      <c r="B21" s="594" t="s">
        <v>110</v>
      </c>
      <c r="C21" s="596">
        <v>0</v>
      </c>
      <c r="D21" s="596"/>
      <c r="E21" s="575">
        <f t="shared" si="0"/>
        <v>0</v>
      </c>
      <c r="F21" s="596">
        <v>0</v>
      </c>
      <c r="G21" s="596"/>
      <c r="H21" s="577">
        <f>F21+G21</f>
        <v>0</v>
      </c>
    </row>
    <row r="22" spans="1:8">
      <c r="A22" s="590">
        <v>6</v>
      </c>
      <c r="B22" s="599" t="s">
        <v>111</v>
      </c>
      <c r="C22" s="597">
        <f>C8+C9+C19+C20+C21</f>
        <v>9287977.4668757003</v>
      </c>
      <c r="D22" s="597">
        <f>D8+D9+D19+D20+D21</f>
        <v>933287.28820912051</v>
      </c>
      <c r="E22" s="575">
        <f>C22+D22</f>
        <v>10221264.75508482</v>
      </c>
      <c r="F22" s="597">
        <f>F8+F9+F19+F20+F21</f>
        <v>7983290.8213515617</v>
      </c>
      <c r="G22" s="597">
        <f>G8+G9+G19+G20+G21</f>
        <v>577125.86882963753</v>
      </c>
      <c r="H22" s="577">
        <f>F22+G22</f>
        <v>8560416.6901811995</v>
      </c>
    </row>
    <row r="23" spans="1:8">
      <c r="A23" s="590"/>
      <c r="B23" s="591" t="s">
        <v>90</v>
      </c>
      <c r="C23" s="596"/>
      <c r="D23" s="596"/>
      <c r="E23" s="574"/>
      <c r="F23" s="596"/>
      <c r="G23" s="596"/>
      <c r="H23" s="600"/>
    </row>
    <row r="24" spans="1:8">
      <c r="A24" s="590">
        <v>7</v>
      </c>
      <c r="B24" s="594" t="s">
        <v>112</v>
      </c>
      <c r="C24" s="596">
        <v>171765.24</v>
      </c>
      <c r="D24" s="596">
        <v>0</v>
      </c>
      <c r="E24" s="575">
        <f t="shared" si="0"/>
        <v>171765.24</v>
      </c>
      <c r="F24" s="596">
        <v>80471.47</v>
      </c>
      <c r="G24" s="596">
        <v>0</v>
      </c>
      <c r="H24" s="577">
        <f t="shared" si="1"/>
        <v>80471.47</v>
      </c>
    </row>
    <row r="25" spans="1:8">
      <c r="A25" s="590">
        <v>8</v>
      </c>
      <c r="B25" s="594" t="s">
        <v>113</v>
      </c>
      <c r="C25" s="596">
        <v>121996.25000000003</v>
      </c>
      <c r="D25" s="596">
        <v>183419.53746399999</v>
      </c>
      <c r="E25" s="575">
        <f t="shared" si="0"/>
        <v>305415.78746400005</v>
      </c>
      <c r="F25" s="596">
        <v>312401.5399999998</v>
      </c>
      <c r="G25" s="596">
        <v>0</v>
      </c>
      <c r="H25" s="577">
        <f t="shared" si="1"/>
        <v>312401.5399999998</v>
      </c>
    </row>
    <row r="26" spans="1:8">
      <c r="A26" s="590">
        <v>9</v>
      </c>
      <c r="B26" s="594" t="s">
        <v>114</v>
      </c>
      <c r="C26" s="596">
        <v>20658.12</v>
      </c>
      <c r="D26" s="596">
        <v>669434.59000000008</v>
      </c>
      <c r="E26" s="575">
        <f t="shared" si="0"/>
        <v>690092.71000000008</v>
      </c>
      <c r="F26" s="596">
        <v>34483.129999999997</v>
      </c>
      <c r="G26" s="596">
        <v>891443.81</v>
      </c>
      <c r="H26" s="577">
        <f t="shared" si="1"/>
        <v>925926.94000000006</v>
      </c>
    </row>
    <row r="27" spans="1:8">
      <c r="A27" s="590">
        <v>10</v>
      </c>
      <c r="B27" s="594" t="s">
        <v>115</v>
      </c>
      <c r="C27" s="596"/>
      <c r="D27" s="596"/>
      <c r="E27" s="575">
        <f t="shared" si="0"/>
        <v>0</v>
      </c>
      <c r="F27" s="596">
        <v>0</v>
      </c>
      <c r="G27" s="596">
        <v>0</v>
      </c>
      <c r="H27" s="577">
        <f t="shared" si="1"/>
        <v>0</v>
      </c>
    </row>
    <row r="28" spans="1:8">
      <c r="A28" s="590">
        <v>11</v>
      </c>
      <c r="B28" s="594" t="s">
        <v>116</v>
      </c>
      <c r="C28" s="596">
        <v>24836.65</v>
      </c>
      <c r="D28" s="596">
        <v>746103.28</v>
      </c>
      <c r="E28" s="575">
        <f t="shared" si="0"/>
        <v>770939.93</v>
      </c>
      <c r="F28" s="596">
        <v>202971.24</v>
      </c>
      <c r="G28" s="596">
        <v>419232.47</v>
      </c>
      <c r="H28" s="577">
        <f t="shared" si="1"/>
        <v>622203.71</v>
      </c>
    </row>
    <row r="29" spans="1:8">
      <c r="A29" s="590">
        <v>12</v>
      </c>
      <c r="B29" s="594" t="s">
        <v>117</v>
      </c>
      <c r="C29" s="596"/>
      <c r="D29" s="596"/>
      <c r="E29" s="575">
        <f t="shared" si="0"/>
        <v>0</v>
      </c>
      <c r="F29" s="596"/>
      <c r="G29" s="596"/>
      <c r="H29" s="577">
        <f t="shared" si="1"/>
        <v>0</v>
      </c>
    </row>
    <row r="30" spans="1:8">
      <c r="A30" s="590">
        <v>13</v>
      </c>
      <c r="B30" s="601" t="s">
        <v>118</v>
      </c>
      <c r="C30" s="597">
        <f>SUM(C24:C29)</f>
        <v>339256.26</v>
      </c>
      <c r="D30" s="597">
        <f>SUM(D24:D29)</f>
        <v>1598957.4074640002</v>
      </c>
      <c r="E30" s="575">
        <f t="shared" si="0"/>
        <v>1938213.6674640002</v>
      </c>
      <c r="F30" s="597">
        <f>SUM(F24:F29)</f>
        <v>630327.37999999977</v>
      </c>
      <c r="G30" s="597">
        <f>SUM(G24:G29)</f>
        <v>1310676.28</v>
      </c>
      <c r="H30" s="577">
        <f t="shared" si="1"/>
        <v>1941003.6599999997</v>
      </c>
    </row>
    <row r="31" spans="1:8">
      <c r="A31" s="590">
        <v>14</v>
      </c>
      <c r="B31" s="601" t="s">
        <v>119</v>
      </c>
      <c r="C31" s="597">
        <f>C22-C30</f>
        <v>8948721.2068757005</v>
      </c>
      <c r="D31" s="597">
        <f>D22-D30</f>
        <v>-665670.11925487965</v>
      </c>
      <c r="E31" s="575">
        <f t="shared" si="0"/>
        <v>8283051.0876208209</v>
      </c>
      <c r="F31" s="597">
        <f>F22-F30</f>
        <v>7352963.4413515618</v>
      </c>
      <c r="G31" s="597">
        <f>G22-G30</f>
        <v>-733550.41117036249</v>
      </c>
      <c r="H31" s="577">
        <f t="shared" si="1"/>
        <v>6619413.0301811993</v>
      </c>
    </row>
    <row r="32" spans="1:8">
      <c r="A32" s="590"/>
      <c r="B32" s="591"/>
      <c r="C32" s="602"/>
      <c r="D32" s="602"/>
      <c r="E32" s="602"/>
      <c r="F32" s="602"/>
      <c r="G32" s="602"/>
      <c r="H32" s="603"/>
    </row>
    <row r="33" spans="1:8">
      <c r="A33" s="590"/>
      <c r="B33" s="591" t="s">
        <v>120</v>
      </c>
      <c r="C33" s="596"/>
      <c r="D33" s="596"/>
      <c r="E33" s="574"/>
      <c r="F33" s="596"/>
      <c r="G33" s="596"/>
      <c r="H33" s="600"/>
    </row>
    <row r="34" spans="1:8">
      <c r="A34" s="590">
        <v>15</v>
      </c>
      <c r="B34" s="604" t="s">
        <v>91</v>
      </c>
      <c r="C34" s="605">
        <f>C35-C36</f>
        <v>12726.59999999986</v>
      </c>
      <c r="D34" s="605">
        <f>D35-D36</f>
        <v>0</v>
      </c>
      <c r="E34" s="575">
        <f t="shared" si="0"/>
        <v>12726.59999999986</v>
      </c>
      <c r="F34" s="605">
        <f>F35-F36</f>
        <v>242860.80999999994</v>
      </c>
      <c r="G34" s="605">
        <f>G35-G36</f>
        <v>0</v>
      </c>
      <c r="H34" s="577">
        <f t="shared" si="1"/>
        <v>242860.80999999994</v>
      </c>
    </row>
    <row r="35" spans="1:8">
      <c r="A35" s="590">
        <v>15.1</v>
      </c>
      <c r="B35" s="598" t="s">
        <v>121</v>
      </c>
      <c r="C35" s="596">
        <v>738502.22</v>
      </c>
      <c r="D35" s="596"/>
      <c r="E35" s="575">
        <f t="shared" si="0"/>
        <v>738502.22</v>
      </c>
      <c r="F35" s="596">
        <v>558319.31999999995</v>
      </c>
      <c r="G35" s="596"/>
      <c r="H35" s="577">
        <f t="shared" si="1"/>
        <v>558319.31999999995</v>
      </c>
    </row>
    <row r="36" spans="1:8">
      <c r="A36" s="590">
        <v>15.2</v>
      </c>
      <c r="B36" s="598" t="s">
        <v>122</v>
      </c>
      <c r="C36" s="596">
        <v>725775.62000000011</v>
      </c>
      <c r="D36" s="596"/>
      <c r="E36" s="575">
        <f t="shared" si="0"/>
        <v>725775.62000000011</v>
      </c>
      <c r="F36" s="596">
        <v>315458.51</v>
      </c>
      <c r="G36" s="596"/>
      <c r="H36" s="577">
        <f t="shared" si="1"/>
        <v>315458.51</v>
      </c>
    </row>
    <row r="37" spans="1:8">
      <c r="A37" s="590">
        <v>16</v>
      </c>
      <c r="B37" s="594" t="s">
        <v>123</v>
      </c>
      <c r="C37" s="596">
        <v>0</v>
      </c>
      <c r="D37" s="596"/>
      <c r="E37" s="575">
        <f t="shared" si="0"/>
        <v>0</v>
      </c>
      <c r="F37" s="596">
        <v>0</v>
      </c>
      <c r="G37" s="596"/>
      <c r="H37" s="577">
        <f t="shared" si="1"/>
        <v>0</v>
      </c>
    </row>
    <row r="38" spans="1:8">
      <c r="A38" s="590">
        <v>17</v>
      </c>
      <c r="B38" s="594" t="s">
        <v>124</v>
      </c>
      <c r="C38" s="596">
        <v>0</v>
      </c>
      <c r="D38" s="596"/>
      <c r="E38" s="575">
        <f t="shared" si="0"/>
        <v>0</v>
      </c>
      <c r="F38" s="596">
        <v>0</v>
      </c>
      <c r="G38" s="596"/>
      <c r="H38" s="577">
        <f t="shared" si="1"/>
        <v>0</v>
      </c>
    </row>
    <row r="39" spans="1:8">
      <c r="A39" s="590">
        <v>18</v>
      </c>
      <c r="B39" s="594" t="s">
        <v>125</v>
      </c>
      <c r="C39" s="596">
        <v>0</v>
      </c>
      <c r="D39" s="596"/>
      <c r="E39" s="575">
        <f t="shared" si="0"/>
        <v>0</v>
      </c>
      <c r="F39" s="596">
        <v>0</v>
      </c>
      <c r="G39" s="596"/>
      <c r="H39" s="577">
        <f t="shared" si="1"/>
        <v>0</v>
      </c>
    </row>
    <row r="40" spans="1:8">
      <c r="A40" s="590">
        <v>19</v>
      </c>
      <c r="B40" s="594" t="s">
        <v>126</v>
      </c>
      <c r="C40" s="596">
        <v>1362453.44</v>
      </c>
      <c r="D40" s="596"/>
      <c r="E40" s="575">
        <f t="shared" si="0"/>
        <v>1362453.44</v>
      </c>
      <c r="F40" s="596">
        <v>680001.21000000008</v>
      </c>
      <c r="G40" s="596"/>
      <c r="H40" s="577">
        <f t="shared" si="1"/>
        <v>680001.21000000008</v>
      </c>
    </row>
    <row r="41" spans="1:8">
      <c r="A41" s="590">
        <v>20</v>
      </c>
      <c r="B41" s="594" t="s">
        <v>127</v>
      </c>
      <c r="C41" s="596">
        <v>-751689.99000000488</v>
      </c>
      <c r="D41" s="596"/>
      <c r="E41" s="575">
        <f t="shared" si="0"/>
        <v>-751689.99000000488</v>
      </c>
      <c r="F41" s="596">
        <v>-274846.62999999896</v>
      </c>
      <c r="G41" s="596"/>
      <c r="H41" s="577">
        <f t="shared" si="1"/>
        <v>-274846.62999999896</v>
      </c>
    </row>
    <row r="42" spans="1:8">
      <c r="A42" s="590">
        <v>21</v>
      </c>
      <c r="B42" s="594" t="s">
        <v>128</v>
      </c>
      <c r="C42" s="596">
        <v>0</v>
      </c>
      <c r="D42" s="596"/>
      <c r="E42" s="575">
        <f t="shared" si="0"/>
        <v>0</v>
      </c>
      <c r="F42" s="596">
        <v>0</v>
      </c>
      <c r="G42" s="596"/>
      <c r="H42" s="577">
        <f t="shared" si="1"/>
        <v>0</v>
      </c>
    </row>
    <row r="43" spans="1:8">
      <c r="A43" s="590">
        <v>22</v>
      </c>
      <c r="B43" s="594" t="s">
        <v>129</v>
      </c>
      <c r="C43" s="596">
        <v>1213416.25</v>
      </c>
      <c r="D43" s="596"/>
      <c r="E43" s="575">
        <f t="shared" si="0"/>
        <v>1213416.25</v>
      </c>
      <c r="F43" s="596">
        <v>1063868.8400000001</v>
      </c>
      <c r="G43" s="596"/>
      <c r="H43" s="577">
        <f t="shared" si="1"/>
        <v>1063868.8400000001</v>
      </c>
    </row>
    <row r="44" spans="1:8">
      <c r="A44" s="590">
        <v>23</v>
      </c>
      <c r="B44" s="594" t="s">
        <v>130</v>
      </c>
      <c r="C44" s="596">
        <v>0</v>
      </c>
      <c r="D44" s="596"/>
      <c r="E44" s="575">
        <f t="shared" si="0"/>
        <v>0</v>
      </c>
      <c r="F44" s="596">
        <v>0</v>
      </c>
      <c r="G44" s="596"/>
      <c r="H44" s="577">
        <f t="shared" si="1"/>
        <v>0</v>
      </c>
    </row>
    <row r="45" spans="1:8">
      <c r="A45" s="590">
        <v>24</v>
      </c>
      <c r="B45" s="601" t="s">
        <v>131</v>
      </c>
      <c r="C45" s="597">
        <f>C34+C37+C38+C39+C40+C41+C42+C43+C44</f>
        <v>1836906.2999999949</v>
      </c>
      <c r="D45" s="597">
        <f>D34+D37+D38+D39+D40+D41+D42+D43+D44</f>
        <v>0</v>
      </c>
      <c r="E45" s="575">
        <f t="shared" si="0"/>
        <v>1836906.2999999949</v>
      </c>
      <c r="F45" s="597">
        <f>F34+F37+F38+F39+F40+F41+F42+F43+F44</f>
        <v>1711884.2300000011</v>
      </c>
      <c r="G45" s="597">
        <f>G34+G37+G38+G39+G40+G41+G42+G43+G44</f>
        <v>0</v>
      </c>
      <c r="H45" s="577">
        <f t="shared" si="1"/>
        <v>1711884.2300000011</v>
      </c>
    </row>
    <row r="46" spans="1:8">
      <c r="A46" s="590"/>
      <c r="B46" s="591" t="s">
        <v>132</v>
      </c>
      <c r="C46" s="596"/>
      <c r="D46" s="596"/>
      <c r="E46" s="596"/>
      <c r="F46" s="596"/>
      <c r="G46" s="596"/>
      <c r="H46" s="606"/>
    </row>
    <row r="47" spans="1:8">
      <c r="A47" s="590">
        <v>25</v>
      </c>
      <c r="B47" s="594" t="s">
        <v>133</v>
      </c>
      <c r="C47" s="596">
        <v>0</v>
      </c>
      <c r="D47" s="596"/>
      <c r="E47" s="575">
        <f t="shared" si="0"/>
        <v>0</v>
      </c>
      <c r="F47" s="596">
        <v>0</v>
      </c>
      <c r="G47" s="596"/>
      <c r="H47" s="577">
        <f t="shared" si="1"/>
        <v>0</v>
      </c>
    </row>
    <row r="48" spans="1:8">
      <c r="A48" s="590">
        <v>26</v>
      </c>
      <c r="B48" s="594" t="s">
        <v>134</v>
      </c>
      <c r="C48" s="596">
        <v>46507.280000000006</v>
      </c>
      <c r="D48" s="596"/>
      <c r="E48" s="575">
        <f t="shared" si="0"/>
        <v>46507.280000000006</v>
      </c>
      <c r="F48" s="596">
        <v>26784.880000000005</v>
      </c>
      <c r="G48" s="596"/>
      <c r="H48" s="577">
        <f t="shared" si="1"/>
        <v>26784.880000000005</v>
      </c>
    </row>
    <row r="49" spans="1:9">
      <c r="A49" s="590">
        <v>27</v>
      </c>
      <c r="B49" s="594" t="s">
        <v>135</v>
      </c>
      <c r="C49" s="596">
        <v>2486034.2500000005</v>
      </c>
      <c r="D49" s="596"/>
      <c r="E49" s="575">
        <f t="shared" si="0"/>
        <v>2486034.2500000005</v>
      </c>
      <c r="F49" s="596">
        <v>2599818.69</v>
      </c>
      <c r="G49" s="596"/>
      <c r="H49" s="577">
        <f t="shared" si="1"/>
        <v>2599818.69</v>
      </c>
    </row>
    <row r="50" spans="1:9">
      <c r="A50" s="590">
        <v>28</v>
      </c>
      <c r="B50" s="594" t="s">
        <v>271</v>
      </c>
      <c r="C50" s="596">
        <v>11748.37</v>
      </c>
      <c r="D50" s="596"/>
      <c r="E50" s="575">
        <f t="shared" si="0"/>
        <v>11748.37</v>
      </c>
      <c r="F50" s="596">
        <v>21107.230000000003</v>
      </c>
      <c r="G50" s="596"/>
      <c r="H50" s="577">
        <f t="shared" si="1"/>
        <v>21107.230000000003</v>
      </c>
    </row>
    <row r="51" spans="1:9">
      <c r="A51" s="590">
        <v>29</v>
      </c>
      <c r="B51" s="594" t="s">
        <v>136</v>
      </c>
      <c r="C51" s="596">
        <v>312699.54999999993</v>
      </c>
      <c r="D51" s="596"/>
      <c r="E51" s="575">
        <f t="shared" si="0"/>
        <v>312699.54999999993</v>
      </c>
      <c r="F51" s="596">
        <v>244567.77000000002</v>
      </c>
      <c r="G51" s="596"/>
      <c r="H51" s="577">
        <f t="shared" si="1"/>
        <v>244567.77000000002</v>
      </c>
    </row>
    <row r="52" spans="1:9">
      <c r="A52" s="590">
        <v>30</v>
      </c>
      <c r="B52" s="594" t="s">
        <v>137</v>
      </c>
      <c r="C52" s="596">
        <v>1127271.8199999998</v>
      </c>
      <c r="D52" s="596"/>
      <c r="E52" s="575">
        <f t="shared" si="0"/>
        <v>1127271.8199999998</v>
      </c>
      <c r="F52" s="596">
        <v>736846.41999999993</v>
      </c>
      <c r="G52" s="596"/>
      <c r="H52" s="577">
        <f t="shared" si="1"/>
        <v>736846.41999999993</v>
      </c>
    </row>
    <row r="53" spans="1:9">
      <c r="A53" s="590">
        <v>31</v>
      </c>
      <c r="B53" s="601" t="s">
        <v>138</v>
      </c>
      <c r="C53" s="597">
        <f>C47+C48+C49+C50+C51+C52</f>
        <v>3984261.27</v>
      </c>
      <c r="D53" s="597">
        <f>D47+D48+D49+D50+D51+D52</f>
        <v>0</v>
      </c>
      <c r="E53" s="575">
        <f t="shared" si="0"/>
        <v>3984261.27</v>
      </c>
      <c r="F53" s="597">
        <f>F47+F48+F49+F50+F51+F52</f>
        <v>3629124.9899999998</v>
      </c>
      <c r="G53" s="597">
        <f>G47+G48+G49+G50+G51+G52</f>
        <v>0</v>
      </c>
      <c r="H53" s="577">
        <f t="shared" si="1"/>
        <v>3629124.9899999998</v>
      </c>
    </row>
    <row r="54" spans="1:9">
      <c r="A54" s="590">
        <v>32</v>
      </c>
      <c r="B54" s="601" t="s">
        <v>139</v>
      </c>
      <c r="C54" s="597">
        <f>C45-C53</f>
        <v>-2147354.9700000053</v>
      </c>
      <c r="D54" s="597">
        <f>D45-D53</f>
        <v>0</v>
      </c>
      <c r="E54" s="575">
        <f t="shared" si="0"/>
        <v>-2147354.9700000053</v>
      </c>
      <c r="F54" s="597">
        <f>F45-F53</f>
        <v>-1917240.7599999986</v>
      </c>
      <c r="G54" s="597">
        <f>G45-G53</f>
        <v>0</v>
      </c>
      <c r="H54" s="577">
        <f t="shared" si="1"/>
        <v>-1917240.7599999986</v>
      </c>
    </row>
    <row r="55" spans="1:9">
      <c r="A55" s="590"/>
      <c r="B55" s="591"/>
      <c r="C55" s="602"/>
      <c r="D55" s="602"/>
      <c r="E55" s="602"/>
      <c r="F55" s="602"/>
      <c r="G55" s="602"/>
      <c r="H55" s="603"/>
    </row>
    <row r="56" spans="1:9">
      <c r="A56" s="590">
        <v>33</v>
      </c>
      <c r="B56" s="601" t="s">
        <v>140</v>
      </c>
      <c r="C56" s="597">
        <f>C31+C54</f>
        <v>6801366.2368756952</v>
      </c>
      <c r="D56" s="597">
        <f>D31+D54</f>
        <v>-665670.11925487965</v>
      </c>
      <c r="E56" s="575">
        <f t="shared" si="0"/>
        <v>6135696.1176208155</v>
      </c>
      <c r="F56" s="597">
        <f>F31+F54</f>
        <v>5435722.681351563</v>
      </c>
      <c r="G56" s="597">
        <f>G31+G54</f>
        <v>-733550.41117036249</v>
      </c>
      <c r="H56" s="577">
        <f t="shared" si="1"/>
        <v>4702172.2701812005</v>
      </c>
    </row>
    <row r="57" spans="1:9">
      <c r="A57" s="590"/>
      <c r="B57" s="591"/>
      <c r="C57" s="602"/>
      <c r="D57" s="602"/>
      <c r="E57" s="602"/>
      <c r="F57" s="602"/>
      <c r="G57" s="602"/>
      <c r="H57" s="603"/>
    </row>
    <row r="58" spans="1:9">
      <c r="A58" s="590">
        <v>34</v>
      </c>
      <c r="B58" s="594" t="s">
        <v>141</v>
      </c>
      <c r="C58" s="596">
        <v>-388907.2271699066</v>
      </c>
      <c r="D58" s="596"/>
      <c r="E58" s="575">
        <f t="shared" si="0"/>
        <v>-388907.2271699066</v>
      </c>
      <c r="F58" s="596">
        <v>5572291.9985290188</v>
      </c>
      <c r="G58" s="596"/>
      <c r="H58" s="577">
        <f t="shared" si="1"/>
        <v>5572291.9985290188</v>
      </c>
    </row>
    <row r="59" spans="1:9" s="185" customFormat="1">
      <c r="A59" s="590">
        <v>35</v>
      </c>
      <c r="B59" s="604" t="s">
        <v>142</v>
      </c>
      <c r="C59" s="596">
        <v>6972.1980644197902</v>
      </c>
      <c r="D59" s="596"/>
      <c r="E59" s="607">
        <f t="shared" si="0"/>
        <v>6972.1980644197902</v>
      </c>
      <c r="F59" s="608">
        <v>-46819.30154161682</v>
      </c>
      <c r="G59" s="608"/>
      <c r="H59" s="609">
        <f t="shared" si="1"/>
        <v>-46819.30154161682</v>
      </c>
      <c r="I59" s="184"/>
    </row>
    <row r="60" spans="1:9">
      <c r="A60" s="590">
        <v>36</v>
      </c>
      <c r="B60" s="594" t="s">
        <v>143</v>
      </c>
      <c r="C60" s="596">
        <v>239726.50455349989</v>
      </c>
      <c r="D60" s="596"/>
      <c r="E60" s="575">
        <f t="shared" si="0"/>
        <v>239726.50455349989</v>
      </c>
      <c r="F60" s="596">
        <v>895590.45919867116</v>
      </c>
      <c r="G60" s="596"/>
      <c r="H60" s="577">
        <f t="shared" si="1"/>
        <v>895590.45919867116</v>
      </c>
    </row>
    <row r="61" spans="1:9">
      <c r="A61" s="590">
        <v>37</v>
      </c>
      <c r="B61" s="601" t="s">
        <v>144</v>
      </c>
      <c r="C61" s="597">
        <f>C58+C59+C60</f>
        <v>-142208.52455198692</v>
      </c>
      <c r="D61" s="597">
        <f>D58+D59+D60</f>
        <v>0</v>
      </c>
      <c r="E61" s="575">
        <f t="shared" si="0"/>
        <v>-142208.52455198692</v>
      </c>
      <c r="F61" s="597">
        <f>F58+F59+F60</f>
        <v>6421063.1561860731</v>
      </c>
      <c r="G61" s="597">
        <f>G58+G59+G60</f>
        <v>0</v>
      </c>
      <c r="H61" s="577">
        <f t="shared" si="1"/>
        <v>6421063.1561860731</v>
      </c>
    </row>
    <row r="62" spans="1:9">
      <c r="A62" s="590"/>
      <c r="B62" s="610"/>
      <c r="C62" s="596"/>
      <c r="D62" s="596"/>
      <c r="E62" s="596"/>
      <c r="F62" s="596"/>
      <c r="G62" s="596"/>
      <c r="H62" s="606"/>
    </row>
    <row r="63" spans="1:9">
      <c r="A63" s="590">
        <v>38</v>
      </c>
      <c r="B63" s="611" t="s">
        <v>272</v>
      </c>
      <c r="C63" s="597">
        <f>C56-C61</f>
        <v>6943574.7614276819</v>
      </c>
      <c r="D63" s="597">
        <f>D56-D61</f>
        <v>-665670.11925487965</v>
      </c>
      <c r="E63" s="575">
        <f t="shared" si="0"/>
        <v>6277904.6421728022</v>
      </c>
      <c r="F63" s="597">
        <f>F56-F61</f>
        <v>-985340.47483451013</v>
      </c>
      <c r="G63" s="597">
        <f>G56-G61</f>
        <v>-733550.41117036249</v>
      </c>
      <c r="H63" s="577">
        <f t="shared" si="1"/>
        <v>-1718890.8860048726</v>
      </c>
    </row>
    <row r="64" spans="1:9">
      <c r="A64" s="586">
        <v>39</v>
      </c>
      <c r="B64" s="594" t="s">
        <v>145</v>
      </c>
      <c r="C64" s="612">
        <v>863798.54</v>
      </c>
      <c r="D64" s="612"/>
      <c r="E64" s="575">
        <f t="shared" si="0"/>
        <v>863798.54</v>
      </c>
      <c r="F64" s="612"/>
      <c r="G64" s="612"/>
      <c r="H64" s="577">
        <f t="shared" si="1"/>
        <v>0</v>
      </c>
    </row>
    <row r="65" spans="1:8">
      <c r="A65" s="590">
        <v>40</v>
      </c>
      <c r="B65" s="601" t="s">
        <v>146</v>
      </c>
      <c r="C65" s="597">
        <f>C63-C64</f>
        <v>6079776.2214276819</v>
      </c>
      <c r="D65" s="597">
        <f>D63-D64</f>
        <v>-665670.11925487965</v>
      </c>
      <c r="E65" s="575">
        <f t="shared" si="0"/>
        <v>5414106.1021728022</v>
      </c>
      <c r="F65" s="597">
        <f>F63-F64</f>
        <v>-985340.47483451013</v>
      </c>
      <c r="G65" s="597">
        <f>G63-G64</f>
        <v>-733550.41117036249</v>
      </c>
      <c r="H65" s="577">
        <f t="shared" si="1"/>
        <v>-1718890.8860048726</v>
      </c>
    </row>
    <row r="66" spans="1:8">
      <c r="A66" s="586">
        <v>41</v>
      </c>
      <c r="B66" s="594" t="s">
        <v>147</v>
      </c>
      <c r="C66" s="612"/>
      <c r="D66" s="612"/>
      <c r="E66" s="575">
        <f t="shared" si="0"/>
        <v>0</v>
      </c>
      <c r="F66" s="612"/>
      <c r="G66" s="612"/>
      <c r="H66" s="577">
        <f t="shared" si="1"/>
        <v>0</v>
      </c>
    </row>
    <row r="67" spans="1:8" ht="15.75" thickBot="1">
      <c r="A67" s="108">
        <v>42</v>
      </c>
      <c r="B67" s="109" t="s">
        <v>148</v>
      </c>
      <c r="C67" s="613">
        <f>C65+C66</f>
        <v>6079776.2214276819</v>
      </c>
      <c r="D67" s="613">
        <f>D65+D66</f>
        <v>-665670.11925487965</v>
      </c>
      <c r="E67" s="614">
        <f t="shared" si="0"/>
        <v>5414106.1021728022</v>
      </c>
      <c r="F67" s="613">
        <f>F65+F66</f>
        <v>-985340.47483451013</v>
      </c>
      <c r="G67" s="613">
        <f>G65+G66</f>
        <v>-733550.41117036249</v>
      </c>
      <c r="H67" s="615">
        <f t="shared" si="1"/>
        <v>-1718890.8860048726</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showGridLines="0" zoomScaleNormal="100" workbookViewId="0">
      <selection activeCell="B5" sqref="B5:B6"/>
    </sheetView>
  </sheetViews>
  <sheetFormatPr defaultRowHeight="15"/>
  <cols>
    <col min="1" max="1" width="9.5703125" bestFit="1" customWidth="1"/>
    <col min="2" max="2" width="72.28515625" customWidth="1"/>
    <col min="3" max="8" width="12.7109375" customWidth="1"/>
  </cols>
  <sheetData>
    <row r="1" spans="1:8" ht="15.75">
      <c r="A1" s="531" t="s">
        <v>188</v>
      </c>
      <c r="B1" s="532" t="s">
        <v>960</v>
      </c>
    </row>
    <row r="2" spans="1:8" ht="15.75">
      <c r="A2" s="531" t="s">
        <v>189</v>
      </c>
      <c r="B2" s="533">
        <f>'1. key ratios'!B2</f>
        <v>44377</v>
      </c>
    </row>
    <row r="3" spans="1:8">
      <c r="A3" s="2"/>
    </row>
    <row r="4" spans="1:8" ht="16.5" thickBot="1">
      <c r="A4" s="262" t="s">
        <v>408</v>
      </c>
      <c r="B4" s="262"/>
      <c r="C4" s="193"/>
      <c r="D4" s="193"/>
      <c r="E4" s="193"/>
      <c r="F4" s="194"/>
      <c r="G4" s="194"/>
      <c r="H4" s="195" t="s">
        <v>93</v>
      </c>
    </row>
    <row r="5" spans="1:8" ht="15.75">
      <c r="A5" s="720" t="s">
        <v>26</v>
      </c>
      <c r="B5" s="722" t="s">
        <v>245</v>
      </c>
      <c r="C5" s="724" t="s">
        <v>194</v>
      </c>
      <c r="D5" s="724"/>
      <c r="E5" s="724"/>
      <c r="F5" s="724" t="s">
        <v>195</v>
      </c>
      <c r="G5" s="724"/>
      <c r="H5" s="725"/>
    </row>
    <row r="6" spans="1:8">
      <c r="A6" s="721"/>
      <c r="B6" s="723"/>
      <c r="C6" s="566" t="s">
        <v>27</v>
      </c>
      <c r="D6" s="566" t="s">
        <v>94</v>
      </c>
      <c r="E6" s="566" t="s">
        <v>68</v>
      </c>
      <c r="F6" s="566" t="s">
        <v>27</v>
      </c>
      <c r="G6" s="566" t="s">
        <v>94</v>
      </c>
      <c r="H6" s="567" t="s">
        <v>68</v>
      </c>
    </row>
    <row r="7" spans="1:8" s="3" customFormat="1">
      <c r="A7" s="269">
        <v>1</v>
      </c>
      <c r="B7" s="616" t="s">
        <v>484</v>
      </c>
      <c r="C7" s="605">
        <f>SUM(C8:C11)</f>
        <v>28015444.25</v>
      </c>
      <c r="D7" s="605">
        <f>SUM(D8:D11)</f>
        <v>88154775.269999996</v>
      </c>
      <c r="E7" s="605">
        <f>C7+D7</f>
        <v>116170219.52</v>
      </c>
      <c r="F7" s="605">
        <f>SUM(F8:F11)</f>
        <v>29967221.759999998</v>
      </c>
      <c r="G7" s="605">
        <f>SUM(G8:G11)</f>
        <v>42305417.890000001</v>
      </c>
      <c r="H7" s="577">
        <f t="shared" ref="H7:H53" si="0">F7+G7</f>
        <v>72272639.650000006</v>
      </c>
    </row>
    <row r="8" spans="1:8" s="3" customFormat="1">
      <c r="A8" s="269">
        <v>1.1000000000000001</v>
      </c>
      <c r="B8" s="617" t="s">
        <v>276</v>
      </c>
      <c r="C8" s="618">
        <v>27981745.370000001</v>
      </c>
      <c r="D8" s="618">
        <v>88138973.769999996</v>
      </c>
      <c r="E8" s="605">
        <f t="shared" ref="E8:E53" si="1">C8+D8</f>
        <v>116120719.14</v>
      </c>
      <c r="F8" s="618">
        <v>29898564.509999998</v>
      </c>
      <c r="G8" s="618">
        <v>42290141.890000001</v>
      </c>
      <c r="H8" s="577">
        <f t="shared" si="0"/>
        <v>72188706.400000006</v>
      </c>
    </row>
    <row r="9" spans="1:8" s="3" customFormat="1">
      <c r="A9" s="269">
        <v>1.2</v>
      </c>
      <c r="B9" s="617" t="s">
        <v>277</v>
      </c>
      <c r="C9" s="618"/>
      <c r="D9" s="618"/>
      <c r="E9" s="605">
        <f t="shared" si="1"/>
        <v>0</v>
      </c>
      <c r="F9" s="618"/>
      <c r="G9" s="618"/>
      <c r="H9" s="577">
        <f t="shared" si="0"/>
        <v>0</v>
      </c>
    </row>
    <row r="10" spans="1:8" s="3" customFormat="1">
      <c r="A10" s="269">
        <v>1.3</v>
      </c>
      <c r="B10" s="617" t="s">
        <v>278</v>
      </c>
      <c r="C10" s="618">
        <v>33698.879999999997</v>
      </c>
      <c r="D10" s="618">
        <v>15801.5</v>
      </c>
      <c r="E10" s="605">
        <f t="shared" si="1"/>
        <v>49500.38</v>
      </c>
      <c r="F10" s="618">
        <v>68657.25</v>
      </c>
      <c r="G10" s="618">
        <v>15276</v>
      </c>
      <c r="H10" s="577">
        <f t="shared" si="0"/>
        <v>83933.25</v>
      </c>
    </row>
    <row r="11" spans="1:8" s="3" customFormat="1">
      <c r="A11" s="269">
        <v>1.4</v>
      </c>
      <c r="B11" s="617" t="s">
        <v>279</v>
      </c>
      <c r="C11" s="618"/>
      <c r="D11" s="618"/>
      <c r="E11" s="605">
        <f t="shared" si="1"/>
        <v>0</v>
      </c>
      <c r="F11" s="618"/>
      <c r="G11" s="618"/>
      <c r="H11" s="577">
        <f t="shared" si="0"/>
        <v>0</v>
      </c>
    </row>
    <row r="12" spans="1:8" s="3" customFormat="1" ht="29.25" customHeight="1">
      <c r="A12" s="269">
        <v>2</v>
      </c>
      <c r="B12" s="616" t="s">
        <v>280</v>
      </c>
      <c r="C12" s="605"/>
      <c r="D12" s="605"/>
      <c r="E12" s="605">
        <f t="shared" si="1"/>
        <v>0</v>
      </c>
      <c r="F12" s="605"/>
      <c r="G12" s="605"/>
      <c r="H12" s="577">
        <f t="shared" si="0"/>
        <v>0</v>
      </c>
    </row>
    <row r="13" spans="1:8" s="3" customFormat="1" ht="25.5">
      <c r="A13" s="269">
        <v>3</v>
      </c>
      <c r="B13" s="616" t="s">
        <v>281</v>
      </c>
      <c r="C13" s="605">
        <f>SUM(C14:C15)</f>
        <v>0</v>
      </c>
      <c r="D13" s="605">
        <f>SUM(D14:D15)</f>
        <v>0</v>
      </c>
      <c r="E13" s="605">
        <f t="shared" si="1"/>
        <v>0</v>
      </c>
      <c r="F13" s="605">
        <f>SUM(F14:F15)</f>
        <v>2109000</v>
      </c>
      <c r="G13" s="605">
        <f>SUM(G14:G15)</f>
        <v>0</v>
      </c>
      <c r="H13" s="577">
        <f t="shared" si="0"/>
        <v>2109000</v>
      </c>
    </row>
    <row r="14" spans="1:8" s="3" customFormat="1">
      <c r="A14" s="269">
        <v>3.1</v>
      </c>
      <c r="B14" s="617" t="s">
        <v>282</v>
      </c>
      <c r="C14" s="618">
        <v>0</v>
      </c>
      <c r="D14" s="618"/>
      <c r="E14" s="605">
        <f t="shared" si="1"/>
        <v>0</v>
      </c>
      <c r="F14" s="618">
        <v>2109000</v>
      </c>
      <c r="G14" s="618"/>
      <c r="H14" s="577">
        <f t="shared" si="0"/>
        <v>2109000</v>
      </c>
    </row>
    <row r="15" spans="1:8" s="3" customFormat="1">
      <c r="A15" s="269">
        <v>3.2</v>
      </c>
      <c r="B15" s="617" t="s">
        <v>283</v>
      </c>
      <c r="C15" s="618"/>
      <c r="D15" s="618"/>
      <c r="E15" s="605">
        <f t="shared" si="1"/>
        <v>0</v>
      </c>
      <c r="F15" s="618"/>
      <c r="G15" s="618"/>
      <c r="H15" s="577">
        <f t="shared" si="0"/>
        <v>0</v>
      </c>
    </row>
    <row r="16" spans="1:8" s="3" customFormat="1">
      <c r="A16" s="269">
        <v>4</v>
      </c>
      <c r="B16" s="616" t="s">
        <v>284</v>
      </c>
      <c r="C16" s="605">
        <f>SUM(C17:C18)</f>
        <v>62791479.649999999</v>
      </c>
      <c r="D16" s="605">
        <f>SUM(D17:D18)</f>
        <v>128112202.39751901</v>
      </c>
      <c r="E16" s="605">
        <f t="shared" si="1"/>
        <v>190903682.047519</v>
      </c>
      <c r="F16" s="605">
        <f>SUM(F17:F18)</f>
        <v>49602962.779999986</v>
      </c>
      <c r="G16" s="605">
        <f>SUM(G17:G18)</f>
        <v>79116471.82828401</v>
      </c>
      <c r="H16" s="577">
        <f t="shared" si="0"/>
        <v>128719434.608284</v>
      </c>
    </row>
    <row r="17" spans="1:8" s="3" customFormat="1">
      <c r="A17" s="269">
        <v>4.0999999999999996</v>
      </c>
      <c r="B17" s="617" t="s">
        <v>285</v>
      </c>
      <c r="C17" s="618">
        <v>39514317.649999999</v>
      </c>
      <c r="D17" s="618">
        <v>72635091.280000001</v>
      </c>
      <c r="E17" s="605">
        <f t="shared" si="1"/>
        <v>112149408.93000001</v>
      </c>
      <c r="F17" s="618">
        <v>26639537.219999991</v>
      </c>
      <c r="G17" s="618">
        <v>54355890.700000003</v>
      </c>
      <c r="H17" s="577">
        <f t="shared" si="0"/>
        <v>80995427.919999987</v>
      </c>
    </row>
    <row r="18" spans="1:8" s="3" customFormat="1">
      <c r="A18" s="269">
        <v>4.2</v>
      </c>
      <c r="B18" s="617" t="s">
        <v>286</v>
      </c>
      <c r="C18" s="618">
        <v>23277162</v>
      </c>
      <c r="D18" s="618">
        <v>55477111.117519006</v>
      </c>
      <c r="E18" s="605">
        <f t="shared" si="1"/>
        <v>78754273.117519006</v>
      </c>
      <c r="F18" s="618">
        <v>22963425.559999999</v>
      </c>
      <c r="G18" s="618">
        <v>24760581.128284004</v>
      </c>
      <c r="H18" s="577">
        <f t="shared" si="0"/>
        <v>47724006.688284002</v>
      </c>
    </row>
    <row r="19" spans="1:8" s="3" customFormat="1" ht="25.5">
      <c r="A19" s="269">
        <v>5</v>
      </c>
      <c r="B19" s="616" t="s">
        <v>287</v>
      </c>
      <c r="C19" s="605">
        <f>C20+C21+C22+SUM(C28:C31)</f>
        <v>144926</v>
      </c>
      <c r="D19" s="605">
        <f>D20+D21+D22+SUM(D28:D31)</f>
        <v>333103520.19406748</v>
      </c>
      <c r="E19" s="605">
        <f t="shared" si="1"/>
        <v>333248446.19406748</v>
      </c>
      <c r="F19" s="605">
        <f>F20+F21+F22+SUM(F28:F31)</f>
        <v>24800</v>
      </c>
      <c r="G19" s="605">
        <f>G20+G21+G22+SUM(G28:G31)</f>
        <v>284017224.39588577</v>
      </c>
      <c r="H19" s="577">
        <f t="shared" si="0"/>
        <v>284042024.39588577</v>
      </c>
    </row>
    <row r="20" spans="1:8" s="3" customFormat="1">
      <c r="A20" s="269">
        <v>5.0999999999999996</v>
      </c>
      <c r="B20" s="617" t="s">
        <v>288</v>
      </c>
      <c r="C20" s="618">
        <v>144926</v>
      </c>
      <c r="D20" s="618">
        <v>16140478.758443002</v>
      </c>
      <c r="E20" s="605">
        <f t="shared" si="1"/>
        <v>16285404.758443002</v>
      </c>
      <c r="F20" s="618">
        <v>24800</v>
      </c>
      <c r="G20" s="618">
        <v>831349.15826399997</v>
      </c>
      <c r="H20" s="577">
        <f t="shared" si="0"/>
        <v>856149.15826399997</v>
      </c>
    </row>
    <row r="21" spans="1:8" s="3" customFormat="1">
      <c r="A21" s="269">
        <v>5.2</v>
      </c>
      <c r="B21" s="617" t="s">
        <v>289</v>
      </c>
      <c r="C21" s="618"/>
      <c r="D21" s="618"/>
      <c r="E21" s="605">
        <f t="shared" si="1"/>
        <v>0</v>
      </c>
      <c r="F21" s="618"/>
      <c r="G21" s="618"/>
      <c r="H21" s="577">
        <f t="shared" si="0"/>
        <v>0</v>
      </c>
    </row>
    <row r="22" spans="1:8" s="3" customFormat="1">
      <c r="A22" s="269">
        <v>5.3</v>
      </c>
      <c r="B22" s="617" t="s">
        <v>290</v>
      </c>
      <c r="C22" s="619">
        <f>SUM(C23:C27)</f>
        <v>0</v>
      </c>
      <c r="D22" s="619">
        <f>SUM(D23:D27)</f>
        <v>275369633.35165972</v>
      </c>
      <c r="E22" s="605">
        <f t="shared" si="1"/>
        <v>275369633.35165972</v>
      </c>
      <c r="F22" s="619">
        <f>SUM(F23:F27)</f>
        <v>0</v>
      </c>
      <c r="G22" s="619">
        <f>SUM(G23:G27)</f>
        <v>229623354.29742706</v>
      </c>
      <c r="H22" s="577">
        <f t="shared" si="0"/>
        <v>229623354.29742706</v>
      </c>
    </row>
    <row r="23" spans="1:8" s="3" customFormat="1">
      <c r="A23" s="269" t="s">
        <v>291</v>
      </c>
      <c r="B23" s="620" t="s">
        <v>292</v>
      </c>
      <c r="C23" s="618"/>
      <c r="D23" s="618">
        <v>40192822.232259355</v>
      </c>
      <c r="E23" s="605">
        <f t="shared" si="1"/>
        <v>40192822.232259355</v>
      </c>
      <c r="F23" s="618"/>
      <c r="G23" s="618">
        <v>33515716.846909802</v>
      </c>
      <c r="H23" s="577">
        <f t="shared" si="0"/>
        <v>33515716.846909802</v>
      </c>
    </row>
    <row r="24" spans="1:8" s="3" customFormat="1">
      <c r="A24" s="269" t="s">
        <v>293</v>
      </c>
      <c r="B24" s="620" t="s">
        <v>294</v>
      </c>
      <c r="C24" s="618"/>
      <c r="D24" s="618">
        <v>198729740.19528785</v>
      </c>
      <c r="E24" s="605">
        <f t="shared" si="1"/>
        <v>198729740.19528785</v>
      </c>
      <c r="F24" s="618"/>
      <c r="G24" s="618">
        <v>165715402.19187051</v>
      </c>
      <c r="H24" s="577">
        <f t="shared" si="0"/>
        <v>165715402.19187051</v>
      </c>
    </row>
    <row r="25" spans="1:8" s="3" customFormat="1">
      <c r="A25" s="269" t="s">
        <v>295</v>
      </c>
      <c r="B25" s="621" t="s">
        <v>296</v>
      </c>
      <c r="C25" s="618"/>
      <c r="D25" s="618">
        <v>198338.9158014048</v>
      </c>
      <c r="E25" s="605">
        <f t="shared" si="1"/>
        <v>198338.9158014048</v>
      </c>
      <c r="F25" s="618"/>
      <c r="G25" s="618">
        <v>165389.50420823164</v>
      </c>
      <c r="H25" s="577">
        <f t="shared" si="0"/>
        <v>165389.50420823164</v>
      </c>
    </row>
    <row r="26" spans="1:8" s="3" customFormat="1">
      <c r="A26" s="269" t="s">
        <v>297</v>
      </c>
      <c r="B26" s="620" t="s">
        <v>298</v>
      </c>
      <c r="C26" s="618"/>
      <c r="D26" s="618">
        <v>36248732.008311085</v>
      </c>
      <c r="E26" s="605">
        <f t="shared" si="1"/>
        <v>36248732.008311085</v>
      </c>
      <c r="F26" s="618"/>
      <c r="G26" s="618">
        <v>30226845.754438505</v>
      </c>
      <c r="H26" s="577">
        <f t="shared" si="0"/>
        <v>30226845.754438505</v>
      </c>
    </row>
    <row r="27" spans="1:8" s="3" customFormat="1">
      <c r="A27" s="269" t="s">
        <v>299</v>
      </c>
      <c r="B27" s="620" t="s">
        <v>300</v>
      </c>
      <c r="C27" s="618"/>
      <c r="D27" s="618">
        <v>0</v>
      </c>
      <c r="E27" s="605">
        <f t="shared" si="1"/>
        <v>0</v>
      </c>
      <c r="F27" s="618"/>
      <c r="G27" s="618">
        <v>0</v>
      </c>
      <c r="H27" s="577">
        <f t="shared" si="0"/>
        <v>0</v>
      </c>
    </row>
    <row r="28" spans="1:8" s="3" customFormat="1">
      <c r="A28" s="269">
        <v>5.4</v>
      </c>
      <c r="B28" s="617" t="s">
        <v>301</v>
      </c>
      <c r="C28" s="618"/>
      <c r="D28" s="618">
        <v>12015997.634964779</v>
      </c>
      <c r="E28" s="605">
        <f t="shared" si="1"/>
        <v>12015997.634964779</v>
      </c>
      <c r="F28" s="618"/>
      <c r="G28" s="618">
        <v>6376493.2122657057</v>
      </c>
      <c r="H28" s="577">
        <f t="shared" si="0"/>
        <v>6376493.2122657057</v>
      </c>
    </row>
    <row r="29" spans="1:8" s="3" customFormat="1">
      <c r="A29" s="269">
        <v>5.5</v>
      </c>
      <c r="B29" s="617" t="s">
        <v>302</v>
      </c>
      <c r="C29" s="618"/>
      <c r="D29" s="618">
        <v>0</v>
      </c>
      <c r="E29" s="605">
        <f t="shared" si="1"/>
        <v>0</v>
      </c>
      <c r="F29" s="618"/>
      <c r="G29" s="618">
        <v>0</v>
      </c>
      <c r="H29" s="577">
        <f t="shared" si="0"/>
        <v>0</v>
      </c>
    </row>
    <row r="30" spans="1:8" s="3" customFormat="1">
      <c r="A30" s="269">
        <v>5.6</v>
      </c>
      <c r="B30" s="617" t="s">
        <v>303</v>
      </c>
      <c r="C30" s="618"/>
      <c r="D30" s="618">
        <v>0</v>
      </c>
      <c r="E30" s="605">
        <f t="shared" si="1"/>
        <v>0</v>
      </c>
      <c r="F30" s="618"/>
      <c r="G30" s="618">
        <v>0</v>
      </c>
      <c r="H30" s="577">
        <f t="shared" si="0"/>
        <v>0</v>
      </c>
    </row>
    <row r="31" spans="1:8" s="3" customFormat="1">
      <c r="A31" s="269">
        <v>5.7</v>
      </c>
      <c r="B31" s="617" t="s">
        <v>304</v>
      </c>
      <c r="C31" s="618"/>
      <c r="D31" s="618">
        <v>29577410.449000001</v>
      </c>
      <c r="E31" s="605">
        <f t="shared" si="1"/>
        <v>29577410.449000001</v>
      </c>
      <c r="F31" s="618"/>
      <c r="G31" s="618">
        <v>47186027.727928996</v>
      </c>
      <c r="H31" s="577">
        <f t="shared" si="0"/>
        <v>47186027.727928996</v>
      </c>
    </row>
    <row r="32" spans="1:8" s="3" customFormat="1">
      <c r="A32" s="269">
        <v>6</v>
      </c>
      <c r="B32" s="616" t="s">
        <v>305</v>
      </c>
      <c r="C32" s="605">
        <f>SUM(C33:C39)</f>
        <v>0</v>
      </c>
      <c r="D32" s="605">
        <f>SUM(D33:D39)</f>
        <v>0</v>
      </c>
      <c r="E32" s="605">
        <f t="shared" si="1"/>
        <v>0</v>
      </c>
      <c r="F32" s="605">
        <f>SUM(F33:F39)</f>
        <v>0</v>
      </c>
      <c r="G32" s="605">
        <f>SUM(G33:G39)</f>
        <v>0</v>
      </c>
      <c r="H32" s="577">
        <f t="shared" si="0"/>
        <v>0</v>
      </c>
    </row>
    <row r="33" spans="1:8" s="3" customFormat="1" ht="25.5">
      <c r="A33" s="269">
        <v>6.1</v>
      </c>
      <c r="B33" s="617" t="s">
        <v>485</v>
      </c>
      <c r="C33" s="618"/>
      <c r="D33" s="618"/>
      <c r="E33" s="605">
        <f t="shared" si="1"/>
        <v>0</v>
      </c>
      <c r="F33" s="618"/>
      <c r="G33" s="618"/>
      <c r="H33" s="577">
        <f t="shared" si="0"/>
        <v>0</v>
      </c>
    </row>
    <row r="34" spans="1:8" s="3" customFormat="1" ht="25.5">
      <c r="A34" s="269">
        <v>6.2</v>
      </c>
      <c r="B34" s="617" t="s">
        <v>306</v>
      </c>
      <c r="C34" s="618"/>
      <c r="D34" s="618"/>
      <c r="E34" s="605">
        <f t="shared" si="1"/>
        <v>0</v>
      </c>
      <c r="F34" s="618"/>
      <c r="G34" s="618"/>
      <c r="H34" s="577">
        <f t="shared" si="0"/>
        <v>0</v>
      </c>
    </row>
    <row r="35" spans="1:8" s="3" customFormat="1" ht="25.5">
      <c r="A35" s="269">
        <v>6.3</v>
      </c>
      <c r="B35" s="617" t="s">
        <v>307</v>
      </c>
      <c r="C35" s="618"/>
      <c r="D35" s="618"/>
      <c r="E35" s="605">
        <f t="shared" si="1"/>
        <v>0</v>
      </c>
      <c r="F35" s="618"/>
      <c r="G35" s="618"/>
      <c r="H35" s="577">
        <f t="shared" si="0"/>
        <v>0</v>
      </c>
    </row>
    <row r="36" spans="1:8" s="3" customFormat="1">
      <c r="A36" s="269">
        <v>6.4</v>
      </c>
      <c r="B36" s="617" t="s">
        <v>308</v>
      </c>
      <c r="C36" s="618"/>
      <c r="D36" s="618"/>
      <c r="E36" s="605">
        <f t="shared" si="1"/>
        <v>0</v>
      </c>
      <c r="F36" s="618"/>
      <c r="G36" s="618"/>
      <c r="H36" s="577">
        <f t="shared" si="0"/>
        <v>0</v>
      </c>
    </row>
    <row r="37" spans="1:8" s="3" customFormat="1">
      <c r="A37" s="269">
        <v>6.5</v>
      </c>
      <c r="B37" s="617" t="s">
        <v>309</v>
      </c>
      <c r="C37" s="618"/>
      <c r="D37" s="618"/>
      <c r="E37" s="605">
        <f t="shared" si="1"/>
        <v>0</v>
      </c>
      <c r="F37" s="618"/>
      <c r="G37" s="618"/>
      <c r="H37" s="577">
        <f t="shared" si="0"/>
        <v>0</v>
      </c>
    </row>
    <row r="38" spans="1:8" s="3" customFormat="1" ht="25.5">
      <c r="A38" s="269">
        <v>6.6</v>
      </c>
      <c r="B38" s="617" t="s">
        <v>310</v>
      </c>
      <c r="C38" s="618"/>
      <c r="D38" s="618"/>
      <c r="E38" s="605">
        <f t="shared" si="1"/>
        <v>0</v>
      </c>
      <c r="F38" s="618"/>
      <c r="G38" s="618"/>
      <c r="H38" s="577">
        <f t="shared" si="0"/>
        <v>0</v>
      </c>
    </row>
    <row r="39" spans="1:8" s="3" customFormat="1" ht="25.5">
      <c r="A39" s="269">
        <v>6.7</v>
      </c>
      <c r="B39" s="617" t="s">
        <v>311</v>
      </c>
      <c r="C39" s="618"/>
      <c r="D39" s="618"/>
      <c r="E39" s="605">
        <f t="shared" si="1"/>
        <v>0</v>
      </c>
      <c r="F39" s="618"/>
      <c r="G39" s="618"/>
      <c r="H39" s="577">
        <f t="shared" si="0"/>
        <v>0</v>
      </c>
    </row>
    <row r="40" spans="1:8" s="3" customFormat="1">
      <c r="A40" s="269">
        <v>7</v>
      </c>
      <c r="B40" s="616" t="s">
        <v>312</v>
      </c>
      <c r="C40" s="605">
        <f>SUM(C41:C44)</f>
        <v>108535.39</v>
      </c>
      <c r="D40" s="605">
        <f>SUM(D41:D44)</f>
        <v>14611.499999999996</v>
      </c>
      <c r="E40" s="605">
        <f t="shared" si="1"/>
        <v>123146.89</v>
      </c>
      <c r="F40" s="605">
        <f>SUM(F41:F44)</f>
        <v>148239.27999999991</v>
      </c>
      <c r="G40" s="605">
        <f>SUM(G41:G44)</f>
        <v>55383.400000000009</v>
      </c>
      <c r="H40" s="577">
        <f t="shared" si="0"/>
        <v>203622.67999999993</v>
      </c>
    </row>
    <row r="41" spans="1:8" s="3" customFormat="1" ht="25.5">
      <c r="A41" s="269">
        <v>7.1</v>
      </c>
      <c r="B41" s="617" t="s">
        <v>313</v>
      </c>
      <c r="C41" s="618"/>
      <c r="D41" s="618"/>
      <c r="E41" s="605">
        <f t="shared" si="1"/>
        <v>0</v>
      </c>
      <c r="F41" s="618"/>
      <c r="G41" s="618"/>
      <c r="H41" s="577">
        <f t="shared" si="0"/>
        <v>0</v>
      </c>
    </row>
    <row r="42" spans="1:8" s="3" customFormat="1" ht="25.5">
      <c r="A42" s="269">
        <v>7.2</v>
      </c>
      <c r="B42" s="617" t="s">
        <v>314</v>
      </c>
      <c r="C42" s="618"/>
      <c r="D42" s="618"/>
      <c r="E42" s="605">
        <f t="shared" si="1"/>
        <v>0</v>
      </c>
      <c r="F42" s="618"/>
      <c r="G42" s="618"/>
      <c r="H42" s="577">
        <f t="shared" si="0"/>
        <v>0</v>
      </c>
    </row>
    <row r="43" spans="1:8" s="3" customFormat="1" ht="25.5">
      <c r="A43" s="269">
        <v>7.3</v>
      </c>
      <c r="B43" s="617" t="s">
        <v>315</v>
      </c>
      <c r="C43" s="618"/>
      <c r="D43" s="618"/>
      <c r="E43" s="605">
        <f t="shared" si="1"/>
        <v>0</v>
      </c>
      <c r="F43" s="618"/>
      <c r="G43" s="618"/>
      <c r="H43" s="577">
        <f t="shared" si="0"/>
        <v>0</v>
      </c>
    </row>
    <row r="44" spans="1:8" s="3" customFormat="1" ht="25.5">
      <c r="A44" s="269">
        <v>7.4</v>
      </c>
      <c r="B44" s="617" t="s">
        <v>316</v>
      </c>
      <c r="C44" s="618">
        <v>108535.39</v>
      </c>
      <c r="D44" s="618">
        <v>14611.499999999996</v>
      </c>
      <c r="E44" s="605">
        <f t="shared" si="1"/>
        <v>123146.89</v>
      </c>
      <c r="F44" s="618">
        <v>148239.27999999991</v>
      </c>
      <c r="G44" s="618">
        <v>55383.400000000009</v>
      </c>
      <c r="H44" s="577">
        <f t="shared" si="0"/>
        <v>203622.67999999993</v>
      </c>
    </row>
    <row r="45" spans="1:8" s="3" customFormat="1">
      <c r="A45" s="269">
        <v>8</v>
      </c>
      <c r="B45" s="616" t="s">
        <v>317</v>
      </c>
      <c r="C45" s="605">
        <f>SUM(C46:C52)</f>
        <v>385599.6</v>
      </c>
      <c r="D45" s="605">
        <f>SUM(D46:D52)</f>
        <v>235104.42563535925</v>
      </c>
      <c r="E45" s="605">
        <f t="shared" si="1"/>
        <v>620704.02563535923</v>
      </c>
      <c r="F45" s="605">
        <f>SUM(F46:F52)</f>
        <v>1183498.8</v>
      </c>
      <c r="G45" s="605">
        <f>SUM(G46:G52)</f>
        <v>429373.68000000005</v>
      </c>
      <c r="H45" s="577">
        <f t="shared" si="0"/>
        <v>1612872.48</v>
      </c>
    </row>
    <row r="46" spans="1:8" s="3" customFormat="1">
      <c r="A46" s="269">
        <v>8.1</v>
      </c>
      <c r="B46" s="617" t="s">
        <v>318</v>
      </c>
      <c r="C46" s="618"/>
      <c r="D46" s="618"/>
      <c r="E46" s="605">
        <f t="shared" si="1"/>
        <v>0</v>
      </c>
      <c r="F46" s="618"/>
      <c r="G46" s="618"/>
      <c r="H46" s="577">
        <f t="shared" si="0"/>
        <v>0</v>
      </c>
    </row>
    <row r="47" spans="1:8" s="3" customFormat="1">
      <c r="A47" s="269">
        <v>8.1999999999999993</v>
      </c>
      <c r="B47" s="617" t="s">
        <v>319</v>
      </c>
      <c r="C47" s="618">
        <v>385599.6</v>
      </c>
      <c r="D47" s="618">
        <v>235104.42563535925</v>
      </c>
      <c r="E47" s="605">
        <f t="shared" si="1"/>
        <v>620704.02563535923</v>
      </c>
      <c r="F47" s="618">
        <v>790849.20000000007</v>
      </c>
      <c r="G47" s="618">
        <v>214686.84000000003</v>
      </c>
      <c r="H47" s="577">
        <f t="shared" si="0"/>
        <v>1005536.04</v>
      </c>
    </row>
    <row r="48" spans="1:8" s="3" customFormat="1">
      <c r="A48" s="269">
        <v>8.3000000000000007</v>
      </c>
      <c r="B48" s="617" t="s">
        <v>320</v>
      </c>
      <c r="C48" s="618"/>
      <c r="D48" s="618"/>
      <c r="E48" s="605">
        <f t="shared" si="1"/>
        <v>0</v>
      </c>
      <c r="F48" s="618">
        <v>392649.6</v>
      </c>
      <c r="G48" s="618">
        <v>214686.84000000003</v>
      </c>
      <c r="H48" s="577">
        <f t="shared" si="0"/>
        <v>607336.43999999994</v>
      </c>
    </row>
    <row r="49" spans="1:8" s="3" customFormat="1">
      <c r="A49" s="269">
        <v>8.4</v>
      </c>
      <c r="B49" s="617" t="s">
        <v>321</v>
      </c>
      <c r="C49" s="618"/>
      <c r="D49" s="618"/>
      <c r="E49" s="605">
        <f t="shared" si="1"/>
        <v>0</v>
      </c>
      <c r="F49" s="618"/>
      <c r="G49" s="618"/>
      <c r="H49" s="577">
        <f t="shared" si="0"/>
        <v>0</v>
      </c>
    </row>
    <row r="50" spans="1:8" s="3" customFormat="1">
      <c r="A50" s="269">
        <v>8.5</v>
      </c>
      <c r="B50" s="617" t="s">
        <v>322</v>
      </c>
      <c r="C50" s="618"/>
      <c r="D50" s="618"/>
      <c r="E50" s="605">
        <f t="shared" si="1"/>
        <v>0</v>
      </c>
      <c r="F50" s="618"/>
      <c r="G50" s="618"/>
      <c r="H50" s="577">
        <f t="shared" si="0"/>
        <v>0</v>
      </c>
    </row>
    <row r="51" spans="1:8" s="3" customFormat="1">
      <c r="A51" s="269">
        <v>8.6</v>
      </c>
      <c r="B51" s="617" t="s">
        <v>323</v>
      </c>
      <c r="C51" s="618"/>
      <c r="D51" s="618"/>
      <c r="E51" s="605">
        <f t="shared" si="1"/>
        <v>0</v>
      </c>
      <c r="F51" s="618"/>
      <c r="G51" s="618"/>
      <c r="H51" s="577">
        <f t="shared" si="0"/>
        <v>0</v>
      </c>
    </row>
    <row r="52" spans="1:8" s="3" customFormat="1">
      <c r="A52" s="269">
        <v>8.6999999999999993</v>
      </c>
      <c r="B52" s="617" t="s">
        <v>324</v>
      </c>
      <c r="C52" s="618"/>
      <c r="D52" s="618"/>
      <c r="E52" s="605">
        <f t="shared" si="1"/>
        <v>0</v>
      </c>
      <c r="F52" s="618"/>
      <c r="G52" s="618"/>
      <c r="H52" s="577">
        <f t="shared" si="0"/>
        <v>0</v>
      </c>
    </row>
    <row r="53" spans="1:8" s="3" customFormat="1" ht="15.75" thickBot="1">
      <c r="A53" s="196">
        <v>9</v>
      </c>
      <c r="B53" s="622" t="s">
        <v>325</v>
      </c>
      <c r="C53" s="623"/>
      <c r="D53" s="623"/>
      <c r="E53" s="623">
        <f t="shared" si="1"/>
        <v>0</v>
      </c>
      <c r="F53" s="623"/>
      <c r="G53" s="623"/>
      <c r="H53" s="615">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1.28515625" style="2" bestFit="1" customWidth="1"/>
    <col min="5" max="7" width="11.28515625" style="13" bestFit="1" customWidth="1"/>
    <col min="8" max="11" width="9.7109375" style="13" customWidth="1"/>
    <col min="12" max="16384" width="9.140625" style="13"/>
  </cols>
  <sheetData>
    <row r="1" spans="1:8" ht="15">
      <c r="A1" s="531" t="s">
        <v>188</v>
      </c>
      <c r="B1" s="532" t="s">
        <v>960</v>
      </c>
      <c r="C1" s="17"/>
      <c r="D1" s="262"/>
    </row>
    <row r="2" spans="1:8" ht="15">
      <c r="A2" s="531" t="s">
        <v>189</v>
      </c>
      <c r="B2" s="533">
        <f>'1. key ratios'!B2</f>
        <v>44377</v>
      </c>
      <c r="C2" s="30"/>
      <c r="D2" s="19"/>
      <c r="E2" s="12"/>
      <c r="F2" s="12"/>
      <c r="G2" s="12"/>
      <c r="H2" s="12"/>
    </row>
    <row r="3" spans="1:8" ht="15">
      <c r="A3" s="18"/>
      <c r="B3" s="17"/>
      <c r="C3" s="30"/>
      <c r="D3" s="19"/>
      <c r="E3" s="12"/>
      <c r="F3" s="12"/>
      <c r="G3" s="12"/>
      <c r="H3" s="12"/>
    </row>
    <row r="4" spans="1:8" ht="15" customHeight="1" thickBot="1">
      <c r="A4" s="191" t="s">
        <v>409</v>
      </c>
      <c r="B4" s="192" t="s">
        <v>187</v>
      </c>
      <c r="C4" s="632" t="s">
        <v>93</v>
      </c>
    </row>
    <row r="5" spans="1:8" ht="15" customHeight="1">
      <c r="A5" s="189" t="s">
        <v>26</v>
      </c>
      <c r="B5" s="190"/>
      <c r="C5" s="534" t="str">
        <f>INT((MONTH($B$2))/3)&amp;"Q"&amp;"-"&amp;YEAR($B$2)</f>
        <v>2Q-2021</v>
      </c>
      <c r="D5" s="534" t="str">
        <f>IF(INT(MONTH($B$2))=3, "4"&amp;"Q"&amp;"-"&amp;YEAR($B$2)-1, IF(INT(MONTH($B$2))=6, "1"&amp;"Q"&amp;"-"&amp;YEAR($B$2), IF(INT(MONTH($B$2))=9, "2"&amp;"Q"&amp;"-"&amp;YEAR($B$2),IF(INT(MONTH($B$2))=12, "3"&amp;"Q"&amp;"-"&amp;YEAR($B$2), 0))))</f>
        <v>1Q-2021</v>
      </c>
      <c r="E5" s="534" t="str">
        <f>IF(INT(MONTH($B$2))=3, "3"&amp;"Q"&amp;"-"&amp;YEAR($B$2)-1, IF(INT(MONTH($B$2))=6, "4"&amp;"Q"&amp;"-"&amp;YEAR($B$2)-1, IF(INT(MONTH($B$2))=9, "1"&amp;"Q"&amp;"-"&amp;YEAR($B$2),IF(INT(MONTH($B$2))=12, "2"&amp;"Q"&amp;"-"&amp;YEAR($B$2), 0))))</f>
        <v>4Q-2020</v>
      </c>
      <c r="F5" s="534" t="str">
        <f>IF(INT(MONTH($B$2))=3, "2"&amp;"Q"&amp;"-"&amp;YEAR($B$2)-1, IF(INT(MONTH($B$2))=6, "3"&amp;"Q"&amp;"-"&amp;YEAR($B$2)-1, IF(INT(MONTH($B$2))=9, "4"&amp;"Q"&amp;"-"&amp;YEAR($B$2)-1,IF(INT(MONTH($B$2))=12, "1"&amp;"Q"&amp;"-"&amp;YEAR($B$2), 0))))</f>
        <v>3Q-2020</v>
      </c>
      <c r="G5" s="534" t="str">
        <f>IF(INT(MONTH($B$2))=3, "1"&amp;"Q"&amp;"-"&amp;YEAR($B$2)-1, IF(INT(MONTH($B$2))=6, "2"&amp;"Q"&amp;"-"&amp;YEAR($B$2)-1, IF(INT(MONTH($B$2))=9, "3"&amp;"Q"&amp;"-"&amp;YEAR($B$2)-1,IF(INT(MONTH($B$2))=12, "4"&amp;"Q"&amp;"-"&amp;YEAR($B$2)-1, 0))))</f>
        <v>2Q-2020</v>
      </c>
    </row>
    <row r="6" spans="1:8" ht="15" customHeight="1">
      <c r="A6" s="300">
        <v>1</v>
      </c>
      <c r="B6" s="354" t="s">
        <v>192</v>
      </c>
      <c r="C6" s="624">
        <f>C7+C9+C10</f>
        <v>367280315.32480073</v>
      </c>
      <c r="D6" s="624">
        <f>D7+D9+D10</f>
        <v>356753760.03299773</v>
      </c>
      <c r="E6" s="624">
        <f t="shared" ref="E6:G6" si="0">E7+E9+E10</f>
        <v>353849825.01550949</v>
      </c>
      <c r="F6" s="624">
        <f t="shared" si="0"/>
        <v>334866146.72064102</v>
      </c>
      <c r="G6" s="625">
        <f t="shared" si="0"/>
        <v>309318758.44030887</v>
      </c>
    </row>
    <row r="7" spans="1:8" ht="15" customHeight="1">
      <c r="A7" s="300">
        <v>1.1000000000000001</v>
      </c>
      <c r="B7" s="301" t="s">
        <v>606</v>
      </c>
      <c r="C7" s="626">
        <v>308857744.80980074</v>
      </c>
      <c r="D7" s="626">
        <v>312081819.75799775</v>
      </c>
      <c r="E7" s="626">
        <v>309116063.40300947</v>
      </c>
      <c r="F7" s="626">
        <v>287914598.33314103</v>
      </c>
      <c r="G7" s="627">
        <v>266347115.07530886</v>
      </c>
    </row>
    <row r="8" spans="1:8" ht="25.5">
      <c r="A8" s="300" t="s">
        <v>252</v>
      </c>
      <c r="B8" s="302" t="s">
        <v>403</v>
      </c>
      <c r="C8" s="626"/>
      <c r="D8" s="626"/>
      <c r="E8" s="626"/>
      <c r="F8" s="626"/>
      <c r="G8" s="627"/>
    </row>
    <row r="9" spans="1:8" ht="15" customHeight="1">
      <c r="A9" s="300">
        <v>1.2</v>
      </c>
      <c r="B9" s="301" t="s">
        <v>22</v>
      </c>
      <c r="C9" s="626">
        <v>58422570.515000001</v>
      </c>
      <c r="D9" s="626">
        <v>44671940.274999999</v>
      </c>
      <c r="E9" s="626">
        <v>44733761.612499997</v>
      </c>
      <c r="F9" s="626">
        <v>46951548.387499973</v>
      </c>
      <c r="G9" s="627">
        <v>42971643.36500001</v>
      </c>
    </row>
    <row r="10" spans="1:8" ht="15" customHeight="1">
      <c r="A10" s="300">
        <v>1.3</v>
      </c>
      <c r="B10" s="355" t="s">
        <v>77</v>
      </c>
      <c r="C10" s="626">
        <v>0</v>
      </c>
      <c r="D10" s="626">
        <v>0</v>
      </c>
      <c r="E10" s="626">
        <v>0</v>
      </c>
      <c r="F10" s="626">
        <v>0</v>
      </c>
      <c r="G10" s="627">
        <v>0</v>
      </c>
    </row>
    <row r="11" spans="1:8" ht="15" customHeight="1">
      <c r="A11" s="300">
        <v>2</v>
      </c>
      <c r="B11" s="354" t="s">
        <v>193</v>
      </c>
      <c r="C11" s="628">
        <v>784603.3461370474</v>
      </c>
      <c r="D11" s="628">
        <v>3836489.7190561523</v>
      </c>
      <c r="E11" s="628">
        <v>1464177.9683145941</v>
      </c>
      <c r="F11" s="628">
        <v>254931.44905463999</v>
      </c>
      <c r="G11" s="629">
        <v>2405024.7169642635</v>
      </c>
    </row>
    <row r="12" spans="1:8" ht="15" customHeight="1">
      <c r="A12" s="313">
        <v>3</v>
      </c>
      <c r="B12" s="356" t="s">
        <v>191</v>
      </c>
      <c r="C12" s="626">
        <v>26883909.351648834</v>
      </c>
      <c r="D12" s="626">
        <v>26883909.351648834</v>
      </c>
      <c r="E12" s="626">
        <v>26883909.351648834</v>
      </c>
      <c r="F12" s="626">
        <v>22160683.935528707</v>
      </c>
      <c r="G12" s="627">
        <v>22160683.935528707</v>
      </c>
    </row>
    <row r="13" spans="1:8" ht="15" customHeight="1" thickBot="1">
      <c r="A13" s="111">
        <v>4</v>
      </c>
      <c r="B13" s="357" t="s">
        <v>253</v>
      </c>
      <c r="C13" s="630">
        <f>C6+C11+C12</f>
        <v>394948828.02258658</v>
      </c>
      <c r="D13" s="630">
        <f>D6+D11+D12</f>
        <v>387474159.10370266</v>
      </c>
      <c r="E13" s="630">
        <f t="shared" ref="E13:G13" si="1">E6+E11+E12</f>
        <v>382197912.33547288</v>
      </c>
      <c r="F13" s="630">
        <f t="shared" si="1"/>
        <v>357281762.10522437</v>
      </c>
      <c r="G13" s="631">
        <f t="shared" si="1"/>
        <v>333884467.09280181</v>
      </c>
    </row>
    <row r="14" spans="1:8">
      <c r="B14" s="24"/>
    </row>
    <row r="15" spans="1:8" ht="25.5">
      <c r="B15" s="88" t="s">
        <v>607</v>
      </c>
    </row>
    <row r="16" spans="1:8">
      <c r="B16" s="88"/>
    </row>
    <row r="17" spans="2:2">
      <c r="B17" s="88"/>
    </row>
    <row r="18" spans="2:2">
      <c r="B18" s="8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28515625" style="2" customWidth="1"/>
  </cols>
  <sheetData>
    <row r="1" spans="1:8" ht="15.75">
      <c r="A1" s="531" t="s">
        <v>188</v>
      </c>
      <c r="B1" s="532" t="s">
        <v>960</v>
      </c>
    </row>
    <row r="2" spans="1:8" ht="15.75">
      <c r="A2" s="531" t="s">
        <v>189</v>
      </c>
      <c r="B2" s="533">
        <f>'1. key ratios'!B2</f>
        <v>44377</v>
      </c>
    </row>
    <row r="4" spans="1:8" ht="30.75" thickBot="1">
      <c r="A4" s="207" t="s">
        <v>410</v>
      </c>
      <c r="B4" s="44" t="s">
        <v>149</v>
      </c>
      <c r="C4" s="14"/>
    </row>
    <row r="5" spans="1:8" ht="15.75">
      <c r="A5" s="11"/>
      <c r="B5" s="349" t="s">
        <v>150</v>
      </c>
      <c r="C5" s="361" t="s">
        <v>621</v>
      </c>
    </row>
    <row r="6" spans="1:8">
      <c r="A6" s="15">
        <v>1</v>
      </c>
      <c r="B6" s="45" t="s">
        <v>961</v>
      </c>
      <c r="C6" s="358" t="s">
        <v>972</v>
      </c>
    </row>
    <row r="7" spans="1:8">
      <c r="A7" s="15">
        <v>2</v>
      </c>
      <c r="B7" s="45" t="s">
        <v>964</v>
      </c>
      <c r="C7" s="358" t="s">
        <v>973</v>
      </c>
    </row>
    <row r="8" spans="1:8">
      <c r="A8" s="15">
        <v>3</v>
      </c>
      <c r="B8" s="45" t="s">
        <v>965</v>
      </c>
      <c r="C8" s="358" t="s">
        <v>974</v>
      </c>
    </row>
    <row r="9" spans="1:8">
      <c r="A9" s="15">
        <v>4</v>
      </c>
      <c r="B9" s="45" t="s">
        <v>966</v>
      </c>
      <c r="C9" s="358" t="s">
        <v>974</v>
      </c>
    </row>
    <row r="10" spans="1:8">
      <c r="A10" s="15">
        <v>5</v>
      </c>
      <c r="B10" s="45" t="s">
        <v>967</v>
      </c>
      <c r="C10" s="358" t="s">
        <v>973</v>
      </c>
    </row>
    <row r="11" spans="1:8">
      <c r="A11" s="15">
        <v>6</v>
      </c>
      <c r="B11" s="45" t="s">
        <v>968</v>
      </c>
      <c r="C11" s="358" t="s">
        <v>973</v>
      </c>
    </row>
    <row r="12" spans="1:8">
      <c r="A12" s="15">
        <v>7</v>
      </c>
      <c r="B12" s="45"/>
      <c r="C12" s="358"/>
      <c r="H12" s="4"/>
    </row>
    <row r="13" spans="1:8">
      <c r="A13" s="15">
        <v>8</v>
      </c>
      <c r="B13" s="45"/>
      <c r="C13" s="358"/>
    </row>
    <row r="14" spans="1:8">
      <c r="A14" s="15">
        <v>9</v>
      </c>
      <c r="B14" s="45"/>
      <c r="C14" s="358"/>
    </row>
    <row r="15" spans="1:8">
      <c r="A15" s="15">
        <v>10</v>
      </c>
      <c r="B15" s="45"/>
      <c r="C15" s="358"/>
    </row>
    <row r="16" spans="1:8">
      <c r="A16" s="15"/>
      <c r="B16" s="726"/>
      <c r="C16" s="727"/>
    </row>
    <row r="17" spans="1:3" ht="60">
      <c r="A17" s="15"/>
      <c r="B17" s="350" t="s">
        <v>151</v>
      </c>
      <c r="C17" s="362" t="s">
        <v>622</v>
      </c>
    </row>
    <row r="18" spans="1:3" ht="15.75">
      <c r="A18" s="15">
        <v>1</v>
      </c>
      <c r="B18" s="28" t="s">
        <v>969</v>
      </c>
      <c r="C18" s="359" t="s">
        <v>975</v>
      </c>
    </row>
    <row r="19" spans="1:3" ht="15.75">
      <c r="A19" s="15">
        <v>2</v>
      </c>
      <c r="B19" s="28" t="s">
        <v>970</v>
      </c>
      <c r="C19" s="359" t="s">
        <v>976</v>
      </c>
    </row>
    <row r="20" spans="1:3" ht="15.75">
      <c r="A20" s="15">
        <v>3</v>
      </c>
      <c r="B20" s="28" t="s">
        <v>971</v>
      </c>
      <c r="C20" s="359" t="s">
        <v>977</v>
      </c>
    </row>
    <row r="21" spans="1:3" ht="15.75">
      <c r="A21" s="15">
        <v>4</v>
      </c>
      <c r="B21" s="28"/>
      <c r="C21" s="359"/>
    </row>
    <row r="22" spans="1:3" ht="15.75">
      <c r="A22" s="15">
        <v>5</v>
      </c>
      <c r="B22" s="28"/>
      <c r="C22" s="359"/>
    </row>
    <row r="23" spans="1:3" ht="15.75">
      <c r="A23" s="15">
        <v>6</v>
      </c>
      <c r="B23" s="28"/>
      <c r="C23" s="359"/>
    </row>
    <row r="24" spans="1:3" ht="15.75">
      <c r="A24" s="15">
        <v>7</v>
      </c>
      <c r="B24" s="28"/>
      <c r="C24" s="359"/>
    </row>
    <row r="25" spans="1:3" ht="15.75">
      <c r="A25" s="15">
        <v>8</v>
      </c>
      <c r="B25" s="28"/>
      <c r="C25" s="359"/>
    </row>
    <row r="26" spans="1:3" ht="15.75">
      <c r="A26" s="15">
        <v>9</v>
      </c>
      <c r="B26" s="28"/>
      <c r="C26" s="359"/>
    </row>
    <row r="27" spans="1:3" ht="15.75" customHeight="1">
      <c r="A27" s="15">
        <v>10</v>
      </c>
      <c r="B27" s="28"/>
      <c r="C27" s="360"/>
    </row>
    <row r="28" spans="1:3" ht="15.75" customHeight="1">
      <c r="A28" s="15"/>
      <c r="B28" s="28"/>
      <c r="C28" s="29"/>
    </row>
    <row r="29" spans="1:3" ht="30" customHeight="1">
      <c r="A29" s="15"/>
      <c r="B29" s="728" t="s">
        <v>152</v>
      </c>
      <c r="C29" s="729"/>
    </row>
    <row r="30" spans="1:3">
      <c r="A30" s="15">
        <v>1</v>
      </c>
      <c r="B30" s="633" t="s">
        <v>978</v>
      </c>
      <c r="C30" s="634">
        <v>1</v>
      </c>
    </row>
    <row r="31" spans="1:3" ht="15.75" customHeight="1">
      <c r="A31" s="15"/>
      <c r="B31" s="45"/>
      <c r="C31" s="46"/>
    </row>
    <row r="32" spans="1:3" ht="29.25" customHeight="1">
      <c r="A32" s="15"/>
      <c r="B32" s="728" t="s">
        <v>273</v>
      </c>
      <c r="C32" s="729"/>
    </row>
    <row r="33" spans="1:3">
      <c r="A33" s="635">
        <v>1</v>
      </c>
      <c r="B33" s="633" t="s">
        <v>979</v>
      </c>
      <c r="C33" s="636">
        <v>0.37080000000000002</v>
      </c>
    </row>
    <row r="34" spans="1:3" ht="16.5" thickBot="1">
      <c r="A34" s="16">
        <v>2</v>
      </c>
      <c r="B34" s="47" t="s">
        <v>980</v>
      </c>
      <c r="C34" s="637">
        <v>0.28089999999999998</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531" t="s">
        <v>188</v>
      </c>
      <c r="B1" s="532" t="s">
        <v>960</v>
      </c>
    </row>
    <row r="2" spans="1:7" s="22" customFormat="1" ht="15.75" customHeight="1">
      <c r="A2" s="531" t="s">
        <v>189</v>
      </c>
      <c r="B2" s="533">
        <f>'1. key ratios'!B2</f>
        <v>44377</v>
      </c>
    </row>
    <row r="3" spans="1:7" s="22" customFormat="1" ht="15.75" customHeight="1"/>
    <row r="4" spans="1:7" s="22" customFormat="1" ht="15.75" customHeight="1" thickBot="1">
      <c r="A4" s="208" t="s">
        <v>411</v>
      </c>
      <c r="B4" s="209" t="s">
        <v>263</v>
      </c>
      <c r="C4" s="168"/>
      <c r="D4" s="168"/>
      <c r="E4" s="169" t="s">
        <v>93</v>
      </c>
    </row>
    <row r="5" spans="1:7" s="103" customFormat="1" ht="17.45" customHeight="1">
      <c r="A5" s="274"/>
      <c r="B5" s="275"/>
      <c r="C5" s="167" t="s">
        <v>0</v>
      </c>
      <c r="D5" s="167" t="s">
        <v>1</v>
      </c>
      <c r="E5" s="276" t="s">
        <v>2</v>
      </c>
    </row>
    <row r="6" spans="1:7" s="134" customFormat="1" ht="14.45" customHeight="1">
      <c r="A6" s="277"/>
      <c r="B6" s="730" t="s">
        <v>231</v>
      </c>
      <c r="C6" s="730" t="s">
        <v>230</v>
      </c>
      <c r="D6" s="731" t="s">
        <v>229</v>
      </c>
      <c r="E6" s="732"/>
      <c r="G6"/>
    </row>
    <row r="7" spans="1:7" s="134" customFormat="1" ht="99.6" customHeight="1">
      <c r="A7" s="277"/>
      <c r="B7" s="730"/>
      <c r="C7" s="730"/>
      <c r="D7" s="272" t="s">
        <v>228</v>
      </c>
      <c r="E7" s="273" t="s">
        <v>523</v>
      </c>
      <c r="G7"/>
    </row>
    <row r="8" spans="1:7">
      <c r="A8" s="278">
        <v>1</v>
      </c>
      <c r="B8" s="279" t="s">
        <v>154</v>
      </c>
      <c r="C8" s="640">
        <f>'2. RC'!E7</f>
        <v>4686125.87</v>
      </c>
      <c r="D8" s="640"/>
      <c r="E8" s="638">
        <f>C8-D8</f>
        <v>4686125.87</v>
      </c>
    </row>
    <row r="9" spans="1:7">
      <c r="A9" s="278">
        <v>2</v>
      </c>
      <c r="B9" s="279" t="s">
        <v>155</v>
      </c>
      <c r="C9" s="640">
        <f>'2. RC'!E8</f>
        <v>39137315.289999999</v>
      </c>
      <c r="D9" s="640"/>
      <c r="E9" s="638">
        <f t="shared" ref="E9:E20" si="0">C9-D9</f>
        <v>39137315.289999999</v>
      </c>
    </row>
    <row r="10" spans="1:7">
      <c r="A10" s="278">
        <v>3</v>
      </c>
      <c r="B10" s="279" t="s">
        <v>227</v>
      </c>
      <c r="C10" s="640">
        <f>'2. RC'!E9</f>
        <v>55519481.272181004</v>
      </c>
      <c r="D10" s="640"/>
      <c r="E10" s="638">
        <f t="shared" si="0"/>
        <v>55519481.272181004</v>
      </c>
    </row>
    <row r="11" spans="1:7">
      <c r="A11" s="278">
        <v>4</v>
      </c>
      <c r="B11" s="279" t="s">
        <v>185</v>
      </c>
      <c r="C11" s="640">
        <f>'2. RC'!E10</f>
        <v>0</v>
      </c>
      <c r="D11" s="640"/>
      <c r="E11" s="638">
        <f t="shared" si="0"/>
        <v>0</v>
      </c>
    </row>
    <row r="12" spans="1:7">
      <c r="A12" s="278">
        <v>5</v>
      </c>
      <c r="B12" s="279" t="s">
        <v>157</v>
      </c>
      <c r="C12" s="640">
        <f>'2. RC'!E11</f>
        <v>31703137.519051705</v>
      </c>
      <c r="D12" s="640"/>
      <c r="E12" s="638">
        <f t="shared" si="0"/>
        <v>31703137.519051705</v>
      </c>
    </row>
    <row r="13" spans="1:7">
      <c r="A13" s="278">
        <v>6.1</v>
      </c>
      <c r="B13" s="279" t="s">
        <v>158</v>
      </c>
      <c r="C13" s="641">
        <f>'2. RC'!E12</f>
        <v>227525963.69999999</v>
      </c>
      <c r="D13" s="640"/>
      <c r="E13" s="638">
        <f t="shared" si="0"/>
        <v>227525963.69999999</v>
      </c>
    </row>
    <row r="14" spans="1:7">
      <c r="A14" s="278">
        <v>6.2</v>
      </c>
      <c r="B14" s="280" t="s">
        <v>159</v>
      </c>
      <c r="C14" s="641">
        <f>'2. RC'!E13</f>
        <v>-11233870.4036</v>
      </c>
      <c r="D14" s="640"/>
      <c r="E14" s="638">
        <f t="shared" si="0"/>
        <v>-11233870.4036</v>
      </c>
    </row>
    <row r="15" spans="1:7">
      <c r="A15" s="278">
        <v>6</v>
      </c>
      <c r="B15" s="279" t="s">
        <v>226</v>
      </c>
      <c r="C15" s="640">
        <f>'2. RC'!E14</f>
        <v>216292093.29640001</v>
      </c>
      <c r="D15" s="640"/>
      <c r="E15" s="638">
        <f t="shared" si="0"/>
        <v>216292093.29640001</v>
      </c>
    </row>
    <row r="16" spans="1:7">
      <c r="A16" s="278">
        <v>7</v>
      </c>
      <c r="B16" s="279" t="s">
        <v>161</v>
      </c>
      <c r="C16" s="640">
        <f>'2. RC'!E15</f>
        <v>2218518.020819</v>
      </c>
      <c r="D16" s="640"/>
      <c r="E16" s="638">
        <f t="shared" si="0"/>
        <v>2218518.020819</v>
      </c>
    </row>
    <row r="17" spans="1:7">
      <c r="A17" s="278">
        <v>8</v>
      </c>
      <c r="B17" s="279" t="s">
        <v>162</v>
      </c>
      <c r="C17" s="640">
        <f>'2. RC'!E16</f>
        <v>1102532.9100000001</v>
      </c>
      <c r="D17" s="640"/>
      <c r="E17" s="638">
        <f t="shared" si="0"/>
        <v>1102532.9100000001</v>
      </c>
      <c r="F17" s="6"/>
      <c r="G17" s="6"/>
    </row>
    <row r="18" spans="1:7">
      <c r="A18" s="278">
        <v>9</v>
      </c>
      <c r="B18" s="279" t="s">
        <v>163</v>
      </c>
      <c r="C18" s="640">
        <f>'2. RC'!E17</f>
        <v>0</v>
      </c>
      <c r="D18" s="640"/>
      <c r="E18" s="638">
        <f t="shared" si="0"/>
        <v>0</v>
      </c>
      <c r="G18" s="6"/>
    </row>
    <row r="19" spans="1:7" ht="25.5">
      <c r="A19" s="278">
        <v>10</v>
      </c>
      <c r="B19" s="279" t="s">
        <v>164</v>
      </c>
      <c r="C19" s="640">
        <f>'2. RC'!E18</f>
        <v>1184989.0100000007</v>
      </c>
      <c r="D19" s="640">
        <v>264536.74999999988</v>
      </c>
      <c r="E19" s="638">
        <f t="shared" si="0"/>
        <v>920452.26000000082</v>
      </c>
      <c r="G19" s="6"/>
    </row>
    <row r="20" spans="1:7">
      <c r="A20" s="278">
        <v>11</v>
      </c>
      <c r="B20" s="279" t="s">
        <v>165</v>
      </c>
      <c r="C20" s="640">
        <f>'2. RC'!E19</f>
        <v>3867769.2741649295</v>
      </c>
      <c r="D20" s="640"/>
      <c r="E20" s="638">
        <f t="shared" si="0"/>
        <v>3867769.2741649295</v>
      </c>
    </row>
    <row r="21" spans="1:7" ht="39" thickBot="1">
      <c r="A21" s="281"/>
      <c r="B21" s="282" t="s">
        <v>486</v>
      </c>
      <c r="C21" s="642">
        <f>SUM(C8:C12, C15:C20)</f>
        <v>355711962.46261668</v>
      </c>
      <c r="D21" s="642">
        <f>SUM(D8:D12, D15:D20)</f>
        <v>264536.74999999988</v>
      </c>
      <c r="E21" s="639">
        <f>SUM(E8:E12, E15:E20)</f>
        <v>355447425.71261668</v>
      </c>
    </row>
    <row r="22" spans="1:7">
      <c r="A22"/>
      <c r="B22"/>
      <c r="C22"/>
      <c r="D22"/>
      <c r="E22"/>
    </row>
    <row r="23" spans="1:7">
      <c r="A23"/>
      <c r="B23"/>
      <c r="C23"/>
      <c r="D23"/>
      <c r="E23"/>
    </row>
    <row r="25" spans="1:7" s="2" customFormat="1">
      <c r="B25" s="49"/>
      <c r="F25"/>
      <c r="G25"/>
    </row>
    <row r="26" spans="1:7" s="2" customFormat="1">
      <c r="B26" s="50"/>
      <c r="F26"/>
      <c r="G26"/>
    </row>
    <row r="27" spans="1:7" s="2" customFormat="1">
      <c r="B27" s="49"/>
      <c r="F27"/>
      <c r="G27"/>
    </row>
    <row r="28" spans="1:7" s="2" customFormat="1">
      <c r="B28" s="49"/>
      <c r="F28"/>
      <c r="G28"/>
    </row>
    <row r="29" spans="1:7" s="2" customFormat="1">
      <c r="B29" s="49"/>
      <c r="F29"/>
      <c r="G29"/>
    </row>
    <row r="30" spans="1:7" s="2" customFormat="1">
      <c r="B30" s="49"/>
      <c r="F30"/>
      <c r="G30"/>
    </row>
    <row r="31" spans="1:7" s="2" customFormat="1">
      <c r="B31" s="49"/>
      <c r="F31"/>
      <c r="G31"/>
    </row>
    <row r="32" spans="1:7" s="2" customFormat="1">
      <c r="B32" s="50"/>
      <c r="F32"/>
      <c r="G32"/>
    </row>
    <row r="33" spans="2:7" s="2" customFormat="1">
      <c r="B33" s="50"/>
      <c r="F33"/>
      <c r="G33"/>
    </row>
    <row r="34" spans="2:7" s="2" customFormat="1">
      <c r="B34" s="50"/>
      <c r="F34"/>
      <c r="G34"/>
    </row>
    <row r="35" spans="2:7" s="2" customFormat="1">
      <c r="B35" s="50"/>
      <c r="F35"/>
      <c r="G35"/>
    </row>
    <row r="36" spans="2:7" s="2" customFormat="1">
      <c r="B36" s="50"/>
      <c r="F36"/>
      <c r="G36"/>
    </row>
    <row r="37" spans="2:7" s="2" customFormat="1">
      <c r="B37" s="50"/>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531" t="s">
        <v>188</v>
      </c>
      <c r="B1" s="532" t="s">
        <v>960</v>
      </c>
    </row>
    <row r="2" spans="1:6" s="22" customFormat="1" ht="15.75" customHeight="1">
      <c r="A2" s="531" t="s">
        <v>189</v>
      </c>
      <c r="B2" s="533">
        <f>'1. key ratios'!B2</f>
        <v>44377</v>
      </c>
      <c r="C2"/>
      <c r="D2"/>
      <c r="E2"/>
      <c r="F2"/>
    </row>
    <row r="3" spans="1:6" s="22" customFormat="1" ht="15.75" customHeight="1">
      <c r="C3"/>
      <c r="D3"/>
      <c r="E3"/>
      <c r="F3"/>
    </row>
    <row r="4" spans="1:6" s="22" customFormat="1" ht="26.25" thickBot="1">
      <c r="A4" s="22" t="s">
        <v>412</v>
      </c>
      <c r="B4" s="175" t="s">
        <v>266</v>
      </c>
      <c r="C4" s="169" t="s">
        <v>93</v>
      </c>
      <c r="D4"/>
      <c r="E4"/>
      <c r="F4"/>
    </row>
    <row r="5" spans="1:6" ht="26.25">
      <c r="A5" s="170">
        <v>1</v>
      </c>
      <c r="B5" s="171" t="s">
        <v>434</v>
      </c>
      <c r="C5" s="643">
        <f>'7. LI1'!E21</f>
        <v>355447425.71261668</v>
      </c>
    </row>
    <row r="6" spans="1:6" s="160" customFormat="1">
      <c r="A6" s="102">
        <v>2.1</v>
      </c>
      <c r="B6" s="177" t="s">
        <v>267</v>
      </c>
      <c r="C6" s="644">
        <f>'4. Off-Balance'!E8+'4. Off-Balance'!E10</f>
        <v>116170219.52</v>
      </c>
    </row>
    <row r="7" spans="1:6" s="4" customFormat="1" ht="25.5" outlineLevel="1">
      <c r="A7" s="176">
        <v>2.2000000000000002</v>
      </c>
      <c r="B7" s="172" t="s">
        <v>268</v>
      </c>
      <c r="C7" s="645"/>
    </row>
    <row r="8" spans="1:6" s="4" customFormat="1" ht="26.25">
      <c r="A8" s="176">
        <v>3</v>
      </c>
      <c r="B8" s="173" t="s">
        <v>435</v>
      </c>
      <c r="C8" s="646">
        <f>SUM(C5:C7)</f>
        <v>471617645.23261666</v>
      </c>
    </row>
    <row r="9" spans="1:6" s="160" customFormat="1">
      <c r="A9" s="102">
        <v>4</v>
      </c>
      <c r="B9" s="180" t="s">
        <v>264</v>
      </c>
      <c r="C9" s="644">
        <v>4591003.9415600095</v>
      </c>
    </row>
    <row r="10" spans="1:6" s="4" customFormat="1" ht="25.5" outlineLevel="1">
      <c r="A10" s="176">
        <v>5.0999999999999996</v>
      </c>
      <c r="B10" s="172" t="s">
        <v>274</v>
      </c>
      <c r="C10" s="647">
        <v>-46214600.189999998</v>
      </c>
    </row>
    <row r="11" spans="1:6" s="4" customFormat="1" ht="25.5" outlineLevel="1">
      <c r="A11" s="176">
        <v>5.2</v>
      </c>
      <c r="B11" s="172" t="s">
        <v>275</v>
      </c>
      <c r="C11" s="645"/>
    </row>
    <row r="12" spans="1:6" s="4" customFormat="1">
      <c r="A12" s="176">
        <v>6</v>
      </c>
      <c r="B12" s="178" t="s">
        <v>608</v>
      </c>
      <c r="C12" s="645">
        <v>3402357</v>
      </c>
    </row>
    <row r="13" spans="1:6" s="4" customFormat="1" ht="15.75" thickBot="1">
      <c r="A13" s="179">
        <v>7</v>
      </c>
      <c r="B13" s="174" t="s">
        <v>265</v>
      </c>
      <c r="C13" s="648">
        <f>SUM(C8:C12)</f>
        <v>433396405.9841767</v>
      </c>
    </row>
    <row r="15" spans="1:6" ht="26.25">
      <c r="B15" s="24" t="s">
        <v>609</v>
      </c>
    </row>
    <row r="17" spans="2:9" s="2" customFormat="1">
      <c r="B17" s="51"/>
      <c r="C17"/>
      <c r="D17"/>
      <c r="E17"/>
      <c r="F17"/>
      <c r="G17"/>
      <c r="H17"/>
      <c r="I17"/>
    </row>
    <row r="18" spans="2:9" s="2" customFormat="1">
      <c r="B18" s="48"/>
      <c r="C18"/>
      <c r="D18"/>
      <c r="E18"/>
      <c r="F18"/>
      <c r="G18"/>
      <c r="H18"/>
      <c r="I18"/>
    </row>
    <row r="19" spans="2:9" s="2" customFormat="1">
      <c r="B19" s="48"/>
      <c r="C19"/>
      <c r="D19"/>
      <c r="E19"/>
      <c r="F19"/>
      <c r="G19"/>
      <c r="H19"/>
      <c r="I19"/>
    </row>
    <row r="20" spans="2:9" s="2" customFormat="1">
      <c r="B20" s="50"/>
      <c r="C20"/>
      <c r="D20"/>
      <c r="E20"/>
      <c r="F20"/>
      <c r="G20"/>
      <c r="H20"/>
      <c r="I20"/>
    </row>
    <row r="21" spans="2:9" s="2" customFormat="1">
      <c r="B21" s="49"/>
      <c r="C21"/>
      <c r="D21"/>
      <c r="E21"/>
      <c r="F21"/>
      <c r="G21"/>
      <c r="H21"/>
      <c r="I21"/>
    </row>
    <row r="22" spans="2:9" s="2" customFormat="1">
      <c r="B22" s="50"/>
      <c r="C22"/>
      <c r="D22"/>
      <c r="E22"/>
      <c r="F22"/>
      <c r="G22"/>
      <c r="H22"/>
      <c r="I22"/>
    </row>
    <row r="23" spans="2:9" s="2" customFormat="1">
      <c r="B23" s="49"/>
      <c r="C23"/>
      <c r="D23"/>
      <c r="E23"/>
      <c r="F23"/>
      <c r="G23"/>
      <c r="H23"/>
      <c r="I23"/>
    </row>
    <row r="24" spans="2:9" s="2" customFormat="1">
      <c r="B24" s="49"/>
      <c r="C24"/>
      <c r="D24"/>
      <c r="E24"/>
      <c r="F24"/>
      <c r="G24"/>
      <c r="H24"/>
      <c r="I24"/>
    </row>
    <row r="25" spans="2:9" s="2" customFormat="1">
      <c r="B25" s="49"/>
      <c r="C25"/>
      <c r="D25"/>
      <c r="E25"/>
      <c r="F25"/>
      <c r="G25"/>
      <c r="H25"/>
      <c r="I25"/>
    </row>
    <row r="26" spans="2:9" s="2" customFormat="1">
      <c r="B26" s="49"/>
      <c r="C26"/>
      <c r="D26"/>
      <c r="E26"/>
      <c r="F26"/>
      <c r="G26"/>
      <c r="H26"/>
      <c r="I26"/>
    </row>
    <row r="27" spans="2:9" s="2" customFormat="1">
      <c r="B27" s="49"/>
      <c r="C27"/>
      <c r="D27"/>
      <c r="E27"/>
      <c r="F27"/>
      <c r="G27"/>
      <c r="H27"/>
      <c r="I27"/>
    </row>
    <row r="28" spans="2:9" s="2" customFormat="1">
      <c r="B28" s="50"/>
      <c r="C28"/>
      <c r="D28"/>
      <c r="E28"/>
      <c r="F28"/>
      <c r="G28"/>
      <c r="H28"/>
      <c r="I28"/>
    </row>
    <row r="29" spans="2:9" s="2" customFormat="1">
      <c r="B29" s="50"/>
      <c r="C29"/>
      <c r="D29"/>
      <c r="E29"/>
      <c r="F29"/>
      <c r="G29"/>
      <c r="H29"/>
      <c r="I29"/>
    </row>
    <row r="30" spans="2:9" s="2" customFormat="1">
      <c r="B30" s="50"/>
      <c r="C30"/>
      <c r="D30"/>
      <c r="E30"/>
      <c r="F30"/>
      <c r="G30"/>
      <c r="H30"/>
      <c r="I30"/>
    </row>
    <row r="31" spans="2:9" s="2" customFormat="1">
      <c r="B31" s="50"/>
      <c r="C31"/>
      <c r="D31"/>
      <c r="E31"/>
      <c r="F31"/>
      <c r="G31"/>
      <c r="H31"/>
      <c r="I31"/>
    </row>
    <row r="32" spans="2:9" s="2" customFormat="1">
      <c r="B32" s="50"/>
      <c r="C32"/>
      <c r="D32"/>
      <c r="E32"/>
      <c r="F32"/>
      <c r="G32"/>
      <c r="H32"/>
      <c r="I32"/>
    </row>
    <row r="33" spans="2:9" s="2" customFormat="1">
      <c r="B33" s="50"/>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t3jkVuEhxi933471gkSKX7Jew37qxToJJc1LwebNyuA=</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y3hFWw04VAnKMinC3uxl4hk1ZREI3Zr3gpWF/IiV/3k=</DigestValue>
    </Reference>
  </SignedInfo>
  <SignatureValue>lS0Vq38CvNMgRzUMfY86aRezlM/LCZdAd05dGoUBxrOz3Ws9TEkTElZ3gnOWuiYWC4BhADArP8lB
DQX1Wr2pX5E0bHaQpyDA/wyI5m5fI1NhmDv8AY4uQBNdXzMYlg886Jz3ZyPf0xJGG6WaPhk3GC1Q
0w8NwLT8yVAzPgjWvxMwPDx6d/1nYBawsA88bd+0DuGaNycmr10dmO8bIOK+NbUH4ZK6su5oZt5w
j1Tn4mclPIhVdzBdK4QlblmC+pr2AM7aazVu45S5T5sefCe3W0SBHybRTT7Q6KBIZVwnna7a8nNC
euPvG6UFrRDVAFCidvgkn0Ksw/d/NA/FqfIXQg==</SignatureValue>
  <KeyInfo>
    <X509Data>
      <X509Certificate>MIIGODCCBSCgAwIBAgIKOCPUKwACAAFq+zANBgkqhkiG9w0BAQsFADBKMRIwEAYKCZImiZPyLGQBGRYCZ2UxEzARBgoJkiaJk/IsZAEZFgNuYmcxHzAdBgNVBAMTFk5CRyBDbGFzcyAyIElOVCBTdWIgQ0EwHhcNMjAwMjE0MTAzNDE1WhcNMjExMjIyMDk0NjU2WjA2MRswGQYDVQQKExJKU0MgSXNiYW5rIEdlb3JnaWExFzAVBgNVBAMTDkJJUyAtIE96YW4gR3VyMIIBIjANBgkqhkiG9w0BAQEFAAOCAQ8AMIIBCgKCAQEA5AaKV/Q4021K/K7TS/Rxv91ukAAKvgKT9KBzgfRok5LbPbM/oa5Kgk7bnpCCByJ3EmT8YSHQoCs4A9+iHfxywV7+kuyL5DPmPMH7u1hNZRuSq8YUPHytgdotqgvxVeTmvlaZkU7grvb4e5ezbWwQj9T9dxVjqphFtAx0y5ipQsBTBbnUYLN6cTBZWOEhO6uZCOy8a7q7Q/XWVho4e3MbORqLDWyZU9Mw04ha+015krYzNo3QU0RD9u2DVHQQdc6yhjS0N+ln5RQTSCnnOiuQNrsN0Ww15TNsstQmROmknAcVXJTUIY52QyuWtTzmmaBfE2spuAdSeA1KjmzTVQivMwIDAQABo4IDMjCCAy4wPAYJKwYBBAGCNxUHBC8wLQYlKwYBBAGCNxUI5rJgg431RIaBmQmDuKFKg76EcQSDxJEzhIOIXQIBZAIBIzAdBgNVHSUEFjAUBggrBgEFBQcDAgYIKwYBBQUHAwQwCwYDVR0PBAQDAgeAMCcGCSsGAQQBgjcVCgQaMBgwCgYIKwYBBQUHAwIwCgYIKwYBBQUHAwQwHQYDVR0OBBYEFAAhotqKxsfCcotgI5UDu2FDuGFB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ikuY3J0MA0GCSqGSIb3DQEBCwUAA4IBAQAv0gxZI1NAfSOrNjeffn9Xk2dvV07qVJ79j6sHOw/5qO0asgLt1ArVjKHqSrYLXnU9G09WjXIY6FWltb0uh0VzQN/qJGsDTMsIGYowaVCz5C+cIRPFTyat2/P7OrBzvQOrpYOCXdoq4j2EN9zzoAZ29ZI4P1JUP/KokkFFxNeHFJcCN838s4SbsDL3fzvWdD6kDgEJVnxkTs/kfSmGvPahXzlQqt/cYDAS48dV44sqruABqeS+9xpcbCk0JbRWSpoaeNcD+tnyZVAoRKbCBJ2oWnvfi/nR42f7tCLMqy2hS1DpLt4/0sJGer3Q+fRc5o2Oym/rKKiTfzWk4XXMGlN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dp70o7wjkDsdrebL5GZc3GK5VyB4dBC8t4rjUxo7DzA=</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EB9YnySyuGa6Lhp13pXUU1M1ihYYTAL3hcDCk/eSuO4=</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UV41FFKbUJYvvnIUAyLpZkjRdVA99bxLucqGnzS5/rc=</DigestValue>
      </Reference>
      <Reference URI="/xl/printerSettings/printerSettings17.bin?ContentType=application/vnd.openxmlformats-officedocument.spreadsheetml.printerSettings">
        <DigestMethod Algorithm="http://www.w3.org/2001/04/xmlenc#sha256"/>
        <DigestValue>BfOqFYncvTrOA0w5jBPLJpo6svE1gFZliFydlsU/uz4=</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pAonDoHBCqsbLwd6iIKTLOcAmXOZkjr9R3pqV079ymU=</DigestValue>
      </Reference>
      <Reference URI="/xl/styles.xml?ContentType=application/vnd.openxmlformats-officedocument.spreadsheetml.styles+xml">
        <DigestMethod Algorithm="http://www.w3.org/2001/04/xmlenc#sha256"/>
        <DigestValue>/KjMKAf5PyVMoLgbUAurBtvILKaPkY296eU/YzWGgJs=</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tcXgBiGSckZ+oLyUyo3dKYQU/Xe4vKlqfNz/TCGH47E=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17vimJTS7YROVkI85sScf5NDcM/aDgrA56grOFCmizI=</DigestValue>
      </Reference>
      <Reference URI="/xl/worksheets/sheet10.xml?ContentType=application/vnd.openxmlformats-officedocument.spreadsheetml.worksheet+xml">
        <DigestMethod Algorithm="http://www.w3.org/2001/04/xmlenc#sha256"/>
        <DigestValue>mzXt2a1WGIwUxuh0uacI5kx15wMUtBjse+M670XSfxU=</DigestValue>
      </Reference>
      <Reference URI="/xl/worksheets/sheet11.xml?ContentType=application/vnd.openxmlformats-officedocument.spreadsheetml.worksheet+xml">
        <DigestMethod Algorithm="http://www.w3.org/2001/04/xmlenc#sha256"/>
        <DigestValue>t7YowBGMVWcqbPK3quWEUnyA+fUxKWzbv2a3OEzT1yU=</DigestValue>
      </Reference>
      <Reference URI="/xl/worksheets/sheet12.xml?ContentType=application/vnd.openxmlformats-officedocument.spreadsheetml.worksheet+xml">
        <DigestMethod Algorithm="http://www.w3.org/2001/04/xmlenc#sha256"/>
        <DigestValue>eDUyn5RNE5XcdUDJNZT8xz2iSCXbTeZahHRqPIbD8u0=</DigestValue>
      </Reference>
      <Reference URI="/xl/worksheets/sheet13.xml?ContentType=application/vnd.openxmlformats-officedocument.spreadsheetml.worksheet+xml">
        <DigestMethod Algorithm="http://www.w3.org/2001/04/xmlenc#sha256"/>
        <DigestValue>RJRJuxKBsM9dUv3oH+iwhP8sRECE798mpPEEdU4laO0=</DigestValue>
      </Reference>
      <Reference URI="/xl/worksheets/sheet14.xml?ContentType=application/vnd.openxmlformats-officedocument.spreadsheetml.worksheet+xml">
        <DigestMethod Algorithm="http://www.w3.org/2001/04/xmlenc#sha256"/>
        <DigestValue>fJYGFXFC1nJKxRycNpNtHuUwUBVkIbBlW7bYwwj3qBk=</DigestValue>
      </Reference>
      <Reference URI="/xl/worksheets/sheet15.xml?ContentType=application/vnd.openxmlformats-officedocument.spreadsheetml.worksheet+xml">
        <DigestMethod Algorithm="http://www.w3.org/2001/04/xmlenc#sha256"/>
        <DigestValue>jkH6UO4ZB8cneC8WIFoH9Y67bC3GoYOhPXfEWBTlFJU=</DigestValue>
      </Reference>
      <Reference URI="/xl/worksheets/sheet16.xml?ContentType=application/vnd.openxmlformats-officedocument.spreadsheetml.worksheet+xml">
        <DigestMethod Algorithm="http://www.w3.org/2001/04/xmlenc#sha256"/>
        <DigestValue>9AqqL/EhQmU4pl/6b2RiOdszhJrRwM13IQhli9EA0uY=</DigestValue>
      </Reference>
      <Reference URI="/xl/worksheets/sheet17.xml?ContentType=application/vnd.openxmlformats-officedocument.spreadsheetml.worksheet+xml">
        <DigestMethod Algorithm="http://www.w3.org/2001/04/xmlenc#sha256"/>
        <DigestValue>iQwAcrilWSdFroPETtyTKa9HLV6PcEnW6iEDnxH2mfE=</DigestValue>
      </Reference>
      <Reference URI="/xl/worksheets/sheet18.xml?ContentType=application/vnd.openxmlformats-officedocument.spreadsheetml.worksheet+xml">
        <DigestMethod Algorithm="http://www.w3.org/2001/04/xmlenc#sha256"/>
        <DigestValue>VyNtDLlke3xxln3uAPP/qEZnO1iMFmmWEataFSTdQ6c=</DigestValue>
      </Reference>
      <Reference URI="/xl/worksheets/sheet19.xml?ContentType=application/vnd.openxmlformats-officedocument.spreadsheetml.worksheet+xml">
        <DigestMethod Algorithm="http://www.w3.org/2001/04/xmlenc#sha256"/>
        <DigestValue>9od3buQ3Qjf/XVyPJ2lA275jW47vU2o0z8kchShOy+g=</DigestValue>
      </Reference>
      <Reference URI="/xl/worksheets/sheet2.xml?ContentType=application/vnd.openxmlformats-officedocument.spreadsheetml.worksheet+xml">
        <DigestMethod Algorithm="http://www.w3.org/2001/04/xmlenc#sha256"/>
        <DigestValue>A6zgkni+E/4lRsntKorzToNM9Vxl24cMBb0YkcF3NPg=</DigestValue>
      </Reference>
      <Reference URI="/xl/worksheets/sheet20.xml?ContentType=application/vnd.openxmlformats-officedocument.spreadsheetml.worksheet+xml">
        <DigestMethod Algorithm="http://www.w3.org/2001/04/xmlenc#sha256"/>
        <DigestValue>dKWsXsW9ZdeIsLcVPmWMxYtuH5p6fRVs+tH0EEyo2EU=</DigestValue>
      </Reference>
      <Reference URI="/xl/worksheets/sheet21.xml?ContentType=application/vnd.openxmlformats-officedocument.spreadsheetml.worksheet+xml">
        <DigestMethod Algorithm="http://www.w3.org/2001/04/xmlenc#sha256"/>
        <DigestValue>DQrmqquWkovgfPik20PwbIqKRY9kLnoFytLVE74yYzw=</DigestValue>
      </Reference>
      <Reference URI="/xl/worksheets/sheet22.xml?ContentType=application/vnd.openxmlformats-officedocument.spreadsheetml.worksheet+xml">
        <DigestMethod Algorithm="http://www.w3.org/2001/04/xmlenc#sha256"/>
        <DigestValue>zwiZSoQiYRe1Jdc8nboHcBKSxtc3jEkzrCbdcGoSh9I=</DigestValue>
      </Reference>
      <Reference URI="/xl/worksheets/sheet23.xml?ContentType=application/vnd.openxmlformats-officedocument.spreadsheetml.worksheet+xml">
        <DigestMethod Algorithm="http://www.w3.org/2001/04/xmlenc#sha256"/>
        <DigestValue>eTGVShGI5ft0OSQHvKvri0lkOviZezh0d+cMPJlHn48=</DigestValue>
      </Reference>
      <Reference URI="/xl/worksheets/sheet24.xml?ContentType=application/vnd.openxmlformats-officedocument.spreadsheetml.worksheet+xml">
        <DigestMethod Algorithm="http://www.w3.org/2001/04/xmlenc#sha256"/>
        <DigestValue>erSnVl5+hLwNFO2GTaIQHd7/CkHW7d1h/8FstGnhvhE=</DigestValue>
      </Reference>
      <Reference URI="/xl/worksheets/sheet25.xml?ContentType=application/vnd.openxmlformats-officedocument.spreadsheetml.worksheet+xml">
        <DigestMethod Algorithm="http://www.w3.org/2001/04/xmlenc#sha256"/>
        <DigestValue>2V1tx37TFTFLkij0K+r2pZ0FOHg++iW6kTAhYTdRUcY=</DigestValue>
      </Reference>
      <Reference URI="/xl/worksheets/sheet26.xml?ContentType=application/vnd.openxmlformats-officedocument.spreadsheetml.worksheet+xml">
        <DigestMethod Algorithm="http://www.w3.org/2001/04/xmlenc#sha256"/>
        <DigestValue>WtpwBUq7DPIGUDDRByLehERS/3xSitFLv4xsXf+VjAI=</DigestValue>
      </Reference>
      <Reference URI="/xl/worksheets/sheet27.xml?ContentType=application/vnd.openxmlformats-officedocument.spreadsheetml.worksheet+xml">
        <DigestMethod Algorithm="http://www.w3.org/2001/04/xmlenc#sha256"/>
        <DigestValue>9hXxM86/gN5xCPgSRhMvdFw4b8TqP5WD0WNrHzT9H2c=</DigestValue>
      </Reference>
      <Reference URI="/xl/worksheets/sheet28.xml?ContentType=application/vnd.openxmlformats-officedocument.spreadsheetml.worksheet+xml">
        <DigestMethod Algorithm="http://www.w3.org/2001/04/xmlenc#sha256"/>
        <DigestValue>hkQ6jt9YjV3sZba6+OZc5T5ipohb84/RzR6GMW8AZgY=</DigestValue>
      </Reference>
      <Reference URI="/xl/worksheets/sheet29.xml?ContentType=application/vnd.openxmlformats-officedocument.spreadsheetml.worksheet+xml">
        <DigestMethod Algorithm="http://www.w3.org/2001/04/xmlenc#sha256"/>
        <DigestValue>LRWbFcg4dLJIS+CEcfzgrxPzrfyG/5zmvG7D4ZfmAQM=</DigestValue>
      </Reference>
      <Reference URI="/xl/worksheets/sheet3.xml?ContentType=application/vnd.openxmlformats-officedocument.spreadsheetml.worksheet+xml">
        <DigestMethod Algorithm="http://www.w3.org/2001/04/xmlenc#sha256"/>
        <DigestValue>fV0hgrnVpfcskiS/UKRp+tS2th6AQMVjPTdqwHjzdR0=</DigestValue>
      </Reference>
      <Reference URI="/xl/worksheets/sheet4.xml?ContentType=application/vnd.openxmlformats-officedocument.spreadsheetml.worksheet+xml">
        <DigestMethod Algorithm="http://www.w3.org/2001/04/xmlenc#sha256"/>
        <DigestValue>jikIjMFGKUY7AxYZeGk2tjNInvIMOiR6BW7gIEUxbVo=</DigestValue>
      </Reference>
      <Reference URI="/xl/worksheets/sheet5.xml?ContentType=application/vnd.openxmlformats-officedocument.spreadsheetml.worksheet+xml">
        <DigestMethod Algorithm="http://www.w3.org/2001/04/xmlenc#sha256"/>
        <DigestValue>Un8Gnve9iMMBg7KN7dKQQHOjC8K5vvgxP4lmwnJe9IE=</DigestValue>
      </Reference>
      <Reference URI="/xl/worksheets/sheet6.xml?ContentType=application/vnd.openxmlformats-officedocument.spreadsheetml.worksheet+xml">
        <DigestMethod Algorithm="http://www.w3.org/2001/04/xmlenc#sha256"/>
        <DigestValue>viwnsjw+kXYnak6Fn7Aa5ZAFclV3Br025XRNsAKo95c=</DigestValue>
      </Reference>
      <Reference URI="/xl/worksheets/sheet7.xml?ContentType=application/vnd.openxmlformats-officedocument.spreadsheetml.worksheet+xml">
        <DigestMethod Algorithm="http://www.w3.org/2001/04/xmlenc#sha256"/>
        <DigestValue>fqK6boylcr8KsrOMJh4aEuMsPGbcIHPIxkvjHy1Xim8=</DigestValue>
      </Reference>
      <Reference URI="/xl/worksheets/sheet8.xml?ContentType=application/vnd.openxmlformats-officedocument.spreadsheetml.worksheet+xml">
        <DigestMethod Algorithm="http://www.w3.org/2001/04/xmlenc#sha256"/>
        <DigestValue>JkapAUsnXVR3757nY4bBLI1BkQzAMAD/LO6xQIQgUcQ=</DigestValue>
      </Reference>
      <Reference URI="/xl/worksheets/sheet9.xml?ContentType=application/vnd.openxmlformats-officedocument.spreadsheetml.worksheet+xml">
        <DigestMethod Algorithm="http://www.w3.org/2001/04/xmlenc#sha256"/>
        <DigestValue>Icp+PdK5NdCXcHb56JHPA5m/W+kKjyt8mda4d0GHT0g=</DigestValue>
      </Reference>
    </Manifest>
    <SignatureProperties>
      <SignatureProperty Id="idSignatureTime" Target="#idPackageSignature">
        <mdssi:SignatureTime xmlns:mdssi="http://schemas.openxmlformats.org/package/2006/digital-signature">
          <mdssi:Format>YYYY-MM-DDThh:mm:ssTZD</mdssi:Format>
          <mdssi:Value>2021-07-30T14:14:42Z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2021-07-30T14:14:42Z</xd:SigningTime>
          <xd:SigningCertificate>
            <xd:Cert>
              <xd:CertDigest>
                <DigestMethod Algorithm="http://www.w3.org/2001/04/xmlenc#sha256"/>
                <DigestValue>siOL6Vfls/yhyQKp7XPvybUcaMULq6zrSELPm5cUglk=</DigestValue>
              </xd:CertDigest>
              <xd:IssuerSerial>
                <X509IssuerName>CN=NBG Class 2 INT Sub CA, DC=nbg, DC=ge</X509IssuerName>
                <X509SerialNumber>265113447396648595581691</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B+rY7sPC0q1oGXRRzhNxXD/6BrvhB3u9ggrDJKoSE14=</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XykyTnhCcmvBJYJg94hI8WpaQ1deA0mPRcHBa+/hmvw=</DigestValue>
    </Reference>
  </SignedInfo>
  <SignatureValue>ceSlYeIaAFIElmbuffskkfjVbQsGMbzLZdXohLPR2Tbn065pKcuQORC/DNkwZUA6g1gqkXPBcAE/
zn97PPwOXmTdvOpGbSY/ps0Ba1qZYJ954qFCCRYcXMKkHquLqEp/LPIyZLaz1LT+sYrSVjpLqvpp
wbMFJ2ZrekGoAmN5gE9SJ/RrzDjh0Lf6Bt2Y2+Lj78cxvpJnkyKodbNikw87z8gEnbl+yupHk9rk
odOlaipiZby1yvOhifFpFn7JsUFZUtD2COx2IUVeoCtRhL7Akx9FwtonTYcpTNkf+QqVt9MBUgVC
mCOm474Mq5YjtICTgQzA7DQ32ZAfctrW8VROAw==</SignatureValue>
  <KeyInfo>
    <X509Data>
      <X509Certificate>MIIGPjCCBSagAwIBAgIKN+cNcgACAAFq9jANBgkqhkiG9w0BAQsFADBKMRIwEAYKCZImiZPyLGQBGRYCZ2UxEzARBgoJkiaJk/IsZAEZFgNuYmcxHzAdBgNVBAMTFk5CRyBDbGFzcyAyIElOVCBTdWIgQ0EwHhcNMjAwMjE0MDkyNzUyWhcNMjExMjIyMDk0NjU2WjA8MRswGQYDVQQKExJKU0MgSXNiYW5rIEdlb3JnaWExHTAbBgNVBAMTFEJJUyAtIFVjaGEgU2FyYWxpZHplMIIBIjANBgkqhkiG9w0BAQEFAAOCAQ8AMIIBCgKCAQEA0D4bqdqp/9ipmgmoZKySYvP1OzaVfG2jMLfjnryApDA0+E4gZV5v8sr4u4hthhIghbW0pqyHfI3MUJuzLTIAD1I9rrf5EQ196OfiQJ/WODkcx3kPQu1RIIyo35etA436eayL1XZu8wa2BV9yVrXmUqS94s1L4ahl5RxiXjGGAl2iUrL6d15Q46+2tCgAk/X4mJtGQfU9V8k/t/jJKdoLGLVZrE6awz55dKTkhl4cb7VLByPcccT3eIPDLzbtL/TrLIs7L9hnHn4phQaqZElFU4vyCfFNr/w/2IQ1PSI7i5tKnFCJrk85X08TQRbaVoYDIW0SXPRVgOuGvcoFxHx3OQIDAQABo4IDMjCCAy4wPAYJKwYBBAGCNxUHBC8wLQYlKwYBBAGCNxUI5rJgg431RIaBmQmDuKFKg76EcQSDxJEzhIOIXQIBZAIBIzAdBgNVHSUEFjAUBggrBgEFBQcDAgYIKwYBBQUHAwQwCwYDVR0PBAQDAgeAMCcGCSsGAQQBgjcVCgQaMBgwCgYIKwYBBQUHAwIwCgYIKwYBBQUHAwQwHQYDVR0OBBYEFNyLub/t3TZbR0K2Y1XZbyM0oR26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ikuY3J0MA0GCSqGSIb3DQEBCwUAA4IBAQBzJkDHFPFcCz1veNJp0X5jjGf3KPGpEIwlmWjH6OidxOLKl9SlLHzlKGNkc/FgrNaPQedQjwlG2r8ACQFp6VsEKyagRnu5achg7OJk8CTTWYTbW4yfQxFCE7cXMlrhs0KnE8EMi8f3mnDRzzqv33d+aBT+HZTkr7H58FBWih9q3qgIHT1EpikWSeGuPd9/Fi7c2aofrydiwe3+uRqrchrUPvrH5t5/jwaKqz0DuMJ6h8aLZhRyLlJHyjUbLpEEoiruSqxW70YM9+wDWUmf909JrvVbAAJQqDrJFLyn/aD0RVRhOjecNWjSptTzBw+OiSq35E+dA2trghaE8ZkyOtT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dp70o7wjkDsdrebL5GZc3GK5VyB4dBC8t4rjUxo7DzA=</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EB9YnySyuGa6Lhp13pXUU1M1ihYYTAL3hcDCk/eSuO4=</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UV41FFKbUJYvvnIUAyLpZkjRdVA99bxLucqGnzS5/rc=</DigestValue>
      </Reference>
      <Reference URI="/xl/printerSettings/printerSettings17.bin?ContentType=application/vnd.openxmlformats-officedocument.spreadsheetml.printerSettings">
        <DigestMethod Algorithm="http://www.w3.org/2001/04/xmlenc#sha256"/>
        <DigestValue>BfOqFYncvTrOA0w5jBPLJpo6svE1gFZliFydlsU/uz4=</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pAonDoHBCqsbLwd6iIKTLOcAmXOZkjr9R3pqV079ymU=</DigestValue>
      </Reference>
      <Reference URI="/xl/styles.xml?ContentType=application/vnd.openxmlformats-officedocument.spreadsheetml.styles+xml">
        <DigestMethod Algorithm="http://www.w3.org/2001/04/xmlenc#sha256"/>
        <DigestValue>/KjMKAf5PyVMoLgbUAurBtvILKaPkY296eU/YzWGgJs=</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tcXgBiGSckZ+oLyUyo3dKYQU/Xe4vKlqfNz/TCGH47E=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17vimJTS7YROVkI85sScf5NDcM/aDgrA56grOFCmizI=</DigestValue>
      </Reference>
      <Reference URI="/xl/worksheets/sheet10.xml?ContentType=application/vnd.openxmlformats-officedocument.spreadsheetml.worksheet+xml">
        <DigestMethod Algorithm="http://www.w3.org/2001/04/xmlenc#sha256"/>
        <DigestValue>mzXt2a1WGIwUxuh0uacI5kx15wMUtBjse+M670XSfxU=</DigestValue>
      </Reference>
      <Reference URI="/xl/worksheets/sheet11.xml?ContentType=application/vnd.openxmlformats-officedocument.spreadsheetml.worksheet+xml">
        <DigestMethod Algorithm="http://www.w3.org/2001/04/xmlenc#sha256"/>
        <DigestValue>t7YowBGMVWcqbPK3quWEUnyA+fUxKWzbv2a3OEzT1yU=</DigestValue>
      </Reference>
      <Reference URI="/xl/worksheets/sheet12.xml?ContentType=application/vnd.openxmlformats-officedocument.spreadsheetml.worksheet+xml">
        <DigestMethod Algorithm="http://www.w3.org/2001/04/xmlenc#sha256"/>
        <DigestValue>eDUyn5RNE5XcdUDJNZT8xz2iSCXbTeZahHRqPIbD8u0=</DigestValue>
      </Reference>
      <Reference URI="/xl/worksheets/sheet13.xml?ContentType=application/vnd.openxmlformats-officedocument.spreadsheetml.worksheet+xml">
        <DigestMethod Algorithm="http://www.w3.org/2001/04/xmlenc#sha256"/>
        <DigestValue>RJRJuxKBsM9dUv3oH+iwhP8sRECE798mpPEEdU4laO0=</DigestValue>
      </Reference>
      <Reference URI="/xl/worksheets/sheet14.xml?ContentType=application/vnd.openxmlformats-officedocument.spreadsheetml.worksheet+xml">
        <DigestMethod Algorithm="http://www.w3.org/2001/04/xmlenc#sha256"/>
        <DigestValue>fJYGFXFC1nJKxRycNpNtHuUwUBVkIbBlW7bYwwj3qBk=</DigestValue>
      </Reference>
      <Reference URI="/xl/worksheets/sheet15.xml?ContentType=application/vnd.openxmlformats-officedocument.spreadsheetml.worksheet+xml">
        <DigestMethod Algorithm="http://www.w3.org/2001/04/xmlenc#sha256"/>
        <DigestValue>jkH6UO4ZB8cneC8WIFoH9Y67bC3GoYOhPXfEWBTlFJU=</DigestValue>
      </Reference>
      <Reference URI="/xl/worksheets/sheet16.xml?ContentType=application/vnd.openxmlformats-officedocument.spreadsheetml.worksheet+xml">
        <DigestMethod Algorithm="http://www.w3.org/2001/04/xmlenc#sha256"/>
        <DigestValue>9AqqL/EhQmU4pl/6b2RiOdszhJrRwM13IQhli9EA0uY=</DigestValue>
      </Reference>
      <Reference URI="/xl/worksheets/sheet17.xml?ContentType=application/vnd.openxmlformats-officedocument.spreadsheetml.worksheet+xml">
        <DigestMethod Algorithm="http://www.w3.org/2001/04/xmlenc#sha256"/>
        <DigestValue>iQwAcrilWSdFroPETtyTKa9HLV6PcEnW6iEDnxH2mfE=</DigestValue>
      </Reference>
      <Reference URI="/xl/worksheets/sheet18.xml?ContentType=application/vnd.openxmlformats-officedocument.spreadsheetml.worksheet+xml">
        <DigestMethod Algorithm="http://www.w3.org/2001/04/xmlenc#sha256"/>
        <DigestValue>VyNtDLlke3xxln3uAPP/qEZnO1iMFmmWEataFSTdQ6c=</DigestValue>
      </Reference>
      <Reference URI="/xl/worksheets/sheet19.xml?ContentType=application/vnd.openxmlformats-officedocument.spreadsheetml.worksheet+xml">
        <DigestMethod Algorithm="http://www.w3.org/2001/04/xmlenc#sha256"/>
        <DigestValue>9od3buQ3Qjf/XVyPJ2lA275jW47vU2o0z8kchShOy+g=</DigestValue>
      </Reference>
      <Reference URI="/xl/worksheets/sheet2.xml?ContentType=application/vnd.openxmlformats-officedocument.spreadsheetml.worksheet+xml">
        <DigestMethod Algorithm="http://www.w3.org/2001/04/xmlenc#sha256"/>
        <DigestValue>A6zgkni+E/4lRsntKorzToNM9Vxl24cMBb0YkcF3NPg=</DigestValue>
      </Reference>
      <Reference URI="/xl/worksheets/sheet20.xml?ContentType=application/vnd.openxmlformats-officedocument.spreadsheetml.worksheet+xml">
        <DigestMethod Algorithm="http://www.w3.org/2001/04/xmlenc#sha256"/>
        <DigestValue>dKWsXsW9ZdeIsLcVPmWMxYtuH5p6fRVs+tH0EEyo2EU=</DigestValue>
      </Reference>
      <Reference URI="/xl/worksheets/sheet21.xml?ContentType=application/vnd.openxmlformats-officedocument.spreadsheetml.worksheet+xml">
        <DigestMethod Algorithm="http://www.w3.org/2001/04/xmlenc#sha256"/>
        <DigestValue>DQrmqquWkovgfPik20PwbIqKRY9kLnoFytLVE74yYzw=</DigestValue>
      </Reference>
      <Reference URI="/xl/worksheets/sheet22.xml?ContentType=application/vnd.openxmlformats-officedocument.spreadsheetml.worksheet+xml">
        <DigestMethod Algorithm="http://www.w3.org/2001/04/xmlenc#sha256"/>
        <DigestValue>zwiZSoQiYRe1Jdc8nboHcBKSxtc3jEkzrCbdcGoSh9I=</DigestValue>
      </Reference>
      <Reference URI="/xl/worksheets/sheet23.xml?ContentType=application/vnd.openxmlformats-officedocument.spreadsheetml.worksheet+xml">
        <DigestMethod Algorithm="http://www.w3.org/2001/04/xmlenc#sha256"/>
        <DigestValue>eTGVShGI5ft0OSQHvKvri0lkOviZezh0d+cMPJlHn48=</DigestValue>
      </Reference>
      <Reference URI="/xl/worksheets/sheet24.xml?ContentType=application/vnd.openxmlformats-officedocument.spreadsheetml.worksheet+xml">
        <DigestMethod Algorithm="http://www.w3.org/2001/04/xmlenc#sha256"/>
        <DigestValue>erSnVl5+hLwNFO2GTaIQHd7/CkHW7d1h/8FstGnhvhE=</DigestValue>
      </Reference>
      <Reference URI="/xl/worksheets/sheet25.xml?ContentType=application/vnd.openxmlformats-officedocument.spreadsheetml.worksheet+xml">
        <DigestMethod Algorithm="http://www.w3.org/2001/04/xmlenc#sha256"/>
        <DigestValue>2V1tx37TFTFLkij0K+r2pZ0FOHg++iW6kTAhYTdRUcY=</DigestValue>
      </Reference>
      <Reference URI="/xl/worksheets/sheet26.xml?ContentType=application/vnd.openxmlformats-officedocument.spreadsheetml.worksheet+xml">
        <DigestMethod Algorithm="http://www.w3.org/2001/04/xmlenc#sha256"/>
        <DigestValue>WtpwBUq7DPIGUDDRByLehERS/3xSitFLv4xsXf+VjAI=</DigestValue>
      </Reference>
      <Reference URI="/xl/worksheets/sheet27.xml?ContentType=application/vnd.openxmlformats-officedocument.spreadsheetml.worksheet+xml">
        <DigestMethod Algorithm="http://www.w3.org/2001/04/xmlenc#sha256"/>
        <DigestValue>9hXxM86/gN5xCPgSRhMvdFw4b8TqP5WD0WNrHzT9H2c=</DigestValue>
      </Reference>
      <Reference URI="/xl/worksheets/sheet28.xml?ContentType=application/vnd.openxmlformats-officedocument.spreadsheetml.worksheet+xml">
        <DigestMethod Algorithm="http://www.w3.org/2001/04/xmlenc#sha256"/>
        <DigestValue>hkQ6jt9YjV3sZba6+OZc5T5ipohb84/RzR6GMW8AZgY=</DigestValue>
      </Reference>
      <Reference URI="/xl/worksheets/sheet29.xml?ContentType=application/vnd.openxmlformats-officedocument.spreadsheetml.worksheet+xml">
        <DigestMethod Algorithm="http://www.w3.org/2001/04/xmlenc#sha256"/>
        <DigestValue>LRWbFcg4dLJIS+CEcfzgrxPzrfyG/5zmvG7D4ZfmAQM=</DigestValue>
      </Reference>
      <Reference URI="/xl/worksheets/sheet3.xml?ContentType=application/vnd.openxmlformats-officedocument.spreadsheetml.worksheet+xml">
        <DigestMethod Algorithm="http://www.w3.org/2001/04/xmlenc#sha256"/>
        <DigestValue>fV0hgrnVpfcskiS/UKRp+tS2th6AQMVjPTdqwHjzdR0=</DigestValue>
      </Reference>
      <Reference URI="/xl/worksheets/sheet4.xml?ContentType=application/vnd.openxmlformats-officedocument.spreadsheetml.worksheet+xml">
        <DigestMethod Algorithm="http://www.w3.org/2001/04/xmlenc#sha256"/>
        <DigestValue>jikIjMFGKUY7AxYZeGk2tjNInvIMOiR6BW7gIEUxbVo=</DigestValue>
      </Reference>
      <Reference URI="/xl/worksheets/sheet5.xml?ContentType=application/vnd.openxmlformats-officedocument.spreadsheetml.worksheet+xml">
        <DigestMethod Algorithm="http://www.w3.org/2001/04/xmlenc#sha256"/>
        <DigestValue>Un8Gnve9iMMBg7KN7dKQQHOjC8K5vvgxP4lmwnJe9IE=</DigestValue>
      </Reference>
      <Reference URI="/xl/worksheets/sheet6.xml?ContentType=application/vnd.openxmlformats-officedocument.spreadsheetml.worksheet+xml">
        <DigestMethod Algorithm="http://www.w3.org/2001/04/xmlenc#sha256"/>
        <DigestValue>viwnsjw+kXYnak6Fn7Aa5ZAFclV3Br025XRNsAKo95c=</DigestValue>
      </Reference>
      <Reference URI="/xl/worksheets/sheet7.xml?ContentType=application/vnd.openxmlformats-officedocument.spreadsheetml.worksheet+xml">
        <DigestMethod Algorithm="http://www.w3.org/2001/04/xmlenc#sha256"/>
        <DigestValue>fqK6boylcr8KsrOMJh4aEuMsPGbcIHPIxkvjHy1Xim8=</DigestValue>
      </Reference>
      <Reference URI="/xl/worksheets/sheet8.xml?ContentType=application/vnd.openxmlformats-officedocument.spreadsheetml.worksheet+xml">
        <DigestMethod Algorithm="http://www.w3.org/2001/04/xmlenc#sha256"/>
        <DigestValue>JkapAUsnXVR3757nY4bBLI1BkQzAMAD/LO6xQIQgUcQ=</DigestValue>
      </Reference>
      <Reference URI="/xl/worksheets/sheet9.xml?ContentType=application/vnd.openxmlformats-officedocument.spreadsheetml.worksheet+xml">
        <DigestMethod Algorithm="http://www.w3.org/2001/04/xmlenc#sha256"/>
        <DigestValue>Icp+PdK5NdCXcHb56JHPA5m/W+kKjyt8mda4d0GHT0g=</DigestValue>
      </Reference>
    </Manifest>
    <SignatureProperties>
      <SignatureProperty Id="idSignatureTime" Target="#idPackageSignature">
        <mdssi:SignatureTime xmlns:mdssi="http://schemas.openxmlformats.org/package/2006/digital-signature">
          <mdssi:Format>YYYY-MM-DDThh:mm:ssTZD</mdssi:Format>
          <mdssi:Value>2021-07-30T14:16:11Z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2021-07-30T14:16:11Z</xd:SigningTime>
          <xd:SigningCertificate>
            <xd:Cert>
              <xd:CertDigest>
                <DigestMethod Algorithm="http://www.w3.org/2001/04/xmlenc#sha256"/>
                <DigestValue>A7e5m2h1KbNiZGOGwzomIFCkYqfEghvfmU1iqaQ7Lw8=</DigestValue>
              </xd:CertDigest>
              <xd:IssuerSerial>
                <X509IssuerName>CN=NBG Class 2 INT Sub CA, DC=nbg, DC=ge</X509IssuerName>
                <X509SerialNumber>263992323275735821282038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2021-07-30T14:03:10Z</dcterms:modified>
</cp:coreProperties>
</file>