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29.xml" ContentType="application/vnd.openxmlformats-officedocument.spreadsheetml.worksheet+xml"/>
  <Override PartName="/xl/worksheets/sheet1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5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64" l="1"/>
  <c r="G17" i="110" l="1"/>
  <c r="F17" i="110"/>
  <c r="S22" i="116" l="1"/>
  <c r="R22" i="116"/>
  <c r="Q22" i="116"/>
  <c r="P22" i="116"/>
  <c r="O22" i="116"/>
  <c r="N22" i="116"/>
  <c r="M22" i="116"/>
  <c r="L22" i="116"/>
  <c r="K22" i="116"/>
  <c r="J22" i="116"/>
  <c r="I22" i="116"/>
  <c r="H22" i="116"/>
  <c r="G22" i="116"/>
  <c r="F22" i="116"/>
  <c r="E22" i="116"/>
  <c r="D22" i="116"/>
  <c r="C22" i="116"/>
  <c r="S15" i="116"/>
  <c r="R15" i="116"/>
  <c r="Q15" i="116"/>
  <c r="P15" i="116"/>
  <c r="O15" i="116"/>
  <c r="N15" i="116"/>
  <c r="M15" i="116"/>
  <c r="L15" i="116"/>
  <c r="K15" i="116"/>
  <c r="J15" i="116"/>
  <c r="I15" i="116"/>
  <c r="H15" i="116"/>
  <c r="G15" i="116"/>
  <c r="F15" i="116"/>
  <c r="E15" i="116"/>
  <c r="D15" i="116"/>
  <c r="C15" i="116"/>
  <c r="S8" i="116"/>
  <c r="R8" i="116"/>
  <c r="Q8" i="116"/>
  <c r="P8" i="116"/>
  <c r="O8" i="116"/>
  <c r="N8" i="116"/>
  <c r="M8" i="116"/>
  <c r="L8" i="116"/>
  <c r="K8" i="116"/>
  <c r="J8" i="116"/>
  <c r="I8" i="116"/>
  <c r="H8" i="116"/>
  <c r="G8" i="116"/>
  <c r="F8" i="116"/>
  <c r="E8" i="116"/>
  <c r="D8" i="116"/>
  <c r="C8" i="116"/>
  <c r="H7" i="112" l="1"/>
  <c r="H8" i="112"/>
  <c r="H9" i="112"/>
  <c r="H10" i="112"/>
  <c r="H11" i="112"/>
  <c r="H12" i="112"/>
  <c r="H13" i="112"/>
  <c r="H14" i="112"/>
  <c r="H15" i="112"/>
  <c r="H16" i="112"/>
  <c r="H17" i="112"/>
  <c r="H18" i="112"/>
  <c r="H19" i="112"/>
  <c r="H20" i="112"/>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D6" i="86" l="1"/>
  <c r="C7" i="108"/>
  <c r="D7" i="108"/>
  <c r="R13" i="120" l="1"/>
  <c r="R19" i="120" s="1"/>
  <c r="D13" i="120"/>
  <c r="D19" i="120" s="1"/>
  <c r="E13" i="120"/>
  <c r="E19" i="120" s="1"/>
  <c r="F13" i="120"/>
  <c r="F19" i="120" s="1"/>
  <c r="G13" i="120"/>
  <c r="G19" i="120" s="1"/>
  <c r="H13" i="120"/>
  <c r="H19" i="120" s="1"/>
  <c r="I13" i="120"/>
  <c r="I19" i="120" s="1"/>
  <c r="J13" i="120"/>
  <c r="J19" i="120" s="1"/>
  <c r="K13" i="120"/>
  <c r="K19" i="120" s="1"/>
  <c r="L13" i="120"/>
  <c r="L19" i="120" s="1"/>
  <c r="M13" i="120"/>
  <c r="M19" i="120" s="1"/>
  <c r="N13" i="120"/>
  <c r="N19" i="120" s="1"/>
  <c r="O13" i="120"/>
  <c r="O19" i="120" s="1"/>
  <c r="P13" i="120"/>
  <c r="P19" i="120" s="1"/>
  <c r="Q13" i="120"/>
  <c r="Q19" i="120" s="1"/>
  <c r="C13" i="120"/>
  <c r="C19" i="120" s="1"/>
  <c r="B2" i="120" l="1"/>
  <c r="B1" i="120"/>
  <c r="B2" i="119"/>
  <c r="B1" i="119"/>
  <c r="D33" i="118"/>
  <c r="E33" i="118"/>
  <c r="F33" i="118"/>
  <c r="G33" i="118"/>
  <c r="H33" i="118"/>
  <c r="I33" i="118"/>
  <c r="J33" i="118"/>
  <c r="K33" i="118"/>
  <c r="L33" i="118"/>
  <c r="C33" i="118"/>
  <c r="B2" i="118"/>
  <c r="B1" i="118"/>
  <c r="B2" i="117" l="1"/>
  <c r="B1" i="117"/>
  <c r="B2" i="116"/>
  <c r="B1" i="116"/>
  <c r="B2" i="115" l="1"/>
  <c r="B1" i="115"/>
  <c r="B2" i="114" l="1"/>
  <c r="B1" i="114"/>
  <c r="B2" i="113"/>
  <c r="B1" i="113"/>
  <c r="E21" i="112"/>
  <c r="B2" i="112"/>
  <c r="B1" i="112"/>
  <c r="B2" i="111" l="1"/>
  <c r="B1" i="111"/>
  <c r="B2" i="97" l="1"/>
  <c r="B1" i="97"/>
  <c r="B2" i="95"/>
  <c r="B1" i="95"/>
  <c r="J23" i="93" l="1"/>
  <c r="I23" i="93"/>
  <c r="G23" i="93"/>
  <c r="F23" i="93"/>
  <c r="H23" i="93" s="1"/>
  <c r="J21" i="93"/>
  <c r="I21" i="93"/>
  <c r="K21" i="93" s="1"/>
  <c r="G21" i="93"/>
  <c r="F21" i="93"/>
  <c r="H21" i="93" s="1"/>
  <c r="D21" i="93"/>
  <c r="C21" i="93"/>
  <c r="E21" i="93" s="1"/>
  <c r="K20" i="93"/>
  <c r="H20" i="93"/>
  <c r="E20" i="93"/>
  <c r="K19" i="93"/>
  <c r="H19" i="93"/>
  <c r="E19" i="93"/>
  <c r="K18" i="93"/>
  <c r="H18" i="93"/>
  <c r="E18" i="93"/>
  <c r="J16" i="93"/>
  <c r="I16" i="93"/>
  <c r="G16" i="93"/>
  <c r="F16" i="93"/>
  <c r="F24" i="93" s="1"/>
  <c r="D16" i="93"/>
  <c r="C16" i="93"/>
  <c r="K15" i="93"/>
  <c r="H15" i="93"/>
  <c r="E15" i="93"/>
  <c r="K14" i="93"/>
  <c r="H14" i="93"/>
  <c r="E14" i="93"/>
  <c r="K13" i="93"/>
  <c r="H13" i="93"/>
  <c r="E13" i="93"/>
  <c r="K12" i="93"/>
  <c r="H12" i="93"/>
  <c r="E12" i="93"/>
  <c r="K11" i="93"/>
  <c r="H11" i="93"/>
  <c r="E11" i="93"/>
  <c r="K10" i="93"/>
  <c r="H10" i="93"/>
  <c r="E10" i="93"/>
  <c r="K8" i="93"/>
  <c r="H8" i="93"/>
  <c r="B2" i="92"/>
  <c r="B1" i="92"/>
  <c r="B2" i="93"/>
  <c r="B1" i="93"/>
  <c r="H16" i="91"/>
  <c r="H18" i="91"/>
  <c r="H19" i="91"/>
  <c r="H20" i="91"/>
  <c r="G16" i="91"/>
  <c r="G18" i="91"/>
  <c r="G19" i="91"/>
  <c r="G20" i="91"/>
  <c r="F16" i="91"/>
  <c r="F18" i="91"/>
  <c r="F19" i="91"/>
  <c r="F20" i="91"/>
  <c r="E9" i="91"/>
  <c r="E10" i="91"/>
  <c r="E11" i="91"/>
  <c r="E12" i="91"/>
  <c r="E13" i="91"/>
  <c r="E14" i="91"/>
  <c r="E15" i="91"/>
  <c r="E16" i="91"/>
  <c r="E17" i="91"/>
  <c r="E18" i="91"/>
  <c r="E19" i="91"/>
  <c r="E20" i="91"/>
  <c r="E21" i="91"/>
  <c r="E8" i="91"/>
  <c r="D14" i="91"/>
  <c r="D13" i="91"/>
  <c r="C9" i="91"/>
  <c r="C10" i="91"/>
  <c r="C11" i="91"/>
  <c r="C12" i="91"/>
  <c r="C13" i="91"/>
  <c r="C14" i="91"/>
  <c r="C15" i="91"/>
  <c r="C16" i="91"/>
  <c r="C17" i="91"/>
  <c r="C18" i="91"/>
  <c r="C19" i="91"/>
  <c r="C20" i="91"/>
  <c r="C21" i="91"/>
  <c r="C8" i="91"/>
  <c r="B2" i="91"/>
  <c r="B1" i="91"/>
  <c r="B2" i="64"/>
  <c r="B1" i="64"/>
  <c r="J24" i="93" l="1"/>
  <c r="J25" i="93" s="1"/>
  <c r="I24" i="93"/>
  <c r="K24" i="93" s="1"/>
  <c r="H16" i="93"/>
  <c r="G24" i="93"/>
  <c r="G25" i="93" s="1"/>
  <c r="E16" i="93"/>
  <c r="F25" i="93"/>
  <c r="I25" i="93"/>
  <c r="K23" i="93"/>
  <c r="K16" i="93"/>
  <c r="K25" i="93" l="1"/>
  <c r="H24" i="93"/>
  <c r="H25" i="93" s="1"/>
  <c r="B2" i="90" l="1"/>
  <c r="B1" i="90"/>
  <c r="C65" i="69"/>
  <c r="C64" i="69"/>
  <c r="C63" i="69"/>
  <c r="C61" i="69"/>
  <c r="C60" i="69"/>
  <c r="C59" i="69"/>
  <c r="C57" i="69"/>
  <c r="C56" i="69"/>
  <c r="C55" i="69"/>
  <c r="C54" i="69"/>
  <c r="C51" i="69"/>
  <c r="C49" i="69"/>
  <c r="C48" i="69"/>
  <c r="C43" i="69"/>
  <c r="C39" i="69"/>
  <c r="C38" i="69"/>
  <c r="C37" i="69"/>
  <c r="C34" i="69"/>
  <c r="C33" i="69"/>
  <c r="C31" i="69"/>
  <c r="C27" i="69"/>
  <c r="C25" i="69"/>
  <c r="C22" i="69"/>
  <c r="C21" i="69"/>
  <c r="C17" i="69"/>
  <c r="C15" i="69"/>
  <c r="C13" i="69"/>
  <c r="C12" i="69"/>
  <c r="C11" i="69"/>
  <c r="C10" i="69"/>
  <c r="B2" i="69"/>
  <c r="B1" i="69"/>
  <c r="B2" i="94"/>
  <c r="B1" i="94"/>
  <c r="C7" i="89"/>
  <c r="B2" i="89"/>
  <c r="B1" i="89"/>
  <c r="B2" i="73"/>
  <c r="B1" i="73"/>
  <c r="E36" i="88"/>
  <c r="E35" i="88"/>
  <c r="E33" i="88"/>
  <c r="E29" i="88"/>
  <c r="E27" i="88"/>
  <c r="E24" i="88"/>
  <c r="E23" i="88"/>
  <c r="E19" i="88"/>
  <c r="E17" i="88"/>
  <c r="E15" i="88"/>
  <c r="E14" i="88"/>
  <c r="E13" i="88"/>
  <c r="E12" i="88"/>
  <c r="D29" i="88"/>
  <c r="C36" i="88"/>
  <c r="C35" i="88"/>
  <c r="C33" i="88"/>
  <c r="C29" i="88"/>
  <c r="C27" i="88"/>
  <c r="C24" i="88"/>
  <c r="C23" i="88"/>
  <c r="C19" i="88"/>
  <c r="C17" i="88"/>
  <c r="C15" i="88"/>
  <c r="C14" i="88"/>
  <c r="C13" i="88"/>
  <c r="C12" i="88"/>
  <c r="B2" i="88"/>
  <c r="B1" i="88"/>
  <c r="B2" i="52"/>
  <c r="B1" i="52"/>
  <c r="B2" i="86" l="1"/>
  <c r="B1" i="86"/>
  <c r="B2" i="110"/>
  <c r="B1" i="110"/>
  <c r="B2" i="109"/>
  <c r="B1" i="109"/>
  <c r="C48" i="84" l="1"/>
  <c r="C44" i="84"/>
  <c r="B2" i="108" l="1"/>
  <c r="B1" i="108"/>
  <c r="C22" i="111" l="1"/>
  <c r="C5" i="86" l="1"/>
  <c r="C10" i="115" l="1"/>
  <c r="C18" i="115" s="1"/>
  <c r="C7" i="114"/>
  <c r="D7" i="114"/>
  <c r="C10" i="114"/>
  <c r="D10" i="114"/>
  <c r="C34" i="113"/>
  <c r="D34" i="113"/>
  <c r="E34" i="113"/>
  <c r="F34" i="113"/>
  <c r="G34" i="113"/>
  <c r="C21" i="112"/>
  <c r="D21" i="112"/>
  <c r="G21" i="112"/>
  <c r="H22" i="112"/>
  <c r="H23" i="112"/>
  <c r="H8" i="111"/>
  <c r="H9" i="111"/>
  <c r="H10" i="111"/>
  <c r="H11" i="111"/>
  <c r="H12" i="111"/>
  <c r="H13" i="111"/>
  <c r="H14" i="111"/>
  <c r="H15" i="111"/>
  <c r="H16" i="111"/>
  <c r="H17" i="111"/>
  <c r="H18" i="111"/>
  <c r="H19" i="111"/>
  <c r="H20" i="111"/>
  <c r="H21" i="111"/>
  <c r="D22" i="111"/>
  <c r="E22" i="111"/>
  <c r="F22" i="111"/>
  <c r="G22" i="111"/>
  <c r="H22" i="111" l="1"/>
  <c r="D15" i="114"/>
  <c r="C15" i="114"/>
  <c r="H34" i="113"/>
  <c r="H21" i="112"/>
  <c r="C62" i="69"/>
  <c r="C58" i="69"/>
  <c r="D8" i="88"/>
  <c r="D16" i="88"/>
  <c r="D20" i="88"/>
  <c r="D25" i="88"/>
  <c r="D31" i="88"/>
  <c r="H43" i="110" l="1"/>
  <c r="E43" i="110"/>
  <c r="H42" i="110"/>
  <c r="E42" i="110"/>
  <c r="H41" i="110"/>
  <c r="E41" i="110"/>
  <c r="H40" i="110"/>
  <c r="E40" i="110"/>
  <c r="H39" i="110"/>
  <c r="E39" i="110"/>
  <c r="G38" i="110"/>
  <c r="F38" i="110"/>
  <c r="H38" i="110" s="1"/>
  <c r="D38" i="110"/>
  <c r="C38" i="110"/>
  <c r="E38" i="110" s="1"/>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H16" i="110"/>
  <c r="E16" i="110"/>
  <c r="H15" i="110"/>
  <c r="E15" i="110"/>
  <c r="G14" i="110"/>
  <c r="F14" i="110"/>
  <c r="H13" i="110"/>
  <c r="E13" i="110"/>
  <c r="H12" i="110"/>
  <c r="E12" i="110"/>
  <c r="G11" i="110"/>
  <c r="F11" i="110"/>
  <c r="D11" i="110"/>
  <c r="C11" i="110"/>
  <c r="E11" i="110" s="1"/>
  <c r="H10" i="110"/>
  <c r="E10" i="110"/>
  <c r="H9" i="110"/>
  <c r="E9" i="110"/>
  <c r="G8" i="110"/>
  <c r="F8" i="110"/>
  <c r="D8" i="110"/>
  <c r="C8" i="110"/>
  <c r="E8" i="110" s="1"/>
  <c r="H7" i="110"/>
  <c r="E7" i="110"/>
  <c r="H6" i="110"/>
  <c r="E6" i="110"/>
  <c r="H44" i="109"/>
  <c r="E44" i="109"/>
  <c r="H42" i="109"/>
  <c r="E42" i="109"/>
  <c r="H41" i="109"/>
  <c r="E41" i="109"/>
  <c r="H40" i="109"/>
  <c r="E40" i="109"/>
  <c r="H39" i="109"/>
  <c r="E39" i="109"/>
  <c r="H38" i="109"/>
  <c r="E38" i="109"/>
  <c r="G37" i="109"/>
  <c r="F37" i="109"/>
  <c r="H37" i="109" s="1"/>
  <c r="D37" i="109"/>
  <c r="C37" i="109"/>
  <c r="H36" i="109"/>
  <c r="E36" i="109"/>
  <c r="H35" i="109"/>
  <c r="E35" i="109"/>
  <c r="G34" i="109"/>
  <c r="F34" i="109"/>
  <c r="H34" i="109" s="1"/>
  <c r="D34" i="109"/>
  <c r="C34" i="109"/>
  <c r="H33" i="109"/>
  <c r="E33" i="109"/>
  <c r="H32" i="109"/>
  <c r="E32" i="109"/>
  <c r="H31" i="109"/>
  <c r="E31" i="109"/>
  <c r="H30" i="109"/>
  <c r="E30" i="109"/>
  <c r="G29" i="109"/>
  <c r="F29" i="109"/>
  <c r="D29" i="109"/>
  <c r="C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G13" i="109"/>
  <c r="F13" i="109"/>
  <c r="H13" i="109" s="1"/>
  <c r="D13" i="109"/>
  <c r="C13" i="109"/>
  <c r="E13" i="109" s="1"/>
  <c r="H12" i="109"/>
  <c r="E12" i="109"/>
  <c r="H11" i="109"/>
  <c r="E11" i="109"/>
  <c r="H10" i="109"/>
  <c r="E10" i="109"/>
  <c r="H9" i="109"/>
  <c r="E9" i="109"/>
  <c r="H8" i="109"/>
  <c r="E8" i="109"/>
  <c r="H7" i="109"/>
  <c r="E7" i="109"/>
  <c r="G6" i="109"/>
  <c r="F6" i="109"/>
  <c r="F43" i="109" s="1"/>
  <c r="D6" i="109"/>
  <c r="C6" i="109"/>
  <c r="G68" i="108"/>
  <c r="G69" i="108" s="1"/>
  <c r="F68" i="108"/>
  <c r="F69" i="108" s="1"/>
  <c r="H69" i="108" s="1"/>
  <c r="H67" i="108"/>
  <c r="E67" i="108"/>
  <c r="H66" i="108"/>
  <c r="E66" i="108"/>
  <c r="H65" i="108"/>
  <c r="E65" i="108"/>
  <c r="H64" i="108"/>
  <c r="E64" i="108"/>
  <c r="H63" i="108"/>
  <c r="D63" i="108"/>
  <c r="C63" i="108"/>
  <c r="E63" i="108" s="1"/>
  <c r="H62" i="108"/>
  <c r="E62" i="108"/>
  <c r="H61" i="108"/>
  <c r="E61" i="108"/>
  <c r="H60" i="108"/>
  <c r="E60" i="108"/>
  <c r="H59" i="108"/>
  <c r="E59" i="108"/>
  <c r="D59" i="108"/>
  <c r="D68" i="108" s="1"/>
  <c r="C59" i="108"/>
  <c r="C68" i="108" s="1"/>
  <c r="E68" i="108" s="1"/>
  <c r="H58" i="108"/>
  <c r="E58" i="108"/>
  <c r="H57" i="108"/>
  <c r="E57" i="108"/>
  <c r="H56" i="108"/>
  <c r="E56" i="108"/>
  <c r="H55" i="108"/>
  <c r="E55" i="108"/>
  <c r="H52" i="108"/>
  <c r="E52" i="108"/>
  <c r="H51" i="108"/>
  <c r="E51" i="108"/>
  <c r="C50" i="69" s="1"/>
  <c r="H50" i="108"/>
  <c r="E50" i="108"/>
  <c r="H49" i="108"/>
  <c r="E49" i="108"/>
  <c r="H48" i="108"/>
  <c r="E48" i="108"/>
  <c r="C47" i="69" s="1"/>
  <c r="C46" i="69" s="1"/>
  <c r="G47" i="108"/>
  <c r="F47" i="108"/>
  <c r="D47" i="108"/>
  <c r="C47" i="108"/>
  <c r="E47" i="108" s="1"/>
  <c r="H46" i="108"/>
  <c r="E46" i="108"/>
  <c r="H45" i="108"/>
  <c r="E45" i="108"/>
  <c r="C44" i="69" s="1"/>
  <c r="H44" i="108"/>
  <c r="E44" i="108"/>
  <c r="H43" i="108"/>
  <c r="E43" i="108"/>
  <c r="C42" i="69" s="1"/>
  <c r="H42" i="108"/>
  <c r="E42" i="108"/>
  <c r="C41" i="69" s="1"/>
  <c r="G41" i="108"/>
  <c r="G53" i="108" s="1"/>
  <c r="F41" i="108"/>
  <c r="D41" i="108"/>
  <c r="D53" i="108" s="1"/>
  <c r="C41" i="108"/>
  <c r="H40" i="108"/>
  <c r="E40" i="108"/>
  <c r="H39" i="108"/>
  <c r="E39" i="108"/>
  <c r="H38" i="108"/>
  <c r="E38" i="108"/>
  <c r="G36" i="108"/>
  <c r="H35" i="108"/>
  <c r="E35" i="108"/>
  <c r="H34" i="108"/>
  <c r="E34" i="108"/>
  <c r="H33" i="108"/>
  <c r="E33" i="108"/>
  <c r="C34" i="88" s="1"/>
  <c r="H32" i="108"/>
  <c r="E32" i="108"/>
  <c r="H31" i="108"/>
  <c r="E31" i="108"/>
  <c r="C32" i="88" s="1"/>
  <c r="G30" i="108"/>
  <c r="F30" i="108"/>
  <c r="H30" i="108" s="1"/>
  <c r="D30" i="108"/>
  <c r="C30" i="108"/>
  <c r="E30" i="108" s="1"/>
  <c r="H29" i="108"/>
  <c r="E29" i="108"/>
  <c r="C30" i="88" s="1"/>
  <c r="H28" i="108"/>
  <c r="E28" i="108"/>
  <c r="G27" i="108"/>
  <c r="F27" i="108"/>
  <c r="H27" i="108" s="1"/>
  <c r="D27" i="108"/>
  <c r="C27" i="108"/>
  <c r="E27" i="108" s="1"/>
  <c r="C15" i="89" s="1"/>
  <c r="H26" i="108"/>
  <c r="E26" i="108"/>
  <c r="H25" i="108"/>
  <c r="E25" i="108"/>
  <c r="C26" i="88" s="1"/>
  <c r="G24" i="108"/>
  <c r="F24" i="108"/>
  <c r="D24" i="108"/>
  <c r="C24" i="108"/>
  <c r="E24" i="108" s="1"/>
  <c r="H23" i="108"/>
  <c r="E23" i="108"/>
  <c r="H22" i="108"/>
  <c r="E22" i="108"/>
  <c r="H21" i="108"/>
  <c r="E21" i="108"/>
  <c r="C22" i="88" s="1"/>
  <c r="H20" i="108"/>
  <c r="E20" i="108"/>
  <c r="C21" i="88" s="1"/>
  <c r="G19" i="108"/>
  <c r="F19" i="108"/>
  <c r="D19" i="108"/>
  <c r="C19" i="108"/>
  <c r="E19" i="108" s="1"/>
  <c r="H18" i="108"/>
  <c r="E18" i="108"/>
  <c r="H17" i="108"/>
  <c r="E17" i="108"/>
  <c r="C18" i="88" s="1"/>
  <c r="H16" i="108"/>
  <c r="E16" i="108"/>
  <c r="G15" i="108"/>
  <c r="F15" i="108"/>
  <c r="H15" i="108" s="1"/>
  <c r="D15" i="108"/>
  <c r="C15" i="108"/>
  <c r="E15" i="108" s="1"/>
  <c r="H14" i="108"/>
  <c r="E14" i="108"/>
  <c r="H13" i="108"/>
  <c r="E13" i="108"/>
  <c r="H12" i="108"/>
  <c r="E12" i="108"/>
  <c r="H11" i="108"/>
  <c r="E11" i="108"/>
  <c r="H10" i="108"/>
  <c r="E10" i="108"/>
  <c r="C11" i="88" s="1"/>
  <c r="H9" i="108"/>
  <c r="E9" i="108"/>
  <c r="C10" i="88" s="1"/>
  <c r="H8" i="108"/>
  <c r="E8" i="108"/>
  <c r="C9" i="88" s="1"/>
  <c r="G7" i="108"/>
  <c r="F7" i="108"/>
  <c r="H11" i="110" l="1"/>
  <c r="H8" i="110"/>
  <c r="H30" i="110"/>
  <c r="H14" i="110"/>
  <c r="G43" i="109"/>
  <c r="G45" i="109" s="1"/>
  <c r="H29" i="109"/>
  <c r="H41" i="108"/>
  <c r="H19" i="108"/>
  <c r="F36" i="108"/>
  <c r="H36" i="108" s="1"/>
  <c r="H47" i="108"/>
  <c r="H24" i="108"/>
  <c r="H7" i="108"/>
  <c r="C43" i="109"/>
  <c r="C45" i="109" s="1"/>
  <c r="C45" i="69"/>
  <c r="C6" i="73"/>
  <c r="E21" i="88"/>
  <c r="C19" i="69"/>
  <c r="E37" i="109"/>
  <c r="C66" i="69"/>
  <c r="C67" i="69" s="1"/>
  <c r="C11" i="89"/>
  <c r="C40" i="69"/>
  <c r="E34" i="88"/>
  <c r="C32" i="69"/>
  <c r="C30" i="69"/>
  <c r="C29" i="69" s="1"/>
  <c r="E32" i="88"/>
  <c r="E31" i="88" s="1"/>
  <c r="C31" i="88"/>
  <c r="C28" i="69"/>
  <c r="C26" i="69" s="1"/>
  <c r="D30" i="88"/>
  <c r="D28" i="88" s="1"/>
  <c r="D37" i="88" s="1"/>
  <c r="C28" i="88"/>
  <c r="C24" i="69"/>
  <c r="C23" i="69" s="1"/>
  <c r="E26" i="88"/>
  <c r="E25" i="88" s="1"/>
  <c r="C25" i="88"/>
  <c r="E22" i="88"/>
  <c r="C20" i="69"/>
  <c r="C18" i="69" s="1"/>
  <c r="C20" i="88"/>
  <c r="C16" i="69"/>
  <c r="C14" i="69" s="1"/>
  <c r="E18" i="88"/>
  <c r="E16" i="88" s="1"/>
  <c r="C16" i="88"/>
  <c r="C8" i="69"/>
  <c r="E10" i="88"/>
  <c r="C9" i="69"/>
  <c r="E11" i="88"/>
  <c r="C7" i="69"/>
  <c r="E9" i="88"/>
  <c r="C8" i="88"/>
  <c r="E14" i="110"/>
  <c r="E29" i="109"/>
  <c r="E34" i="109"/>
  <c r="E6" i="109"/>
  <c r="C53" i="108"/>
  <c r="E53" i="108" s="1"/>
  <c r="C36" i="108"/>
  <c r="D36" i="108"/>
  <c r="E7" i="108"/>
  <c r="E17" i="110"/>
  <c r="F45" i="109"/>
  <c r="H6" i="109"/>
  <c r="D43" i="109"/>
  <c r="D45" i="109" s="1"/>
  <c r="D69" i="108"/>
  <c r="H68" i="108"/>
  <c r="E41" i="108"/>
  <c r="F53" i="108"/>
  <c r="H53" i="108" s="1"/>
  <c r="H45" i="109" l="1"/>
  <c r="H43" i="109"/>
  <c r="C52" i="69"/>
  <c r="C68" i="69" s="1"/>
  <c r="E30" i="88"/>
  <c r="E28" i="88" s="1"/>
  <c r="C37" i="88"/>
  <c r="E20" i="88"/>
  <c r="C6" i="69"/>
  <c r="C35" i="69" s="1"/>
  <c r="E8" i="88"/>
  <c r="E37" i="88" s="1"/>
  <c r="C69" i="108"/>
  <c r="E69" i="108" s="1"/>
  <c r="E36" i="108"/>
  <c r="E43" i="109"/>
  <c r="E45" i="109"/>
  <c r="G33" i="97" l="1"/>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G5" i="86"/>
  <c r="F5" i="86"/>
  <c r="E5" i="86"/>
  <c r="D5" i="86"/>
  <c r="G5" i="84"/>
  <c r="F5" i="84"/>
  <c r="E5" i="84"/>
  <c r="D5" i="84"/>
  <c r="C5" i="84"/>
  <c r="E6" i="86" l="1"/>
  <c r="E13" i="86" s="1"/>
  <c r="F6" i="86"/>
  <c r="F13" i="86" s="1"/>
  <c r="G6" i="86"/>
  <c r="G13" i="86" s="1"/>
  <c r="C21" i="94" l="1"/>
  <c r="C20" i="94"/>
  <c r="C19" i="94"/>
  <c r="C30" i="95" l="1"/>
  <c r="C26" i="95"/>
  <c r="C18" i="95"/>
  <c r="C8" i="95"/>
  <c r="C36" i="95" s="1"/>
  <c r="D13" i="86" l="1"/>
  <c r="C6" i="86" l="1"/>
  <c r="C13" i="86" s="1"/>
  <c r="D16" i="94" l="1"/>
  <c r="D21" i="94"/>
  <c r="D7" i="94"/>
  <c r="D15" i="94"/>
  <c r="D19" i="94"/>
  <c r="D17" i="94"/>
  <c r="D12" i="94"/>
  <c r="D8" i="94"/>
  <c r="D20" i="94"/>
  <c r="D11" i="94"/>
  <c r="D13" i="94"/>
  <c r="D9"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F21" i="91" s="1"/>
  <c r="S20" i="90"/>
  <c r="S19" i="90"/>
  <c r="S18" i="90"/>
  <c r="S17" i="90"/>
  <c r="F17" i="91" s="1"/>
  <c r="G17" i="91" s="1"/>
  <c r="H17" i="91" s="1"/>
  <c r="S16" i="90"/>
  <c r="S15" i="90"/>
  <c r="F15" i="91" s="1"/>
  <c r="S14" i="90"/>
  <c r="F14" i="91" s="1"/>
  <c r="S13" i="90"/>
  <c r="F13" i="91" s="1"/>
  <c r="G13" i="91" s="1"/>
  <c r="H13" i="91" s="1"/>
  <c r="S12" i="90"/>
  <c r="F12" i="91" s="1"/>
  <c r="G12" i="91" s="1"/>
  <c r="H12" i="91" s="1"/>
  <c r="S11" i="90"/>
  <c r="F11" i="91" s="1"/>
  <c r="G11" i="91" s="1"/>
  <c r="H11" i="91" s="1"/>
  <c r="S10" i="90"/>
  <c r="F10" i="91" s="1"/>
  <c r="G10" i="91" s="1"/>
  <c r="H10" i="91" s="1"/>
  <c r="S9" i="90"/>
  <c r="F9" i="91" s="1"/>
  <c r="G9" i="91" s="1"/>
  <c r="H9" i="91" s="1"/>
  <c r="S8" i="90"/>
  <c r="F8" i="91" s="1"/>
  <c r="G8" i="91" s="1"/>
  <c r="H8" i="91" s="1"/>
  <c r="T21" i="64" l="1"/>
  <c r="U21" i="64"/>
  <c r="S21" i="64"/>
  <c r="C21" i="64"/>
  <c r="F22" i="91"/>
  <c r="E22" i="91"/>
  <c r="D22" i="91"/>
  <c r="C22" i="91"/>
  <c r="K22" i="90" l="1"/>
  <c r="L22" i="90"/>
  <c r="M22" i="90"/>
  <c r="N22" i="90"/>
  <c r="O22" i="90"/>
  <c r="P22" i="90"/>
  <c r="Q22" i="90"/>
  <c r="R22" i="90"/>
  <c r="S22" i="90"/>
  <c r="C5" i="73" l="1"/>
  <c r="C22" i="90" l="1"/>
  <c r="C12" i="89"/>
  <c r="C6" i="89"/>
  <c r="D22" i="90" l="1"/>
  <c r="E22" i="90"/>
  <c r="F22" i="90"/>
  <c r="G22" i="90"/>
  <c r="H22" i="90"/>
  <c r="I22" i="90"/>
  <c r="J22" i="90"/>
  <c r="C29" i="89"/>
  <c r="C35" i="95" s="1"/>
  <c r="C38" i="95" s="1"/>
  <c r="C32" i="89"/>
  <c r="C31" i="89" s="1"/>
  <c r="C36" i="89"/>
  <c r="C42" i="89" s="1"/>
  <c r="C44" i="89"/>
  <c r="C48" i="89"/>
  <c r="C8" i="73" l="1"/>
  <c r="C13" i="73" s="1"/>
  <c r="C53" i="89"/>
  <c r="D21" i="64" l="1"/>
  <c r="E21" i="64"/>
  <c r="F21" i="64"/>
  <c r="G21" i="64"/>
  <c r="H21" i="64"/>
  <c r="I21" i="64"/>
  <c r="J21" i="64"/>
  <c r="K21" i="64"/>
  <c r="L21" i="64"/>
  <c r="M21" i="64"/>
  <c r="N21" i="64"/>
  <c r="O21" i="64"/>
  <c r="P21" i="64"/>
  <c r="Q21" i="64"/>
  <c r="R21" i="64"/>
  <c r="V8" i="64" l="1"/>
  <c r="V9" i="64"/>
  <c r="V10" i="64"/>
  <c r="V11" i="64"/>
  <c r="V12" i="64"/>
  <c r="V13" i="64"/>
  <c r="G14" i="91" s="1"/>
  <c r="V14" i="64"/>
  <c r="G15" i="91" s="1"/>
  <c r="H15" i="91" s="1"/>
  <c r="V15" i="64"/>
  <c r="V16" i="64"/>
  <c r="V17" i="64"/>
  <c r="V18" i="64"/>
  <c r="V19" i="64"/>
  <c r="V20" i="64"/>
  <c r="G21" i="91" s="1"/>
  <c r="H21" i="91" s="1"/>
  <c r="V7" i="64"/>
  <c r="H14" i="91" l="1"/>
  <c r="G22" i="91"/>
  <c r="H22" i="91" s="1"/>
  <c r="V21" i="64"/>
</calcChain>
</file>

<file path=xl/sharedStrings.xml><?xml version="1.0" encoding="utf-8"?>
<sst xmlns="http://schemas.openxmlformats.org/spreadsheetml/2006/main" count="1192" uniqueCount="734">
  <si>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</si>
  <si>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</si>
  <si>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</si>
  <si>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</si>
  <si>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</si>
  <si>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</si>
  <si>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</si>
  <si>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</si>
  <si>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</si>
  <si>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</si>
  <si>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</si>
  <si>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</si>
  <si>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</si>
  <si>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</si>
  <si>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</si>
  <si>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</si>
  <si>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</si>
  <si>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</si>
  <si>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</si>
  <si>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</si>
  <si>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</si>
  <si>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</si>
  <si>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</si>
  <si>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</si>
  <si>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</si>
  <si>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</si>
  <si>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</si>
  <si>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</si>
  <si>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</si>
  <si>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</si>
  <si>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</si>
  <si>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</si>
  <si>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</si>
  <si>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</si>
  <si>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</si>
  <si>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</si>
  <si>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</si>
  <si>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</si>
  <si>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</si>
  <si>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</si>
  <si>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</si>
  <si>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</si>
  <si>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</si>
  <si>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</si>
  <si>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</si>
  <si>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</si>
  <si>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</si>
  <si>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</si>
  <si>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</si>
  <si>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</si>
  <si>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</si>
  <si>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</si>
  <si>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</si>
  <si>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</si>
  <si>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</si>
  <si>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</si>
  <si>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</si>
  <si>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</si>
  <si>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</si>
  <si>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</si>
  <si>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</si>
  <si>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</si>
  <si>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</si>
  <si>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</si>
  <si>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</si>
  <si>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</si>
  <si>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</si>
  <si>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</si>
  <si>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</si>
  <si>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</si>
  <si>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</si>
  <si>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</si>
  <si>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</si>
  <si>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</si>
  <si>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</si>
  <si>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</si>
  <si>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</si>
  <si>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</si>
  <si>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</si>
  <si>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</si>
  <si>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</si>
  <si>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</si>
  <si>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</si>
  <si>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</si>
  <si>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</si>
  <si>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</si>
  <si>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</si>
  <si>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</si>
  <si>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</si>
  <si>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</si>
  <si>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</si>
  <si>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</si>
  <si>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</si>
  <si>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</si>
  <si>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</si>
  <si>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</si>
  <si>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</si>
  <si>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</si>
  <si>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</si>
  <si>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</si>
  <si>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</si>
  <si>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</si>
  <si>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</si>
  <si>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</si>
  <si>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</si>
  <si>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</si>
  <si>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</si>
  <si>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</si>
  <si>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</si>
  <si>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</si>
  <si>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</si>
  <si>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</si>
  <si>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</si>
  <si>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</si>
  <si>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</si>
  <si>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</si>
  <si>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</si>
  <si>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</si>
  <si>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</si>
  <si>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</si>
  <si>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</si>
  <si>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</si>
  <si>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</si>
  <si>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</si>
  <si>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</si>
  <si>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</si>
  <si>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</si>
  <si>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</si>
  <si>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</si>
  <si>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</si>
  <si>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</si>
  <si>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</si>
  <si>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</si>
  <si>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</si>
  <si>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</si>
  <si>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</si>
  <si>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</si>
  <si>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</si>
  <si>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</si>
  <si>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</si>
  <si>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</si>
  <si>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</si>
  <si>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</si>
  <si>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</si>
  <si>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</si>
  <si>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</si>
  <si>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</si>
  <si>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</si>
  <si>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</si>
  <si>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</si>
  <si>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</si>
  <si>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</si>
  <si>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</si>
  <si>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</si>
  <si>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</si>
  <si>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</si>
  <si>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</si>
  <si>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</si>
  <si>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</si>
  <si>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</si>
  <si>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</si>
  <si>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</si>
  <si>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</si>
  <si>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</si>
  <si>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</si>
  <si>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</si>
  <si>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</si>
  <si>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</si>
  <si>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</si>
  <si>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</si>
  <si>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</si>
  <si>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</si>
  <si>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</si>
  <si>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</si>
  <si>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</si>
  <si>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</si>
  <si>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</si>
  <si>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</si>
  <si>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</si>
  <si>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</si>
  <si>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</si>
  <si>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</si>
  <si>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</si>
  <si>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</si>
  <si>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</si>
  <si>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</si>
  <si>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</si>
  <si>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</si>
  <si>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</si>
  <si>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</si>
  <si>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</si>
  <si>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</si>
  <si>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</si>
  <si>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</si>
  <si>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</si>
  <si>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</si>
  <si>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</si>
  <si>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</si>
  <si>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</si>
  <si>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</si>
  <si>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</si>
  <si>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</si>
  <si>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</si>
  <si>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</si>
  <si>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</si>
  <si>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</si>
  <si>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</si>
  <si>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</si>
  <si>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</si>
  <si>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</si>
  <si>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</si>
  <si>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</si>
  <si>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</si>
  <si>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</si>
  <si>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</si>
  <si>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</si>
  <si>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</si>
  <si>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</si>
  <si>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</si>
  <si>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</si>
  <si>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</si>
  <si>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</si>
  <si>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</si>
  <si>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</si>
  <si>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</si>
  <si>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</si>
  <si>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</si>
  <si>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</si>
  <si>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</si>
  <si>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</si>
  <si>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</si>
  <si>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</si>
  <si>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</si>
  <si>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</si>
  <si>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</si>
  <si>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</si>
  <si>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</si>
  <si>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</si>
  <si>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</si>
  <si>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</si>
  <si>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</si>
  <si>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</si>
  <si>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</si>
  <si>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</si>
  <si>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</si>
  <si>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</si>
  <si>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</si>
  <si>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</si>
  <si>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</si>
  <si>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</si>
  <si>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</si>
  <si>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</si>
  <si>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</si>
  <si>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</si>
  <si>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</si>
  <si>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</si>
  <si>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</si>
  <si>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</si>
  <si>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</si>
  <si>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</si>
  <si>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</si>
  <si>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</si>
  <si>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</si>
  <si>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</si>
  <si>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</si>
  <si>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</si>
  <si>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</si>
  <si>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</si>
  <si>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</si>
  <si>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</si>
  <si>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</si>
  <si>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</si>
  <si>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</si>
  <si>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</si>
  <si>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</si>
  <si>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</si>
  <si>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</si>
  <si>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</si>
  <si>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</si>
  <si>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</si>
  <si>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</si>
  <si>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</si>
  <si>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</si>
  <si>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</si>
  <si>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</si>
  <si>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</si>
  <si>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</si>
  <si>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</si>
  <si>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</si>
  <si>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</si>
  <si>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</si>
  <si>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</si>
  <si>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</si>
  <si>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</si>
  <si>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</si>
  <si>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</si>
  <si>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</si>
  <si>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</si>
  <si>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</si>
  <si>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</si>
  <si>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</si>
  <si>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</si>
  <si>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</si>
  <si>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</si>
  <si>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</si>
  <si>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</si>
  <si>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</si>
  <si>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</si>
  <si>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</si>
  <si>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</si>
  <si>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</si>
  <si>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</si>
  <si>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</si>
  <si>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</si>
  <si>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</si>
  <si>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</si>
  <si>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</si>
  <si>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</si>
  <si>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</si>
  <si>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</si>
  <si>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</si>
  <si>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</si>
  <si>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</si>
  <si>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</si>
  <si>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</si>
  <si>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</si>
  <si>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</si>
  <si>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</si>
  <si>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</si>
  <si>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</si>
  <si>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</si>
  <si>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</si>
  <si>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</si>
  <si>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</si>
  <si>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</si>
  <si>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</si>
  <si>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</si>
  <si>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</si>
  <si>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</si>
  <si>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</si>
  <si>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</si>
  <si>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</si>
  <si>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</si>
  <si>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</si>
  <si>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</si>
  <si>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</si>
  <si>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</si>
  <si>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</si>
  <si>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</si>
  <si>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</si>
  <si>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</si>
  <si>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</si>
  <si>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</si>
  <si>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</si>
  <si>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</si>
  <si>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</si>
  <si>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</si>
  <si>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</si>
  <si>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</si>
  <si>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</si>
  <si>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</si>
  <si>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</si>
  <si>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</si>
  <si>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</si>
  <si>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</si>
  <si>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</si>
  <si>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</si>
  <si>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</si>
  <si>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</si>
  <si>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</si>
  <si>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</si>
  <si>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</si>
  <si>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</si>
  <si>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</si>
  <si>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</si>
  <si>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</si>
  <si>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</si>
  <si>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</si>
  <si>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</si>
  <si>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</si>
  <si>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</si>
  <si>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</si>
  <si>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</si>
  <si>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</si>
  <si>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</si>
  <si>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</si>
  <si>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</si>
  <si>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</si>
  <si>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</si>
  <si>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</si>
  <si>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</si>
  <si>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</si>
  <si>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</si>
  <si>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</si>
  <si>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</si>
  <si>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</si>
  <si>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</si>
  <si>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</si>
  <si>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</si>
  <si>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</si>
  <si>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</si>
  <si>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</si>
  <si>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</si>
  <si>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</si>
  <si>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</si>
  <si>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</si>
  <si>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</si>
  <si>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</si>
  <si>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</si>
  <si>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</si>
  <si>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</si>
  <si>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</si>
  <si>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</si>
  <si>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</si>
  <si>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</si>
  <si>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</si>
  <si>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</si>
  <si>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</si>
  <si>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</si>
  <si>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</si>
  <si>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</si>
  <si>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</si>
  <si>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</si>
  <si>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</si>
  <si>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</si>
  <si>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</si>
  <si>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</si>
  <si>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</si>
  <si>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</si>
  <si>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</si>
  <si>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</si>
  <si>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</si>
  <si>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</si>
  <si>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</si>
  <si>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</si>
  <si>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</si>
  <si>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</si>
  <si>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</si>
  <si>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</si>
  <si>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</si>
  <si>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</si>
  <si>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</si>
  <si>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</si>
  <si>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</si>
  <si>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</si>
  <si>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</si>
  <si>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</si>
  <si>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</si>
  <si>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</si>
  <si>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</si>
  <si>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</si>
  <si>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</si>
  <si>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</si>
  <si>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</si>
  <si>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</si>
  <si>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</si>
  <si>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</si>
  <si>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</si>
  <si>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</si>
  <si>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</si>
  <si>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</si>
  <si>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</si>
  <si>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</si>
  <si>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</si>
  <si>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</si>
  <si>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</si>
  <si>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</si>
  <si>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</si>
  <si>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</si>
  <si>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</si>
  <si>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</si>
  <si>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</si>
  <si>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</si>
  <si>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</si>
  <si>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</si>
  <si>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</si>
  <si>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</si>
  <si>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</si>
  <si>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</si>
  <si>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</si>
  <si>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</si>
  <si>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</si>
  <si>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</si>
  <si>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</si>
  <si>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</si>
  <si>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</si>
  <si>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</si>
  <si>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</si>
  <si>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</si>
  <si>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</si>
  <si>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</si>
  <si>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</si>
  <si>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</si>
  <si>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</si>
  <si>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</si>
  <si>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</si>
  <si>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</si>
  <si>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</si>
  <si>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</si>
  <si>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</si>
  <si>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</si>
  <si>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</si>
  <si>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</si>
  <si>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</si>
  <si>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</si>
  <si>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</si>
  <si>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</si>
  <si>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</si>
  <si>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</si>
  <si>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</si>
  <si>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</si>
  <si>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</si>
  <si>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</si>
  <si>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</si>
  <si>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</si>
  <si>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</si>
  <si>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</si>
  <si>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</si>
  <si>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</si>
  <si>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</si>
  <si>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</si>
  <si>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</si>
  <si>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</si>
  <si>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</si>
  <si>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</si>
  <si>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</si>
  <si>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</si>
  <si>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</si>
  <si>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</si>
  <si>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</si>
  <si>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</si>
  <si>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</si>
  <si>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</si>
  <si>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</si>
  <si>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</si>
  <si>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</si>
  <si>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</si>
  <si>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</si>
  <si>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</si>
  <si>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</si>
  <si>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</si>
  <si>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</si>
  <si>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</si>
  <si>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</si>
  <si>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</si>
  <si>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</si>
  <si>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</si>
  <si>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</si>
  <si>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</si>
  <si>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</si>
  <si>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</si>
  <si>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</si>
  <si>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</si>
  <si>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</si>
  <si>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</si>
  <si>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</si>
  <si>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</si>
  <si>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</si>
  <si>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</si>
  <si>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</si>
  <si>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</si>
  <si>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</si>
  <si>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</si>
  <si>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</si>
  <si>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</si>
  <si>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</si>
  <si>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</si>
  <si>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</si>
  <si>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</si>
  <si>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</si>
  <si>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</si>
  <si>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</si>
  <si>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</si>
  <si>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</si>
  <si>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</si>
  <si>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</si>
  <si>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</si>
  <si>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</si>
  <si>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</si>
  <si>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</si>
  <si>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</si>
  <si>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</si>
  <si>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</si>
  <si>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</si>
  <si>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</si>
  <si>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</si>
  <si>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</si>
  <si>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</si>
  <si>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</si>
  <si>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</si>
  <si>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</si>
  <si>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</si>
  <si>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</si>
  <si>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</si>
  <si>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</si>
  <si>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</si>
  <si>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</si>
  <si>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</si>
  <si>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</si>
  <si>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</si>
  <si>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</si>
  <si>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</si>
  <si>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</si>
  <si>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</si>
  <si>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</si>
  <si>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</si>
  <si>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</si>
  <si>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</si>
  <si>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</si>
  <si>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</si>
  <si>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</si>
  <si>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</si>
  <si>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</si>
  <si>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</si>
  <si>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</si>
  <si>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</si>
  <si>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</si>
  <si>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</si>
  <si>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</si>
  <si>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</si>
  <si>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</si>
  <si>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</si>
  <si>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</si>
  <si>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</si>
  <si>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</si>
  <si>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</si>
  <si>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</si>
  <si>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</si>
  <si>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</si>
  <si>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</si>
  <si>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</si>
  <si>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</si>
  <si>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</si>
  <si>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</si>
  <si>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</si>
  <si>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</si>
  <si>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</si>
  <si>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</si>
  <si>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</si>
  <si>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</si>
  <si>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</si>
  <si>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</si>
  <si>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</si>
  <si>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</si>
  <si>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</si>
  <si>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</si>
  <si>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</si>
  <si>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</si>
  <si>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</si>
  <si>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</si>
  <si>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</si>
  <si>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</si>
  <si>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</si>
  <si>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</si>
  <si>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</si>
  <si>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</si>
  <si>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</si>
  <si>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</si>
  <si>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</si>
  <si>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</si>
  <si>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</si>
  <si>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</si>
  <si>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</si>
  <si>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</si>
  <si>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</si>
  <si>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</si>
  <si>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</si>
  <si>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</si>
  <si>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</si>
  <si>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</si>
  <si>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</si>
  <si>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</si>
  <si>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</si>
  <si>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</si>
  <si>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</si>
  <si>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</si>
  <si>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</si>
  <si>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</si>
  <si>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</si>
  <si>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</si>
  <si>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</si>
  <si>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</si>
  <si>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</si>
  <si>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</si>
  <si>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</si>
  <si>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</si>
  <si>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</si>
  <si>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</si>
  <si>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</si>
  <si>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</si>
  <si>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</si>
  <si>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</si>
  <si>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</si>
  <si>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</si>
  <si>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</si>
  <si>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</si>
  <si>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</si>
  <si>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</si>
  <si>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</si>
  <si>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</si>
  <si>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</si>
  <si>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</si>
  <si>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</si>
  <si>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</si>
  <si>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</si>
  <si>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</si>
  <si>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</si>
  <si>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Isbank Georgia</t>
  </si>
  <si>
    <t>Olgun Tufan Kurbanoğlu</t>
  </si>
  <si>
    <t>Hüseyin Emre Yılmaz</t>
  </si>
  <si>
    <t>www.isbank.ge</t>
  </si>
  <si>
    <t>Non-independent chair</t>
  </si>
  <si>
    <t>Ozan Uyar</t>
  </si>
  <si>
    <t>Non-independent member</t>
  </si>
  <si>
    <t>Huseyn Serdar Yücel</t>
  </si>
  <si>
    <t>Tamar Sanikidze</t>
  </si>
  <si>
    <t>Independent member</t>
  </si>
  <si>
    <t>Natia Janelidze</t>
  </si>
  <si>
    <t>Chief Executive Officer</t>
  </si>
  <si>
    <t>Hakan Kural</t>
  </si>
  <si>
    <t>Deputy Chief Executive Officer</t>
  </si>
  <si>
    <t>Ucha Saralidze</t>
  </si>
  <si>
    <t>Chief Financial Officer</t>
  </si>
  <si>
    <t>Vasil Apkhazava</t>
  </si>
  <si>
    <t>Chief Risk Officer</t>
  </si>
  <si>
    <t>Turkıye Is Bankası A.S.</t>
  </si>
  <si>
    <t>Turkıye Is Bankası A,S, Employees" Pensıon Fund</t>
  </si>
  <si>
    <t>Turkey Republıcan People"s Party</t>
  </si>
  <si>
    <t>Table 9 (Capital), N2</t>
  </si>
  <si>
    <t>Table 9 (Capital), N6</t>
  </si>
  <si>
    <t>Ahmet Hakan Ünal</t>
  </si>
  <si>
    <t>Hüseyin Karabulut</t>
  </si>
  <si>
    <t>Capital Conservation Buffer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</si>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</sst>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sz val="10"/>
      <name val="Arial"/>
      <family val="2"/>
      <charset val="16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color theme="1"/>
      <name val="Arial"/>
      <family val="2"/>
      <charset val="162"/>
    </font>
    <font>
      <b/>
      <sz val="11"/>
      <color theme="1"/>
      <name val="Arial"/>
      <family val="2"/>
      <charset val="162"/>
    </font>
    <font>
      <b/>
      <u/>
      <sz val="10"/>
      <color indexed="12"/>
      <name val="Arial"/>
      <family val="2"/>
      <charset val="162"/>
    </font>
    <font>
      <b/>
      <i/>
      <sz val="10"/>
      <color theme="1"/>
      <name val="Arial"/>
      <family val="2"/>
      <charset val="162"/>
    </font>
    <font>
      <sz val="10"/>
      <color theme="1"/>
      <name val="Arial"/>
      <family val="2"/>
      <charset val="162"/>
    </font>
    <font>
      <b/>
      <i/>
      <sz val="10"/>
      <color theme="1"/>
      <name val="Sylfaen"/>
      <family val="1"/>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s>
  <borders count="13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9"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4"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8"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9"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0" fontId="49" fillId="43" borderId="39"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0" fontId="52" fillId="0" borderId="45"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6"/>
    <xf numFmtId="169" fontId="9" fillId="0" borderId="46"/>
    <xf numFmtId="168"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9"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168" fontId="2" fillId="0" borderId="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9"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cellStyleXfs>
  <cellXfs count="916">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88"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85" fillId="0" borderId="0" xfId="0" applyFont="1" applyAlignment="1">
      <alignment wrapText="1"/>
    </xf>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193"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3" fontId="2" fillId="36"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9"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0" xfId="0" applyNumberFormat="1" applyFont="1" applyBorder="1" applyAlignment="1">
      <alignment horizontal="center"/>
    </xf>
    <xf numFmtId="167" fontId="85" fillId="0" borderId="0" xfId="0" applyNumberFormat="1" applyFont="1" applyBorder="1" applyAlignment="1">
      <alignment horizontal="center"/>
    </xf>
    <xf numFmtId="167" fontId="84" fillId="0" borderId="58" xfId="0" applyNumberFormat="1" applyFont="1" applyBorder="1" applyAlignment="1">
      <alignment horizontal="center"/>
    </xf>
    <xf numFmtId="167" fontId="91" fillId="0" borderId="0" xfId="0" applyNumberFormat="1" applyFont="1" applyBorder="1" applyAlignment="1">
      <alignment horizontal="center"/>
    </xf>
    <xf numFmtId="167" fontId="84" fillId="0" borderId="61" xfId="0" applyNumberFormat="1" applyFont="1" applyBorder="1" applyAlignment="1">
      <alignment horizontal="center"/>
    </xf>
    <xf numFmtId="167" fontId="89" fillId="0" borderId="0" xfId="0" applyNumberFormat="1" applyFont="1" applyFill="1" applyBorder="1" applyAlignment="1">
      <alignment horizontal="center"/>
    </xf>
    <xf numFmtId="193" fontId="87" fillId="0" borderId="12" xfId="0" applyNumberFormat="1" applyFont="1" applyBorder="1" applyAlignment="1">
      <alignment vertical="center"/>
    </xf>
    <xf numFmtId="167" fontId="84" fillId="0" borderId="62" xfId="0" applyNumberFormat="1" applyFont="1" applyBorder="1" applyAlignment="1">
      <alignment horizontal="center"/>
    </xf>
    <xf numFmtId="0" fontId="84" fillId="0" borderId="18"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4" fontId="2" fillId="3" borderId="18"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3" fontId="84" fillId="0" borderId="18" xfId="0" applyNumberFormat="1" applyFont="1" applyBorder="1" applyAlignment="1"/>
    <xf numFmtId="193" fontId="84" fillId="0" borderId="19" xfId="0" applyNumberFormat="1" applyFont="1" applyBorder="1" applyAlignment="1"/>
    <xf numFmtId="0" fontId="45" fillId="3" borderId="23" xfId="16" applyFont="1" applyFill="1" applyBorder="1" applyAlignment="1" applyProtection="1">
      <protection locked="0"/>
    </xf>
    <xf numFmtId="0" fontId="84" fillId="0" borderId="0" xfId="0" applyFont="1" applyBorder="1" applyAlignment="1">
      <alignment vertical="center"/>
    </xf>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193" fontId="45" fillId="36" borderId="22" xfId="16" applyNumberFormat="1" applyFont="1" applyFill="1" applyBorder="1" applyAlignment="1" applyProtection="1">
      <protection locked="0"/>
    </xf>
    <xf numFmtId="0" fontId="84" fillId="0" borderId="54" xfId="0" applyFont="1" applyBorder="1" applyAlignment="1">
      <alignment horizontal="center"/>
    </xf>
    <xf numFmtId="0" fontId="84" fillId="0" borderId="55"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8" fillId="0" borderId="0" xfId="0" applyFont="1" applyAlignment="1">
      <alignment horizontal="center"/>
    </xf>
    <xf numFmtId="0" fontId="2" fillId="3" borderId="18"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9"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2" xfId="16" applyNumberFormat="1" applyFont="1" applyFill="1" applyBorder="1" applyAlignment="1" applyProtection="1">
      <protection locked="0"/>
    </xf>
    <xf numFmtId="193" fontId="45" fillId="36" borderId="22" xfId="1" applyNumberFormat="1" applyFont="1" applyFill="1" applyBorder="1" applyAlignment="1" applyProtection="1">
      <protection locked="0"/>
    </xf>
    <xf numFmtId="193" fontId="2" fillId="3" borderId="22" xfId="5" applyNumberFormat="1" applyFont="1" applyFill="1" applyBorder="1" applyProtection="1">
      <protection locked="0"/>
    </xf>
    <xf numFmtId="164" fontId="45" fillId="36" borderId="23" xfId="1" applyNumberFormat="1" applyFont="1" applyFill="1" applyBorder="1" applyAlignment="1" applyProtection="1">
      <protection locked="0"/>
    </xf>
    <xf numFmtId="193" fontId="84" fillId="0" borderId="0" xfId="0" applyNumberFormat="1" applyFont="1"/>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3"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0" fontId="84" fillId="0" borderId="0" xfId="0" applyFont="1" applyAlignment="1"/>
    <xf numFmtId="193" fontId="84" fillId="0" borderId="19" xfId="0" applyNumberFormat="1" applyFont="1" applyBorder="1" applyAlignment="1">
      <alignment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7" fillId="0" borderId="0" xfId="0" applyFont="1"/>
    <xf numFmtId="0" fontId="3" fillId="0" borderId="63" xfId="0" applyFont="1" applyBorder="1"/>
    <xf numFmtId="193"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3"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6"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8" xfId="0" applyFont="1" applyFill="1" applyBorder="1" applyAlignment="1">
      <alignment horizontal="left"/>
    </xf>
    <xf numFmtId="0" fontId="99"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169" fontId="9" fillId="37" borderId="55" xfId="20" applyBorder="1"/>
    <xf numFmtId="0" fontId="3" fillId="0" borderId="86" xfId="0" applyFont="1" applyFill="1" applyBorder="1" applyAlignment="1">
      <alignment horizontal="center" vertical="center"/>
    </xf>
    <xf numFmtId="0" fontId="3" fillId="0" borderId="87" xfId="0" applyFont="1" applyFill="1" applyBorder="1" applyAlignment="1">
      <alignment vertical="center"/>
    </xf>
    <xf numFmtId="169" fontId="9" fillId="37" borderId="24" xfId="20" applyBorder="1"/>
    <xf numFmtId="169" fontId="9" fillId="37" borderId="88" xfId="20" applyBorder="1"/>
    <xf numFmtId="169" fontId="9" fillId="37" borderId="25" xfId="20" applyBorder="1"/>
    <xf numFmtId="0" fontId="3" fillId="0" borderId="90" xfId="0" applyFont="1" applyFill="1" applyBorder="1" applyAlignment="1">
      <alignment horizontal="center" vertical="center"/>
    </xf>
    <xf numFmtId="0" fontId="3" fillId="0" borderId="91" xfId="0" applyFont="1" applyFill="1" applyBorder="1" applyAlignment="1">
      <alignment vertical="center"/>
    </xf>
    <xf numFmtId="169" fontId="9" fillId="37" borderId="30" xfId="20" applyBorder="1"/>
    <xf numFmtId="0" fontId="4" fillId="0" borderId="0" xfId="0" applyFont="1" applyFill="1" applyAlignment="1">
      <alignment horizontal="center"/>
    </xf>
    <xf numFmtId="0" fontId="86" fillId="0" borderId="81" xfId="0" applyFont="1" applyFill="1" applyBorder="1" applyAlignment="1">
      <alignment horizontal="center" vertical="center" wrapText="1"/>
    </xf>
    <xf numFmtId="0" fontId="94" fillId="0" borderId="0" xfId="11" applyFont="1" applyFill="1" applyBorder="1" applyProtection="1"/>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81"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100"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1" xfId="5" applyNumberFormat="1" applyFont="1" applyFill="1" applyBorder="1" applyAlignment="1" applyProtection="1">
      <alignment horizontal="left" vertical="center"/>
      <protection locked="0"/>
    </xf>
    <xf numFmtId="0" fontId="102" fillId="0" borderId="22" xfId="9" applyFont="1" applyFill="1" applyBorder="1" applyAlignment="1" applyProtection="1">
      <alignment horizontal="left" vertical="center" wrapText="1"/>
      <protection locked="0"/>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8" xfId="20964" applyFont="1" applyFill="1" applyBorder="1" applyAlignment="1">
      <alignment vertical="center"/>
    </xf>
    <xf numFmtId="0" fontId="45" fillId="76" borderId="99" xfId="20964" applyFont="1" applyFill="1" applyBorder="1" applyAlignment="1">
      <alignment vertical="center"/>
    </xf>
    <xf numFmtId="0" fontId="45" fillId="76" borderId="96" xfId="20964" applyFont="1" applyFill="1" applyBorder="1" applyAlignment="1">
      <alignment vertical="center"/>
    </xf>
    <xf numFmtId="0" fontId="105" fillId="70" borderId="95" xfId="20964" applyFont="1" applyFill="1" applyBorder="1" applyAlignment="1">
      <alignment horizontal="center" vertical="center"/>
    </xf>
    <xf numFmtId="0" fontId="105" fillId="70" borderId="96" xfId="20964" applyFont="1" applyFill="1" applyBorder="1" applyAlignment="1">
      <alignment horizontal="left" vertical="center" wrapText="1"/>
    </xf>
    <xf numFmtId="164" fontId="105" fillId="0" borderId="97" xfId="7" applyNumberFormat="1" applyFont="1" applyFill="1" applyBorder="1" applyAlignment="1" applyProtection="1">
      <alignment horizontal="right" vertical="center"/>
      <protection locked="0"/>
    </xf>
    <xf numFmtId="0" fontId="104" fillId="77" borderId="97" xfId="20964" applyFont="1" applyFill="1" applyBorder="1" applyAlignment="1">
      <alignment horizontal="center" vertical="center"/>
    </xf>
    <xf numFmtId="0" fontId="104" fillId="77" borderId="99" xfId="20964" applyFont="1" applyFill="1" applyBorder="1" applyAlignment="1">
      <alignment vertical="top" wrapText="1"/>
    </xf>
    <xf numFmtId="164" fontId="45" fillId="76" borderId="96" xfId="7" applyNumberFormat="1" applyFont="1" applyFill="1" applyBorder="1" applyAlignment="1">
      <alignment horizontal="right" vertical="center"/>
    </xf>
    <xf numFmtId="0" fontId="106" fillId="70" borderId="95" xfId="20964" applyFont="1" applyFill="1" applyBorder="1" applyAlignment="1">
      <alignment horizontal="center" vertical="center"/>
    </xf>
    <xf numFmtId="0" fontId="105" fillId="70" borderId="99" xfId="20964" applyFont="1" applyFill="1" applyBorder="1" applyAlignment="1">
      <alignment vertical="center" wrapText="1"/>
    </xf>
    <xf numFmtId="0" fontId="105" fillId="70" borderId="96" xfId="20964" applyFont="1" applyFill="1" applyBorder="1" applyAlignment="1">
      <alignment horizontal="left" vertical="center"/>
    </xf>
    <xf numFmtId="0" fontId="106" fillId="3" borderId="95" xfId="20964" applyFont="1" applyFill="1" applyBorder="1" applyAlignment="1">
      <alignment horizontal="center" vertical="center"/>
    </xf>
    <xf numFmtId="0" fontId="105" fillId="3" borderId="96" xfId="20964" applyFont="1" applyFill="1" applyBorder="1" applyAlignment="1">
      <alignment horizontal="left" vertical="center"/>
    </xf>
    <xf numFmtId="0" fontId="106" fillId="0" borderId="95" xfId="20964" applyFont="1" applyFill="1" applyBorder="1" applyAlignment="1">
      <alignment horizontal="center" vertical="center"/>
    </xf>
    <xf numFmtId="0" fontId="105" fillId="0" borderId="96" xfId="20964" applyFont="1" applyFill="1" applyBorder="1" applyAlignment="1">
      <alignment horizontal="left" vertical="center"/>
    </xf>
    <xf numFmtId="0" fontId="107" fillId="77" borderId="97" xfId="20964" applyFont="1" applyFill="1" applyBorder="1" applyAlignment="1">
      <alignment horizontal="center" vertical="center"/>
    </xf>
    <xf numFmtId="0" fontId="104" fillId="77" borderId="99" xfId="20964" applyFont="1" applyFill="1" applyBorder="1" applyAlignment="1">
      <alignment vertical="center"/>
    </xf>
    <xf numFmtId="164" fontId="105" fillId="77" borderId="97" xfId="7" applyNumberFormat="1" applyFont="1" applyFill="1" applyBorder="1" applyAlignment="1" applyProtection="1">
      <alignment horizontal="right" vertical="center"/>
      <protection locked="0"/>
    </xf>
    <xf numFmtId="0" fontId="104" fillId="76" borderId="98" xfId="20964" applyFont="1" applyFill="1" applyBorder="1" applyAlignment="1">
      <alignment vertical="center"/>
    </xf>
    <xf numFmtId="0" fontId="104" fillId="76" borderId="99" xfId="20964" applyFont="1" applyFill="1" applyBorder="1" applyAlignment="1">
      <alignment vertical="center"/>
    </xf>
    <xf numFmtId="164" fontId="104" fillId="76" borderId="96" xfId="7" applyNumberFormat="1" applyFont="1" applyFill="1" applyBorder="1" applyAlignment="1">
      <alignment horizontal="right" vertical="center"/>
    </xf>
    <xf numFmtId="0" fontId="109" fillId="3" borderId="95" xfId="20964" applyFont="1" applyFill="1" applyBorder="1" applyAlignment="1">
      <alignment horizontal="center" vertical="center"/>
    </xf>
    <xf numFmtId="0" fontId="110" fillId="77" borderId="97" xfId="20964" applyFont="1" applyFill="1" applyBorder="1" applyAlignment="1">
      <alignment horizontal="center" vertical="center"/>
    </xf>
    <xf numFmtId="0" fontId="45" fillId="77" borderId="99" xfId="20964" applyFont="1" applyFill="1" applyBorder="1" applyAlignment="1">
      <alignment vertical="center"/>
    </xf>
    <xf numFmtId="0" fontId="109" fillId="70" borderId="95" xfId="20964" applyFont="1" applyFill="1" applyBorder="1" applyAlignment="1">
      <alignment horizontal="center" vertical="center"/>
    </xf>
    <xf numFmtId="164" fontId="105" fillId="3" borderId="97" xfId="7" applyNumberFormat="1" applyFont="1" applyFill="1" applyBorder="1" applyAlignment="1" applyProtection="1">
      <alignment horizontal="right" vertical="center"/>
      <protection locked="0"/>
    </xf>
    <xf numFmtId="0" fontId="110" fillId="3" borderId="97" xfId="20964" applyFont="1" applyFill="1" applyBorder="1" applyAlignment="1">
      <alignment horizontal="center" vertical="center"/>
    </xf>
    <xf numFmtId="0" fontId="45" fillId="3" borderId="99" xfId="20964" applyFont="1" applyFill="1" applyBorder="1" applyAlignment="1">
      <alignment vertical="center"/>
    </xf>
    <xf numFmtId="0" fontId="106"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0" fillId="0" borderId="97" xfId="0" applyFont="1" applyFill="1" applyBorder="1" applyAlignment="1">
      <alignment horizontal="left" vertical="center" wrapText="1"/>
    </xf>
    <xf numFmtId="10" fontId="96"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0"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2"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4" fillId="36" borderId="82" xfId="0" applyFont="1" applyFill="1" applyBorder="1" applyAlignment="1">
      <alignment vertical="center" wrapText="1"/>
    </xf>
    <xf numFmtId="0" fontId="4" fillId="36" borderId="96" xfId="0" applyFont="1" applyFill="1" applyBorder="1" applyAlignment="1">
      <alignment vertical="center" wrapText="1"/>
    </xf>
    <xf numFmtId="0" fontId="4" fillId="36" borderId="69"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84" fillId="0" borderId="97" xfId="0" applyFont="1" applyFill="1" applyBorder="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4"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5" xfId="0" applyFont="1" applyFill="1" applyBorder="1" applyAlignment="1">
      <alignment horizontal="center" wrapText="1"/>
    </xf>
    <xf numFmtId="0" fontId="3" fillId="0" borderId="97" xfId="0" applyFont="1" applyFill="1" applyBorder="1" applyAlignment="1">
      <alignment horizontal="center"/>
    </xf>
    <xf numFmtId="0" fontId="3" fillId="0" borderId="97" xfId="0" applyFont="1" applyBorder="1" applyAlignment="1">
      <alignment horizontal="center"/>
    </xf>
    <xf numFmtId="0" fontId="3" fillId="3" borderId="63"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4" fontId="3" fillId="0" borderId="97" xfId="7" applyNumberFormat="1" applyFont="1" applyBorder="1"/>
    <xf numFmtId="164" fontId="3" fillId="0" borderId="81" xfId="7" applyNumberFormat="1" applyFont="1" applyBorder="1"/>
    <xf numFmtId="0" fontId="99" fillId="0" borderId="97" xfId="0" applyFont="1" applyBorder="1" applyAlignment="1">
      <alignment horizontal="left" wrapText="1" indent="2"/>
    </xf>
    <xf numFmtId="169" fontId="9" fillId="37" borderId="97" xfId="20" applyBorder="1"/>
    <xf numFmtId="164"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4" fontId="4" fillId="0" borderId="81" xfId="7" applyNumberFormat="1" applyFont="1" applyBorder="1"/>
    <xf numFmtId="0" fontId="111" fillId="3" borderId="63"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4" xfId="7" applyNumberFormat="1" applyFont="1" applyFill="1" applyBorder="1"/>
    <xf numFmtId="164" fontId="3" fillId="0" borderId="97" xfId="7" applyNumberFormat="1" applyFont="1" applyFill="1" applyBorder="1"/>
    <xf numFmtId="164" fontId="3" fillId="0" borderId="97" xfId="7" applyNumberFormat="1" applyFont="1" applyFill="1" applyBorder="1" applyAlignment="1">
      <alignment vertical="center"/>
    </xf>
    <xf numFmtId="0" fontId="99" fillId="0" borderId="9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6" xfId="0" applyFont="1" applyFill="1" applyBorder="1" applyAlignment="1">
      <alignment horizontal="right" vertical="center"/>
    </xf>
    <xf numFmtId="0" fontId="2" fillId="0" borderId="95"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8" xfId="0" applyNumberFormat="1" applyFont="1" applyFill="1" applyBorder="1" applyAlignment="1">
      <alignment horizontal="left" vertical="center" wrapText="1"/>
    </xf>
    <xf numFmtId="0" fontId="6" fillId="0" borderId="112" xfId="17" applyBorder="1" applyAlignment="1" applyProtection="1"/>
    <xf numFmtId="0" fontId="113" fillId="0" borderId="0" xfId="0" applyFont="1" applyFill="1" applyAlignment="1">
      <alignment horizontal="left" vertical="top" wrapText="1"/>
    </xf>
    <xf numFmtId="193" fontId="2" fillId="3" borderId="81" xfId="2" applyNumberFormat="1" applyFont="1" applyFill="1" applyBorder="1" applyAlignment="1" applyProtection="1">
      <alignment vertical="top" wrapText="1"/>
      <protection locked="0"/>
    </xf>
    <xf numFmtId="0" fontId="126" fillId="3" borderId="118" xfId="0" applyFont="1" applyFill="1" applyBorder="1" applyAlignment="1">
      <alignment horizontal="left" vertical="center" wrapText="1"/>
    </xf>
    <xf numFmtId="0" fontId="124" fillId="0" borderId="118" xfId="0" applyFont="1" applyFill="1" applyBorder="1" applyAlignment="1">
      <alignment horizontal="left" vertical="center" wrapText="1"/>
    </xf>
    <xf numFmtId="0" fontId="126" fillId="0" borderId="118" xfId="0" applyFont="1" applyFill="1" applyBorder="1" applyAlignment="1">
      <alignment horizontal="left" vertical="center" wrapText="1"/>
    </xf>
    <xf numFmtId="0" fontId="126" fillId="0" borderId="118" xfId="0" applyFont="1" applyFill="1" applyBorder="1" applyAlignment="1">
      <alignment vertical="center" wrapText="1"/>
    </xf>
    <xf numFmtId="0" fontId="127" fillId="0" borderId="118" xfId="0" applyFont="1" applyFill="1" applyBorder="1" applyAlignment="1">
      <alignment horizontal="left" vertical="center" wrapText="1" indent="1"/>
    </xf>
    <xf numFmtId="0" fontId="127" fillId="3" borderId="118" xfId="0" applyFont="1" applyFill="1" applyBorder="1" applyAlignment="1">
      <alignment horizontal="left" vertical="center" wrapText="1" indent="1"/>
    </xf>
    <xf numFmtId="0" fontId="126" fillId="3" borderId="119" xfId="0" applyFont="1" applyFill="1" applyBorder="1" applyAlignment="1">
      <alignment horizontal="left" vertical="center" wrapText="1"/>
    </xf>
    <xf numFmtId="0" fontId="126" fillId="3" borderId="120" xfId="0" applyFont="1" applyFill="1" applyBorder="1" applyAlignment="1">
      <alignment horizontal="left" vertical="center" wrapText="1"/>
    </xf>
    <xf numFmtId="0" fontId="0" fillId="0" borderId="121" xfId="0" applyBorder="1" applyAlignment="1">
      <alignment horizontal="center"/>
    </xf>
    <xf numFmtId="0" fontId="125" fillId="3" borderId="121" xfId="20966" applyFont="1" applyFill="1" applyBorder="1" applyAlignment="1">
      <alignment horizontal="left" vertical="center" wrapText="1" indent="1"/>
    </xf>
    <xf numFmtId="0" fontId="125" fillId="3" borderId="118" xfId="0" applyFont="1" applyFill="1" applyBorder="1" applyAlignment="1">
      <alignment horizontal="left" vertical="center" wrapText="1" indent="1"/>
    </xf>
    <xf numFmtId="0" fontId="125" fillId="0" borderId="121" xfId="20966" applyFont="1" applyFill="1" applyBorder="1" applyAlignment="1">
      <alignment horizontal="left" vertical="center" wrapText="1" indent="1"/>
    </xf>
    <xf numFmtId="0" fontId="126" fillId="0" borderId="121" xfId="20966" applyFont="1" applyFill="1" applyBorder="1" applyAlignment="1">
      <alignment horizontal="left" vertical="center" wrapText="1"/>
    </xf>
    <xf numFmtId="0" fontId="126" fillId="0" borderId="121" xfId="0" applyFont="1" applyFill="1" applyBorder="1" applyAlignment="1">
      <alignment vertical="center" wrapText="1"/>
    </xf>
    <xf numFmtId="0" fontId="128" fillId="0" borderId="121" xfId="20966" applyFont="1" applyFill="1" applyBorder="1" applyAlignment="1">
      <alignment horizontal="center" vertical="center" wrapText="1"/>
    </xf>
    <xf numFmtId="0" fontId="126" fillId="3" borderId="121" xfId="20966" applyFont="1" applyFill="1" applyBorder="1" applyAlignment="1">
      <alignment horizontal="left" vertical="center" wrapText="1"/>
    </xf>
    <xf numFmtId="0" fontId="126" fillId="0" borderId="12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Fill="1" applyBorder="1" applyAlignment="1" applyProtection="1">
      <alignment horizontal="center" vertical="center" wrapText="1"/>
    </xf>
    <xf numFmtId="0" fontId="0" fillId="0" borderId="121" xfId="0" applyBorder="1" applyAlignment="1">
      <alignment horizontal="center" vertical="center"/>
    </xf>
    <xf numFmtId="0" fontId="126" fillId="0" borderId="126" xfId="0" applyFont="1" applyFill="1" applyBorder="1" applyAlignment="1">
      <alignment horizontal="justify" vertical="center" wrapText="1"/>
    </xf>
    <xf numFmtId="0" fontId="125" fillId="0" borderId="118" xfId="0" applyFont="1" applyFill="1" applyBorder="1" applyAlignment="1">
      <alignment horizontal="left" vertical="center" wrapText="1" indent="1"/>
    </xf>
    <xf numFmtId="0" fontId="125" fillId="0" borderId="119" xfId="0" applyFont="1" applyFill="1" applyBorder="1" applyAlignment="1">
      <alignment horizontal="left" vertical="center" wrapText="1" indent="1"/>
    </xf>
    <xf numFmtId="0" fontId="126" fillId="0" borderId="118" xfId="0" applyFont="1" applyFill="1" applyBorder="1" applyAlignment="1">
      <alignment horizontal="justify" vertical="center" wrapText="1"/>
    </xf>
    <xf numFmtId="0" fontId="124" fillId="0" borderId="118" xfId="0" applyFont="1" applyFill="1" applyBorder="1" applyAlignment="1">
      <alignment horizontal="justify" vertical="center" wrapText="1"/>
    </xf>
    <xf numFmtId="0" fontId="126" fillId="3" borderId="118" xfId="0" applyFont="1" applyFill="1" applyBorder="1" applyAlignment="1">
      <alignment horizontal="justify" vertical="center" wrapText="1"/>
    </xf>
    <xf numFmtId="0" fontId="126" fillId="0" borderId="119" xfId="0" applyFont="1" applyFill="1" applyBorder="1" applyAlignment="1">
      <alignment horizontal="justify" vertical="center" wrapText="1"/>
    </xf>
    <xf numFmtId="0" fontId="126" fillId="0" borderId="120" xfId="0" applyFont="1" applyFill="1" applyBorder="1" applyAlignment="1">
      <alignment horizontal="justify" vertical="center" wrapText="1"/>
    </xf>
    <xf numFmtId="0" fontId="124" fillId="0" borderId="118" xfId="0" applyFont="1" applyFill="1" applyBorder="1" applyAlignment="1">
      <alignment vertical="center" wrapText="1"/>
    </xf>
    <xf numFmtId="0" fontId="125" fillId="0" borderId="118" xfId="0" applyFont="1" applyFill="1" applyBorder="1" applyAlignment="1">
      <alignment horizontal="left" vertical="center" wrapText="1"/>
    </xf>
    <xf numFmtId="0" fontId="126" fillId="0" borderId="127" xfId="0" applyFont="1" applyFill="1" applyBorder="1" applyAlignment="1">
      <alignment vertical="center" wrapText="1"/>
    </xf>
    <xf numFmtId="0" fontId="126" fillId="3" borderId="118" xfId="0" applyFont="1" applyFill="1" applyBorder="1" applyAlignment="1">
      <alignment vertical="center" wrapText="1"/>
    </xf>
    <xf numFmtId="193" fontId="94" fillId="0" borderId="0" xfId="0" applyNumberFormat="1" applyFont="1" applyFill="1" applyBorder="1" applyAlignment="1" applyProtection="1">
      <alignment horizontal="right"/>
    </xf>
    <xf numFmtId="43" fontId="84" fillId="0" borderId="121" xfId="7" applyFont="1" applyFill="1" applyBorder="1" applyAlignment="1">
      <alignment horizontal="center" vertical="center"/>
    </xf>
    <xf numFmtId="0" fontId="125" fillId="3" borderId="119" xfId="0" applyFont="1" applyFill="1" applyBorder="1" applyAlignment="1">
      <alignment horizontal="left" vertical="center" wrapText="1" indent="1"/>
    </xf>
    <xf numFmtId="0" fontId="125" fillId="3" borderId="121" xfId="0" applyFont="1" applyFill="1" applyBorder="1" applyAlignment="1">
      <alignment horizontal="left" vertical="center" wrapText="1" indent="1"/>
    </xf>
    <xf numFmtId="0" fontId="126" fillId="0" borderId="121" xfId="0" applyFont="1" applyBorder="1" applyAlignment="1">
      <alignment horizontal="left" vertical="center" wrapText="1"/>
    </xf>
    <xf numFmtId="0" fontId="84" fillId="0" borderId="121" xfId="0" applyFont="1" applyBorder="1"/>
    <xf numFmtId="0" fontId="125" fillId="0" borderId="121" xfId="0" applyFont="1" applyBorder="1" applyAlignment="1">
      <alignment horizontal="left" vertical="center" wrapText="1" indent="1"/>
    </xf>
    <xf numFmtId="0" fontId="126" fillId="3" borderId="121" xfId="0" applyFont="1" applyFill="1" applyBorder="1" applyAlignment="1">
      <alignment horizontal="left" vertical="center" wrapText="1"/>
    </xf>
    <xf numFmtId="0" fontId="127" fillId="3" borderId="121" xfId="0" applyFont="1" applyFill="1" applyBorder="1" applyAlignment="1">
      <alignment horizontal="left" vertical="center" wrapText="1" indent="1"/>
    </xf>
    <xf numFmtId="0" fontId="129" fillId="0" borderId="121" xfId="0" applyFont="1" applyBorder="1" applyAlignment="1">
      <alignment horizontal="justify"/>
    </xf>
    <xf numFmtId="167" fontId="86" fillId="0" borderId="56" xfId="0" applyNumberFormat="1" applyFont="1" applyFill="1" applyBorder="1" applyAlignment="1">
      <alignment horizontal="center"/>
    </xf>
    <xf numFmtId="167" fontId="84" fillId="0" borderId="58" xfId="0" applyNumberFormat="1" applyFont="1" applyFill="1" applyBorder="1" applyAlignment="1">
      <alignment horizontal="center"/>
    </xf>
    <xf numFmtId="167" fontId="87" fillId="0" borderId="58" xfId="0" applyNumberFormat="1" applyFont="1" applyFill="1" applyBorder="1" applyAlignment="1">
      <alignment horizontal="center"/>
    </xf>
    <xf numFmtId="167" fontId="46" fillId="0" borderId="58" xfId="0" applyNumberFormat="1" applyFont="1" applyFill="1" applyBorder="1" applyAlignment="1">
      <alignment horizontal="center"/>
    </xf>
    <xf numFmtId="167" fontId="84" fillId="0" borderId="61" xfId="0" applyNumberFormat="1" applyFont="1" applyFill="1" applyBorder="1" applyAlignment="1">
      <alignment horizontal="center"/>
    </xf>
    <xf numFmtId="193" fontId="84" fillId="0" borderId="11" xfId="0" applyNumberFormat="1" applyFont="1" applyBorder="1" applyAlignment="1">
      <alignment horizontal="center" vertical="center"/>
    </xf>
    <xf numFmtId="193" fontId="86" fillId="0" borderId="13" xfId="0" applyNumberFormat="1" applyFont="1" applyFill="1" applyBorder="1" applyAlignment="1">
      <alignment horizontal="center" vertical="center"/>
    </xf>
    <xf numFmtId="0" fontId="125" fillId="0" borderId="121" xfId="0" applyFont="1" applyFill="1" applyBorder="1" applyAlignment="1">
      <alignment horizontal="left" vertical="center" wrapText="1" indent="1"/>
    </xf>
    <xf numFmtId="0" fontId="113" fillId="0" borderId="0" xfId="0" applyFont="1"/>
    <xf numFmtId="0" fontId="116" fillId="0" borderId="121" xfId="0" applyFont="1" applyBorder="1"/>
    <xf numFmtId="49" fontId="118" fillId="0" borderId="121" xfId="5" applyNumberFormat="1" applyFont="1" applyFill="1" applyBorder="1" applyAlignment="1" applyProtection="1">
      <alignment horizontal="right" vertical="center"/>
      <protection locked="0"/>
    </xf>
    <xf numFmtId="0" fontId="117" fillId="3" borderId="121" xfId="13" applyFont="1" applyFill="1" applyBorder="1" applyAlignment="1" applyProtection="1">
      <alignment horizontal="left" vertical="center" wrapText="1"/>
      <protection locked="0"/>
    </xf>
    <xf numFmtId="49" fontId="117" fillId="3" borderId="121" xfId="5" applyNumberFormat="1" applyFont="1" applyFill="1" applyBorder="1" applyAlignment="1" applyProtection="1">
      <alignment horizontal="right" vertical="center"/>
      <protection locked="0"/>
    </xf>
    <xf numFmtId="0" fontId="117" fillId="0" borderId="121" xfId="13" applyFont="1" applyFill="1" applyBorder="1" applyAlignment="1" applyProtection="1">
      <alignment horizontal="left" vertical="center" wrapText="1"/>
      <protection locked="0"/>
    </xf>
    <xf numFmtId="49" fontId="117" fillId="0" borderId="121" xfId="5" applyNumberFormat="1" applyFont="1" applyFill="1" applyBorder="1" applyAlignment="1" applyProtection="1">
      <alignment horizontal="right" vertical="center"/>
      <protection locked="0"/>
    </xf>
    <xf numFmtId="0" fontId="119" fillId="0" borderId="121" xfId="13" applyFont="1" applyFill="1" applyBorder="1" applyAlignment="1" applyProtection="1">
      <alignment horizontal="left" vertical="center" wrapText="1"/>
      <protection locked="0"/>
    </xf>
    <xf numFmtId="0" fontId="116" fillId="0" borderId="121" xfId="0" applyFont="1" applyFill="1" applyBorder="1" applyAlignment="1">
      <alignment horizontal="center" vertical="center" wrapText="1"/>
    </xf>
    <xf numFmtId="0" fontId="113" fillId="0" borderId="0" xfId="0" applyFont="1" applyAlignment="1">
      <alignment wrapText="1"/>
    </xf>
    <xf numFmtId="0" fontId="112" fillId="0" borderId="121" xfId="0" applyFont="1" applyBorder="1"/>
    <xf numFmtId="0" fontId="112" fillId="0" borderId="121" xfId="0" applyFont="1" applyFill="1" applyBorder="1"/>
    <xf numFmtId="0" fontId="112" fillId="0" borderId="121" xfId="0" applyFont="1" applyBorder="1" applyAlignment="1">
      <alignment horizontal="left" indent="8"/>
    </xf>
    <xf numFmtId="0" fontId="112" fillId="0" borderId="121" xfId="0" applyFont="1" applyBorder="1" applyAlignment="1">
      <alignment wrapText="1"/>
    </xf>
    <xf numFmtId="0" fontId="116" fillId="0" borderId="0" xfId="0" applyFont="1"/>
    <xf numFmtId="0" fontId="115" fillId="0" borderId="121" xfId="0" applyFont="1" applyBorder="1"/>
    <xf numFmtId="49" fontId="118" fillId="0" borderId="121" xfId="5" applyNumberFormat="1" applyFont="1" applyFill="1" applyBorder="1" applyAlignment="1" applyProtection="1">
      <alignment horizontal="right" vertical="center" wrapText="1"/>
      <protection locked="0"/>
    </xf>
    <xf numFmtId="49" fontId="117" fillId="3" borderId="121" xfId="5" applyNumberFormat="1" applyFont="1" applyFill="1" applyBorder="1" applyAlignment="1" applyProtection="1">
      <alignment horizontal="right" vertical="center" wrapText="1"/>
      <protection locked="0"/>
    </xf>
    <xf numFmtId="49" fontId="117" fillId="0" borderId="121" xfId="5" applyNumberFormat="1" applyFont="1" applyFill="1" applyBorder="1" applyAlignment="1" applyProtection="1">
      <alignment horizontal="right" vertical="center" wrapText="1"/>
      <protection locked="0"/>
    </xf>
    <xf numFmtId="0" fontId="112" fillId="0" borderId="121" xfId="0" applyFont="1" applyBorder="1" applyAlignment="1">
      <alignment horizontal="center" vertical="center" wrapText="1"/>
    </xf>
    <xf numFmtId="0" fontId="112" fillId="0" borderId="125" xfId="0" applyFont="1" applyFill="1" applyBorder="1" applyAlignment="1">
      <alignment horizontal="center" vertical="center" wrapText="1"/>
    </xf>
    <xf numFmtId="0" fontId="112" fillId="0" borderId="121"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1" xfId="0" applyFont="1" applyFill="1" applyBorder="1"/>
    <xf numFmtId="0" fontId="112" fillId="0" borderId="121" xfId="0" applyNumberFormat="1" applyFont="1" applyFill="1" applyBorder="1" applyAlignment="1">
      <alignment horizontal="left" vertical="center" wrapText="1"/>
    </xf>
    <xf numFmtId="0" fontId="115" fillId="0" borderId="121" xfId="0" applyFont="1" applyFill="1" applyBorder="1" applyAlignment="1">
      <alignment horizontal="left" wrapText="1" indent="1"/>
    </xf>
    <xf numFmtId="0" fontId="115" fillId="0" borderId="121" xfId="0" applyFont="1" applyFill="1" applyBorder="1" applyAlignment="1">
      <alignment horizontal="left" vertical="center" indent="1"/>
    </xf>
    <xf numFmtId="0" fontId="112" fillId="0" borderId="121" xfId="0" applyFont="1" applyFill="1" applyBorder="1" applyAlignment="1">
      <alignment horizontal="left" wrapText="1" indent="1"/>
    </xf>
    <xf numFmtId="0" fontId="112" fillId="0" borderId="121" xfId="0" applyFont="1" applyFill="1" applyBorder="1" applyAlignment="1">
      <alignment horizontal="left" indent="1"/>
    </xf>
    <xf numFmtId="0" fontId="112" fillId="0" borderId="121" xfId="0" applyFont="1" applyFill="1" applyBorder="1" applyAlignment="1">
      <alignment horizontal="left" wrapText="1" indent="4"/>
    </xf>
    <xf numFmtId="0" fontId="112" fillId="0" borderId="121" xfId="0" applyNumberFormat="1" applyFont="1" applyFill="1" applyBorder="1" applyAlignment="1">
      <alignment horizontal="left" indent="3"/>
    </xf>
    <xf numFmtId="0" fontId="115" fillId="0" borderId="121" xfId="0" applyFont="1" applyFill="1" applyBorder="1" applyAlignment="1">
      <alignment horizontal="left" indent="1"/>
    </xf>
    <xf numFmtId="0" fontId="113" fillId="78" borderId="121" xfId="0" applyFont="1" applyFill="1" applyBorder="1"/>
    <xf numFmtId="0" fontId="116" fillId="0" borderId="7" xfId="0" applyFont="1" applyBorder="1"/>
    <xf numFmtId="0" fontId="116" fillId="0" borderId="121" xfId="0" applyFont="1" applyFill="1" applyBorder="1"/>
    <xf numFmtId="0" fontId="113" fillId="0" borderId="121" xfId="0" applyFont="1" applyFill="1" applyBorder="1" applyAlignment="1">
      <alignment horizontal="left" wrapText="1" indent="2"/>
    </xf>
    <xf numFmtId="0" fontId="113" fillId="0" borderId="121" xfId="0" applyFont="1" applyFill="1" applyBorder="1"/>
    <xf numFmtId="0" fontId="113" fillId="0" borderId="121" xfId="0" applyFont="1" applyFill="1" applyBorder="1" applyAlignment="1">
      <alignment horizontal="left" wrapText="1"/>
    </xf>
    <xf numFmtId="0" fontId="112" fillId="0" borderId="0" xfId="0" applyFont="1" applyBorder="1"/>
    <xf numFmtId="0" fontId="115" fillId="76" borderId="121" xfId="0" applyFont="1" applyFill="1" applyBorder="1"/>
    <xf numFmtId="0" fontId="112" fillId="0" borderId="121" xfId="0" applyFont="1" applyBorder="1" applyAlignment="1">
      <alignment horizontal="left" indent="1"/>
    </xf>
    <xf numFmtId="0" fontId="112" fillId="0" borderId="121" xfId="0" applyFont="1" applyBorder="1" applyAlignment="1">
      <alignment horizontal="center"/>
    </xf>
    <xf numFmtId="0" fontId="112" fillId="0" borderId="0" xfId="0" applyFont="1" applyBorder="1" applyAlignment="1">
      <alignment horizontal="center" vertical="center"/>
    </xf>
    <xf numFmtId="0" fontId="112" fillId="0" borderId="121"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4"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05" xfId="0" applyFont="1" applyFill="1" applyBorder="1" applyAlignment="1">
      <alignment horizontal="center" vertical="center" wrapText="1"/>
    </xf>
    <xf numFmtId="0" fontId="112" fillId="0" borderId="0" xfId="0" applyFont="1" applyFill="1"/>
    <xf numFmtId="0" fontId="112" fillId="0" borderId="23" xfId="0" applyFont="1" applyFill="1" applyBorder="1"/>
    <xf numFmtId="0" fontId="112" fillId="0" borderId="22" xfId="0" applyFont="1" applyFill="1" applyBorder="1"/>
    <xf numFmtId="0" fontId="112" fillId="0" borderId="25" xfId="0" applyFont="1" applyFill="1" applyBorder="1"/>
    <xf numFmtId="49" fontId="112" fillId="0" borderId="21" xfId="0" applyNumberFormat="1" applyFont="1" applyFill="1" applyBorder="1" applyAlignment="1">
      <alignment horizontal="left" wrapText="1" indent="1"/>
    </xf>
    <xf numFmtId="49" fontId="112" fillId="0" borderId="23" xfId="0" applyNumberFormat="1" applyFont="1" applyFill="1" applyBorder="1" applyAlignment="1">
      <alignment horizontal="left" wrapText="1" indent="1"/>
    </xf>
    <xf numFmtId="0" fontId="112" fillId="0" borderId="21" xfId="0" applyNumberFormat="1" applyFont="1" applyFill="1" applyBorder="1" applyAlignment="1">
      <alignment horizontal="left" wrapText="1" indent="1"/>
    </xf>
    <xf numFmtId="0" fontId="112" fillId="0" borderId="81" xfId="0" applyFont="1" applyFill="1" applyBorder="1"/>
    <xf numFmtId="0" fontId="112" fillId="0" borderId="124" xfId="0" applyFont="1" applyFill="1" applyBorder="1"/>
    <xf numFmtId="49" fontId="112" fillId="0" borderId="18" xfId="0" applyNumberFormat="1" applyFont="1" applyFill="1" applyBorder="1" applyAlignment="1">
      <alignment horizontal="left" wrapText="1" indent="1"/>
    </xf>
    <xf numFmtId="49" fontId="112" fillId="0" borderId="81" xfId="0" applyNumberFormat="1" applyFont="1" applyFill="1" applyBorder="1" applyAlignment="1">
      <alignment horizontal="left" wrapText="1" indent="1"/>
    </xf>
    <xf numFmtId="0" fontId="112" fillId="0" borderId="18" xfId="0" applyNumberFormat="1" applyFont="1" applyFill="1" applyBorder="1" applyAlignment="1">
      <alignment horizontal="left" wrapText="1" indent="1"/>
    </xf>
    <xf numFmtId="49" fontId="112" fillId="0" borderId="18" xfId="0" applyNumberFormat="1" applyFont="1" applyFill="1" applyBorder="1" applyAlignment="1">
      <alignment horizontal="left" wrapText="1" indent="3"/>
    </xf>
    <xf numFmtId="49" fontId="112" fillId="0" borderId="81" xfId="0" applyNumberFormat="1" applyFont="1" applyFill="1" applyBorder="1" applyAlignment="1">
      <alignment horizontal="left" wrapText="1" indent="3"/>
    </xf>
    <xf numFmtId="49" fontId="112" fillId="0" borderId="81" xfId="0" applyNumberFormat="1" applyFont="1" applyFill="1" applyBorder="1" applyAlignment="1">
      <alignment horizontal="left" wrapText="1" indent="2"/>
    </xf>
    <xf numFmtId="49" fontId="112" fillId="0" borderId="18" xfId="0" applyNumberFormat="1" applyFont="1" applyBorder="1" applyAlignment="1">
      <alignment horizontal="left" wrapText="1" indent="2"/>
    </xf>
    <xf numFmtId="49" fontId="112" fillId="0" borderId="81" xfId="0" applyNumberFormat="1" applyFont="1" applyFill="1" applyBorder="1" applyAlignment="1">
      <alignment horizontal="left" vertical="top" wrapText="1" indent="2"/>
    </xf>
    <xf numFmtId="0" fontId="112" fillId="79" borderId="81" xfId="0" applyFont="1" applyFill="1" applyBorder="1"/>
    <xf numFmtId="0" fontId="112" fillId="79" borderId="121" xfId="0" applyFont="1" applyFill="1" applyBorder="1"/>
    <xf numFmtId="0" fontId="112" fillId="79" borderId="124" xfId="0" applyFont="1" applyFill="1" applyBorder="1"/>
    <xf numFmtId="49" fontId="112" fillId="0" borderId="81" xfId="0" applyNumberFormat="1" applyFont="1" applyFill="1" applyBorder="1" applyAlignment="1">
      <alignment horizontal="left" indent="1"/>
    </xf>
    <xf numFmtId="0" fontId="112" fillId="0" borderId="18" xfId="0" applyNumberFormat="1" applyFont="1" applyBorder="1" applyAlignment="1">
      <alignment horizontal="left" indent="1"/>
    </xf>
    <xf numFmtId="0" fontId="112" fillId="0" borderId="81" xfId="0" applyFont="1" applyBorder="1"/>
    <xf numFmtId="0" fontId="112" fillId="0" borderId="124" xfId="0" applyFont="1" applyBorder="1"/>
    <xf numFmtId="49" fontId="112" fillId="0" borderId="18" xfId="0" applyNumberFormat="1" applyFont="1" applyBorder="1" applyAlignment="1">
      <alignment horizontal="left" indent="1"/>
    </xf>
    <xf numFmtId="49" fontId="112" fillId="0" borderId="81" xfId="0" applyNumberFormat="1" applyFont="1" applyFill="1" applyBorder="1" applyAlignment="1">
      <alignment horizontal="left" indent="3"/>
    </xf>
    <xf numFmtId="49" fontId="112" fillId="0" borderId="18" xfId="0" applyNumberFormat="1" applyFont="1" applyBorder="1" applyAlignment="1">
      <alignment horizontal="left" indent="3"/>
    </xf>
    <xf numFmtId="0" fontId="112" fillId="0" borderId="18" xfId="0" applyFont="1" applyBorder="1" applyAlignment="1">
      <alignment horizontal="left" indent="2"/>
    </xf>
    <xf numFmtId="0" fontId="112" fillId="0" borderId="81" xfId="0" applyFont="1" applyBorder="1" applyAlignment="1">
      <alignment horizontal="left" indent="2"/>
    </xf>
    <xf numFmtId="0" fontId="112" fillId="0" borderId="18" xfId="0" applyFont="1" applyBorder="1" applyAlignment="1">
      <alignment horizontal="left" indent="1"/>
    </xf>
    <xf numFmtId="0" fontId="112" fillId="0" borderId="81" xfId="0" applyFont="1" applyBorder="1" applyAlignment="1">
      <alignment horizontal="left" indent="1"/>
    </xf>
    <xf numFmtId="0" fontId="115" fillId="0" borderId="64" xfId="0" applyFont="1" applyBorder="1"/>
    <xf numFmtId="0" fontId="112" fillId="0" borderId="67" xfId="0" applyFont="1" applyBorder="1"/>
    <xf numFmtId="0" fontId="112" fillId="0" borderId="75" xfId="0" applyFont="1" applyBorder="1" applyAlignment="1">
      <alignment horizontal="center" vertical="center" wrapText="1"/>
    </xf>
    <xf numFmtId="0" fontId="112" fillId="0" borderId="81"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1"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7" fillId="0" borderId="121" xfId="0" applyFont="1" applyBorder="1"/>
    <xf numFmtId="0" fontId="115" fillId="0" borderId="121"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6" xfId="0" applyNumberFormat="1" applyFont="1" applyFill="1" applyBorder="1" applyAlignment="1">
      <alignment horizontal="left" vertical="center" wrapText="1" indent="1" readingOrder="1"/>
    </xf>
    <xf numFmtId="0" fontId="133" fillId="0" borderId="121" xfId="0" applyFont="1" applyBorder="1" applyAlignment="1">
      <alignment horizontal="left" indent="3"/>
    </xf>
    <xf numFmtId="0" fontId="115" fillId="0" borderId="121" xfId="0" applyNumberFormat="1" applyFont="1" applyFill="1" applyBorder="1" applyAlignment="1">
      <alignment vertical="center" wrapText="1" readingOrder="1"/>
    </xf>
    <xf numFmtId="0" fontId="133" fillId="0" borderId="121" xfId="0" applyFont="1" applyFill="1" applyBorder="1" applyAlignment="1">
      <alignment horizontal="left" indent="2"/>
    </xf>
    <xf numFmtId="0" fontId="112" fillId="0" borderId="117" xfId="0" applyNumberFormat="1" applyFont="1" applyFill="1" applyBorder="1" applyAlignment="1">
      <alignment vertical="center" wrapText="1" readingOrder="1"/>
    </xf>
    <xf numFmtId="0" fontId="133" fillId="0" borderId="125" xfId="0" applyFont="1" applyBorder="1" applyAlignment="1">
      <alignment horizontal="left" indent="2"/>
    </xf>
    <xf numFmtId="0" fontId="112" fillId="0" borderId="116" xfId="0" applyNumberFormat="1" applyFont="1" applyFill="1" applyBorder="1" applyAlignment="1">
      <alignment vertical="center" wrapText="1" readingOrder="1"/>
    </xf>
    <xf numFmtId="0" fontId="133" fillId="0" borderId="121" xfId="0" applyFont="1" applyBorder="1" applyAlignment="1">
      <alignment horizontal="left" indent="2"/>
    </xf>
    <xf numFmtId="0" fontId="112" fillId="0" borderId="115" xfId="0" applyNumberFormat="1" applyFont="1" applyFill="1" applyBorder="1" applyAlignment="1">
      <alignment vertical="center" wrapText="1" readingOrder="1"/>
    </xf>
    <xf numFmtId="0" fontId="133" fillId="0" borderId="7" xfId="0" applyFont="1" applyBorder="1"/>
    <xf numFmtId="0" fontId="2" fillId="0" borderId="15" xfId="0" applyNumberFormat="1" applyFont="1" applyFill="1" applyBorder="1" applyAlignment="1">
      <alignment horizontal="left" vertical="center" wrapText="1" indent="1"/>
    </xf>
    <xf numFmtId="169" fontId="2" fillId="37" borderId="63" xfId="20" applyFont="1" applyBorder="1"/>
    <xf numFmtId="0" fontId="2" fillId="81" borderId="0" xfId="13" applyFont="1" applyFill="1" applyBorder="1" applyAlignment="1" applyProtection="1">
      <alignment wrapText="1"/>
      <protection locked="0"/>
    </xf>
    <xf numFmtId="0" fontId="45" fillId="0" borderId="0" xfId="0" applyFont="1"/>
    <xf numFmtId="179" fontId="45" fillId="0" borderId="0" xfId="0" applyNumberFormat="1" applyFont="1" applyAlignment="1">
      <alignment horizontal="left"/>
    </xf>
    <xf numFmtId="0" fontId="2" fillId="0" borderId="26" xfId="0" applyNumberFormat="1" applyFont="1" applyFill="1" applyBorder="1" applyAlignment="1">
      <alignment horizontal="left" vertical="center" wrapText="1" indent="1"/>
    </xf>
    <xf numFmtId="193" fontId="2" fillId="0" borderId="122" xfId="0" applyNumberFormat="1" applyFont="1" applyFill="1" applyBorder="1" applyAlignment="1" applyProtection="1">
      <alignment vertical="center" wrapText="1"/>
      <protection locked="0"/>
    </xf>
    <xf numFmtId="193" fontId="2" fillId="0" borderId="122" xfId="0" applyNumberFormat="1" applyFont="1" applyFill="1" applyBorder="1" applyAlignment="1" applyProtection="1">
      <alignment horizontal="right" vertical="center" wrapText="1"/>
      <protection locked="0"/>
    </xf>
    <xf numFmtId="193" fontId="45" fillId="0" borderId="122" xfId="0" applyNumberFormat="1" applyFont="1" applyFill="1" applyBorder="1" applyAlignment="1" applyProtection="1">
      <alignment horizontal="right" vertical="center" wrapText="1"/>
      <protection locked="0"/>
    </xf>
    <xf numFmtId="10" fontId="2" fillId="0" borderId="122" xfId="20962" applyNumberFormat="1" applyFont="1" applyBorder="1" applyAlignment="1" applyProtection="1">
      <alignment horizontal="right" vertical="center" wrapText="1"/>
      <protection locked="0"/>
    </xf>
    <xf numFmtId="193" fontId="2" fillId="2" borderId="122" xfId="0" applyNumberFormat="1" applyFont="1" applyFill="1" applyBorder="1" applyAlignment="1" applyProtection="1">
      <alignment vertical="center"/>
      <protection locked="0"/>
    </xf>
    <xf numFmtId="193" fontId="2" fillId="2" borderId="104" xfId="0" applyNumberFormat="1" applyFont="1" applyFill="1" applyBorder="1" applyAlignment="1" applyProtection="1">
      <alignment vertical="center"/>
      <protection locked="0"/>
    </xf>
    <xf numFmtId="10" fontId="2" fillId="2" borderId="104" xfId="20962" applyNumberFormat="1" applyFont="1" applyFill="1" applyBorder="1" applyAlignment="1" applyProtection="1">
      <alignment vertical="center"/>
      <protection locked="0"/>
    </xf>
    <xf numFmtId="10" fontId="2" fillId="2" borderId="24" xfId="20962" applyNumberFormat="1" applyFont="1" applyFill="1" applyBorder="1" applyAlignment="1" applyProtection="1">
      <alignment vertical="center"/>
      <protection locked="0"/>
    </xf>
    <xf numFmtId="10" fontId="2" fillId="2" borderId="122" xfId="20962" applyNumberFormat="1" applyFont="1" applyFill="1" applyBorder="1" applyAlignment="1" applyProtection="1">
      <alignment vertical="center"/>
      <protection locked="0"/>
    </xf>
    <xf numFmtId="164" fontId="0" fillId="0" borderId="121" xfId="7" applyNumberFormat="1" applyFont="1" applyBorder="1"/>
    <xf numFmtId="164" fontId="135" fillId="36" borderId="121" xfId="7" applyNumberFormat="1" applyFont="1" applyFill="1" applyBorder="1"/>
    <xf numFmtId="164" fontId="135" fillId="0" borderId="121" xfId="7" applyNumberFormat="1" applyFont="1" applyBorder="1"/>
    <xf numFmtId="0" fontId="134" fillId="0" borderId="121" xfId="0" applyFont="1" applyFill="1" applyBorder="1" applyAlignment="1" applyProtection="1">
      <alignment horizontal="center" vertical="center" wrapText="1"/>
    </xf>
    <xf numFmtId="0" fontId="134" fillId="0" borderId="81" xfId="0" applyFont="1" applyFill="1" applyBorder="1" applyAlignment="1" applyProtection="1">
      <alignment horizontal="center" vertical="center" wrapText="1"/>
    </xf>
    <xf numFmtId="0" fontId="0" fillId="0" borderId="18" xfId="0" applyBorder="1" applyAlignment="1">
      <alignment horizontal="center"/>
    </xf>
    <xf numFmtId="0" fontId="124" fillId="3" borderId="121" xfId="20966" applyFont="1" applyFill="1" applyBorder="1" applyAlignment="1">
      <alignment horizontal="left" vertical="center" wrapText="1"/>
    </xf>
    <xf numFmtId="164" fontId="135" fillId="36" borderId="121" xfId="7" applyNumberFormat="1" applyFont="1" applyFill="1" applyBorder="1" applyAlignment="1">
      <alignment vertical="center"/>
    </xf>
    <xf numFmtId="0" fontId="127" fillId="0" borderId="121" xfId="20966" applyFont="1" applyFill="1" applyBorder="1" applyAlignment="1">
      <alignment horizontal="left" vertical="center" wrapText="1" indent="1"/>
    </xf>
    <xf numFmtId="0" fontId="129" fillId="0" borderId="0" xfId="0" applyFont="1" applyBorder="1" applyAlignment="1">
      <alignment horizontal="justify"/>
    </xf>
    <xf numFmtId="0" fontId="0" fillId="0" borderId="21" xfId="0" applyBorder="1" applyAlignment="1">
      <alignment horizontal="center"/>
    </xf>
    <xf numFmtId="0" fontId="126" fillId="0" borderId="22" xfId="0" applyFont="1" applyFill="1" applyBorder="1" applyAlignment="1">
      <alignment horizontal="left" vertical="center" wrapText="1"/>
    </xf>
    <xf numFmtId="164" fontId="135" fillId="0" borderId="22" xfId="7" applyNumberFormat="1" applyFont="1" applyBorder="1"/>
    <xf numFmtId="164" fontId="135" fillId="36" borderId="22" xfId="7" applyNumberFormat="1" applyFont="1" applyFill="1" applyBorder="1"/>
    <xf numFmtId="0" fontId="111" fillId="0" borderId="122" xfId="0" applyFont="1" applyBorder="1" applyAlignment="1">
      <alignment horizontal="center" vertical="center"/>
    </xf>
    <xf numFmtId="0" fontId="124" fillId="3" borderId="122" xfId="20966" applyFont="1" applyFill="1" applyBorder="1" applyAlignment="1">
      <alignment horizontal="left" vertical="center" wrapText="1"/>
    </xf>
    <xf numFmtId="0" fontId="125" fillId="0" borderId="122" xfId="20966" applyFont="1" applyFill="1" applyBorder="1" applyAlignment="1">
      <alignment horizontal="left" vertical="center" wrapText="1" indent="1"/>
    </xf>
    <xf numFmtId="0" fontId="126" fillId="3" borderId="131" xfId="0" applyFont="1" applyFill="1" applyBorder="1" applyAlignment="1">
      <alignment horizontal="left" vertical="center" wrapText="1"/>
    </xf>
    <xf numFmtId="0" fontId="125" fillId="3" borderId="122" xfId="20966" applyFont="1" applyFill="1" applyBorder="1" applyAlignment="1">
      <alignment horizontal="left" vertical="center" wrapText="1" indent="1"/>
    </xf>
    <xf numFmtId="0" fontId="124" fillId="0" borderId="131" xfId="0" applyFont="1" applyFill="1" applyBorder="1" applyAlignment="1">
      <alignment horizontal="left" vertical="center" wrapText="1"/>
    </xf>
    <xf numFmtId="0" fontId="126" fillId="0" borderId="131" xfId="0" applyFont="1" applyFill="1" applyBorder="1" applyAlignment="1">
      <alignment horizontal="left" vertical="center" wrapText="1"/>
    </xf>
    <xf numFmtId="0" fontId="126" fillId="0" borderId="131" xfId="0" applyFont="1" applyFill="1" applyBorder="1" applyAlignment="1">
      <alignment vertical="center" wrapText="1"/>
    </xf>
    <xf numFmtId="0" fontId="127" fillId="0" borderId="131" xfId="0" applyFont="1" applyFill="1" applyBorder="1" applyAlignment="1">
      <alignment horizontal="left" vertical="center" wrapText="1" indent="1"/>
    </xf>
    <xf numFmtId="0" fontId="127" fillId="3" borderId="131" xfId="0" applyFont="1" applyFill="1" applyBorder="1" applyAlignment="1">
      <alignment horizontal="left" vertical="center" wrapText="1" indent="1"/>
    </xf>
    <xf numFmtId="0" fontId="126" fillId="3" borderId="132" xfId="0" applyFont="1" applyFill="1" applyBorder="1" applyAlignment="1">
      <alignment horizontal="left" vertical="center" wrapText="1"/>
    </xf>
    <xf numFmtId="0" fontId="127" fillId="0" borderId="122" xfId="20966" applyFont="1" applyFill="1" applyBorder="1" applyAlignment="1">
      <alignment horizontal="left" vertical="center" wrapText="1" indent="1"/>
    </xf>
    <xf numFmtId="0" fontId="126" fillId="0" borderId="122" xfId="0" applyFont="1" applyFill="1" applyBorder="1" applyAlignment="1">
      <alignment horizontal="left" vertical="center" wrapText="1"/>
    </xf>
    <xf numFmtId="0" fontId="128" fillId="0" borderId="122" xfId="20966" applyFont="1" applyFill="1" applyBorder="1" applyAlignment="1">
      <alignment horizontal="center" vertical="center" wrapText="1"/>
    </xf>
    <xf numFmtId="0" fontId="126" fillId="3" borderId="133" xfId="0" applyFont="1" applyFill="1" applyBorder="1" applyAlignment="1">
      <alignment horizontal="left" vertical="center" wrapText="1"/>
    </xf>
    <xf numFmtId="0" fontId="125" fillId="3" borderId="131" xfId="0" applyFont="1" applyFill="1" applyBorder="1" applyAlignment="1">
      <alignment horizontal="left" vertical="center" wrapText="1" indent="1"/>
    </xf>
    <xf numFmtId="0" fontId="126" fillId="0" borderId="131" xfId="0" applyFont="1" applyBorder="1" applyAlignment="1">
      <alignment horizontal="left" vertical="center" wrapText="1"/>
    </xf>
    <xf numFmtId="0" fontId="125" fillId="0" borderId="131" xfId="0" applyFont="1" applyBorder="1" applyAlignment="1">
      <alignment horizontal="left" vertical="center" wrapText="1" indent="1"/>
    </xf>
    <xf numFmtId="0" fontId="125" fillId="0" borderId="132" xfId="0" applyFont="1" applyBorder="1" applyAlignment="1">
      <alignment horizontal="left" vertical="center" wrapText="1" indent="1"/>
    </xf>
    <xf numFmtId="0" fontId="126" fillId="0" borderId="122" xfId="20966" applyFont="1" applyFill="1" applyBorder="1" applyAlignment="1">
      <alignment horizontal="left" vertical="center" wrapText="1"/>
    </xf>
    <xf numFmtId="0" fontId="126" fillId="0" borderId="122" xfId="0" applyFont="1" applyFill="1" applyBorder="1" applyAlignment="1">
      <alignment vertical="center" wrapText="1"/>
    </xf>
    <xf numFmtId="0" fontId="126" fillId="3" borderId="122" xfId="20966" applyFont="1" applyFill="1" applyBorder="1" applyAlignment="1">
      <alignment horizontal="left" vertical="center" wrapText="1"/>
    </xf>
    <xf numFmtId="0" fontId="125" fillId="0" borderId="131" xfId="0" applyFont="1" applyFill="1" applyBorder="1" applyAlignment="1">
      <alignment horizontal="left" vertical="center" wrapText="1" indent="1"/>
    </xf>
    <xf numFmtId="0" fontId="126" fillId="0" borderId="24" xfId="0" applyFont="1" applyFill="1" applyBorder="1" applyAlignment="1">
      <alignment horizontal="left" vertical="center" wrapText="1"/>
    </xf>
    <xf numFmtId="0" fontId="134" fillId="0" borderId="18" xfId="0" applyFont="1" applyFill="1" applyBorder="1" applyAlignment="1" applyProtection="1">
      <alignment horizontal="center" vertical="center" wrapText="1"/>
    </xf>
    <xf numFmtId="164" fontId="0" fillId="0" borderId="18" xfId="7" applyNumberFormat="1" applyFont="1" applyBorder="1"/>
    <xf numFmtId="164" fontId="135" fillId="0" borderId="18" xfId="7" applyNumberFormat="1" applyFont="1" applyBorder="1"/>
    <xf numFmtId="164" fontId="135" fillId="0" borderId="21" xfId="7" applyNumberFormat="1" applyFont="1" applyBorder="1"/>
    <xf numFmtId="0" fontId="104" fillId="0" borderId="123" xfId="0" applyNumberFormat="1" applyFont="1" applyFill="1" applyBorder="1" applyAlignment="1">
      <alignment vertical="center" wrapText="1"/>
    </xf>
    <xf numFmtId="0" fontId="2" fillId="0" borderId="123" xfId="0" applyNumberFormat="1" applyFont="1" applyFill="1" applyBorder="1" applyAlignment="1">
      <alignment horizontal="left" vertical="center" wrapText="1" indent="4"/>
    </xf>
    <xf numFmtId="0" fontId="45" fillId="0" borderId="123" xfId="0" applyNumberFormat="1" applyFont="1" applyFill="1" applyBorder="1" applyAlignment="1">
      <alignment vertical="center" wrapText="1"/>
    </xf>
    <xf numFmtId="0" fontId="2" fillId="0" borderId="122" xfId="0" applyFont="1" applyFill="1" applyBorder="1" applyAlignment="1" applyProtection="1">
      <alignment horizontal="left" vertical="center" indent="11"/>
      <protection locked="0"/>
    </xf>
    <xf numFmtId="0" fontId="46" fillId="0" borderId="122" xfId="0" applyFont="1" applyFill="1" applyBorder="1" applyAlignment="1" applyProtection="1">
      <alignment horizontal="left" vertical="center" indent="17"/>
      <protection locked="0"/>
    </xf>
    <xf numFmtId="0" fontId="111" fillId="0" borderId="122" xfId="0" applyFont="1" applyBorder="1" applyAlignment="1">
      <alignment vertical="center"/>
    </xf>
    <xf numFmtId="0" fontId="95" fillId="0" borderId="122" xfId="0" applyNumberFormat="1" applyFont="1" applyFill="1" applyBorder="1" applyAlignment="1">
      <alignment vertical="center" wrapText="1"/>
    </xf>
    <xf numFmtId="0" fontId="96" fillId="0" borderId="123" xfId="0" applyNumberFormat="1" applyFont="1" applyFill="1" applyBorder="1" applyAlignment="1">
      <alignment horizontal="left" vertical="center" wrapText="1"/>
    </xf>
    <xf numFmtId="0" fontId="2" fillId="0" borderId="123" xfId="0" applyNumberFormat="1" applyFont="1" applyFill="1" applyBorder="1" applyAlignment="1">
      <alignment horizontal="left" vertical="center" wrapText="1"/>
    </xf>
    <xf numFmtId="0" fontId="45" fillId="0" borderId="88" xfId="0" applyNumberFormat="1" applyFont="1" applyFill="1" applyBorder="1" applyAlignment="1">
      <alignment vertical="center" wrapText="1"/>
    </xf>
    <xf numFmtId="0" fontId="2" fillId="0" borderId="18" xfId="0" applyFont="1" applyFill="1" applyBorder="1" applyAlignment="1" applyProtection="1">
      <alignment horizontal="center" vertical="center" wrapText="1"/>
    </xf>
    <xf numFmtId="0" fontId="2" fillId="0" borderId="81" xfId="0" applyFont="1" applyFill="1" applyBorder="1" applyAlignment="1" applyProtection="1">
      <alignment horizontal="center" vertical="center" wrapText="1"/>
    </xf>
    <xf numFmtId="164" fontId="94" fillId="0" borderId="18" xfId="7" applyNumberFormat="1" applyFont="1" applyFill="1" applyBorder="1" applyAlignment="1" applyProtection="1">
      <alignment horizontal="right"/>
    </xf>
    <xf numFmtId="164" fontId="94" fillId="0" borderId="121" xfId="7" applyNumberFormat="1" applyFont="1" applyFill="1" applyBorder="1" applyAlignment="1" applyProtection="1">
      <alignment horizontal="right"/>
    </xf>
    <xf numFmtId="164" fontId="94" fillId="0" borderId="21" xfId="7" applyNumberFormat="1" applyFont="1" applyFill="1" applyBorder="1" applyAlignment="1" applyProtection="1">
      <alignment horizontal="right"/>
    </xf>
    <xf numFmtId="164" fontId="94" fillId="0" borderId="22" xfId="7" applyNumberFormat="1" applyFont="1" applyFill="1" applyBorder="1" applyAlignment="1" applyProtection="1">
      <alignment horizontal="right"/>
    </xf>
    <xf numFmtId="164" fontId="136" fillId="36" borderId="121" xfId="7" applyNumberFormat="1" applyFont="1" applyFill="1" applyBorder="1" applyAlignment="1" applyProtection="1">
      <alignment horizontal="right"/>
    </xf>
    <xf numFmtId="164" fontId="136" fillId="36" borderId="22" xfId="7" applyNumberFormat="1" applyFont="1" applyFill="1" applyBorder="1" applyAlignment="1" applyProtection="1">
      <alignment horizontal="right"/>
    </xf>
    <xf numFmtId="0" fontId="84" fillId="0" borderId="26" xfId="0" applyFont="1" applyFill="1" applyBorder="1" applyAlignment="1">
      <alignment horizontal="left" vertical="center" wrapText="1" indent="2"/>
    </xf>
    <xf numFmtId="0" fontId="84" fillId="0" borderId="122" xfId="0" applyFont="1" applyBorder="1" applyAlignment="1">
      <alignment vertical="center" wrapText="1"/>
    </xf>
    <xf numFmtId="14" fontId="2" fillId="3" borderId="122" xfId="8" quotePrefix="1" applyNumberFormat="1" applyFont="1" applyFill="1" applyBorder="1" applyAlignment="1" applyProtection="1">
      <alignment horizontal="left"/>
      <protection locked="0"/>
    </xf>
    <xf numFmtId="0" fontId="86" fillId="0" borderId="24" xfId="0" applyFont="1" applyBorder="1" applyAlignment="1">
      <alignment vertical="center" wrapText="1"/>
    </xf>
    <xf numFmtId="164" fontId="103" fillId="0" borderId="18" xfId="7" applyNumberFormat="1" applyFont="1" applyBorder="1" applyAlignment="1">
      <alignment vertical="center" wrapText="1"/>
    </xf>
    <xf numFmtId="164" fontId="103" fillId="0" borderId="121" xfId="7" applyNumberFormat="1" applyFont="1" applyBorder="1" applyAlignment="1">
      <alignment vertical="center" wrapText="1"/>
    </xf>
    <xf numFmtId="164" fontId="103" fillId="0" borderId="81" xfId="7" applyNumberFormat="1" applyFont="1" applyBorder="1" applyAlignment="1">
      <alignment vertical="center" wrapText="1"/>
    </xf>
    <xf numFmtId="164" fontId="103" fillId="0" borderId="18" xfId="7" applyNumberFormat="1" applyFont="1" applyFill="1" applyBorder="1" applyAlignment="1">
      <alignment vertical="center" wrapText="1"/>
    </xf>
    <xf numFmtId="164" fontId="103" fillId="0" borderId="121" xfId="7" applyNumberFormat="1" applyFont="1" applyFill="1" applyBorder="1" applyAlignment="1">
      <alignment vertical="center" wrapText="1"/>
    </xf>
    <xf numFmtId="164" fontId="103" fillId="0" borderId="81" xfId="7" applyNumberFormat="1" applyFont="1" applyFill="1" applyBorder="1" applyAlignment="1">
      <alignment vertical="center" wrapText="1"/>
    </xf>
    <xf numFmtId="0" fontId="45" fillId="0" borderId="15" xfId="0" applyNumberFormat="1" applyFont="1" applyFill="1" applyBorder="1" applyAlignment="1">
      <alignment horizontal="left" vertical="center" wrapText="1" indent="1"/>
    </xf>
    <xf numFmtId="0" fontId="45" fillId="0" borderId="16" xfId="0" applyNumberFormat="1" applyFont="1" applyFill="1" applyBorder="1" applyAlignment="1">
      <alignment horizontal="left" vertical="center" wrapText="1" indent="1"/>
    </xf>
    <xf numFmtId="0" fontId="45" fillId="0" borderId="17" xfId="0" applyNumberFormat="1" applyFont="1" applyFill="1" applyBorder="1" applyAlignment="1">
      <alignment horizontal="left" vertical="center" wrapText="1" indent="1"/>
    </xf>
    <xf numFmtId="164" fontId="137" fillId="36" borderId="18" xfId="7" applyNumberFormat="1" applyFont="1" applyFill="1" applyBorder="1" applyAlignment="1">
      <alignment vertical="center" wrapText="1"/>
    </xf>
    <xf numFmtId="164" fontId="137" fillId="36" borderId="121" xfId="7" applyNumberFormat="1" applyFont="1" applyFill="1" applyBorder="1" applyAlignment="1">
      <alignment vertical="center" wrapText="1"/>
    </xf>
    <xf numFmtId="164" fontId="137" fillId="36" borderId="81" xfId="7" applyNumberFormat="1" applyFont="1" applyFill="1" applyBorder="1" applyAlignment="1">
      <alignment vertical="center" wrapText="1"/>
    </xf>
    <xf numFmtId="164" fontId="138" fillId="36" borderId="21" xfId="7" applyNumberFormat="1" applyFont="1" applyFill="1" applyBorder="1" applyAlignment="1">
      <alignment vertical="center" wrapText="1"/>
    </xf>
    <xf numFmtId="164" fontId="138" fillId="36" borderId="22" xfId="7" applyNumberFormat="1" applyFont="1" applyFill="1" applyBorder="1" applyAlignment="1">
      <alignment vertical="center" wrapText="1"/>
    </xf>
    <xf numFmtId="164" fontId="138" fillId="36" borderId="23" xfId="7" applyNumberFormat="1" applyFont="1" applyFill="1" applyBorder="1" applyAlignment="1">
      <alignment vertical="center" wrapText="1"/>
    </xf>
    <xf numFmtId="0" fontId="2" fillId="0" borderId="122" xfId="0" applyFont="1" applyBorder="1" applyAlignment="1">
      <alignment wrapText="1"/>
    </xf>
    <xf numFmtId="0" fontId="84" fillId="0" borderId="84" xfId="0" applyFont="1" applyBorder="1" applyAlignment="1"/>
    <xf numFmtId="0" fontId="2" fillId="0" borderId="84" xfId="0" applyFont="1" applyBorder="1" applyAlignment="1"/>
    <xf numFmtId="9" fontId="84" fillId="0" borderId="84" xfId="0" applyNumberFormat="1" applyFont="1" applyBorder="1" applyAlignment="1"/>
    <xf numFmtId="10" fontId="84" fillId="0" borderId="84" xfId="0" applyNumberFormat="1" applyFont="1" applyBorder="1" applyAlignment="1"/>
    <xf numFmtId="10" fontId="84" fillId="0" borderId="38" xfId="0" applyNumberFormat="1" applyFont="1" applyBorder="1" applyAlignment="1"/>
    <xf numFmtId="0" fontId="86" fillId="0" borderId="121" xfId="0" applyFont="1" applyFill="1" applyBorder="1" applyAlignment="1">
      <alignment horizontal="center" vertical="center" wrapText="1"/>
    </xf>
    <xf numFmtId="43" fontId="84" fillId="0" borderId="81" xfId="7" applyFont="1" applyFill="1" applyBorder="1" applyAlignment="1">
      <alignment horizontal="center" vertical="center"/>
    </xf>
    <xf numFmtId="193" fontId="86" fillId="36" borderId="23" xfId="0" applyNumberFormat="1" applyFont="1" applyFill="1" applyBorder="1" applyAlignment="1">
      <alignment horizontal="center" vertical="center"/>
    </xf>
    <xf numFmtId="43" fontId="139" fillId="0" borderId="121" xfId="7" applyFont="1" applyFill="1" applyBorder="1" applyAlignment="1">
      <alignment horizontal="center" vertical="center"/>
    </xf>
    <xf numFmtId="43" fontId="139" fillId="0" borderId="81" xfId="7" applyFont="1" applyFill="1" applyBorder="1" applyAlignment="1">
      <alignment horizontal="center" vertical="center"/>
    </xf>
    <xf numFmtId="193" fontId="139" fillId="36" borderId="17" xfId="0" applyNumberFormat="1" applyFont="1" applyFill="1" applyBorder="1" applyAlignment="1">
      <alignment horizontal="center" vertical="center"/>
    </xf>
    <xf numFmtId="193" fontId="139" fillId="36" borderId="19" xfId="0" applyNumberFormat="1" applyFont="1" applyFill="1" applyBorder="1" applyAlignment="1">
      <alignment horizontal="center" vertical="center" wrapText="1"/>
    </xf>
    <xf numFmtId="193" fontId="139" fillId="36" borderId="23" xfId="0" applyNumberFormat="1" applyFont="1" applyFill="1" applyBorder="1" applyAlignment="1">
      <alignment horizontal="center" vertical="center" wrapText="1"/>
    </xf>
    <xf numFmtId="0" fontId="140" fillId="0" borderId="121" xfId="0" applyFont="1" applyBorder="1"/>
    <xf numFmtId="0" fontId="141" fillId="0" borderId="121" xfId="17" applyFont="1" applyBorder="1" applyAlignment="1" applyProtection="1"/>
    <xf numFmtId="193" fontId="134" fillId="36" borderId="19" xfId="2" applyNumberFormat="1" applyFont="1" applyFill="1" applyBorder="1" applyAlignment="1" applyProtection="1">
      <alignment vertical="top"/>
    </xf>
    <xf numFmtId="193" fontId="134" fillId="36" borderId="19" xfId="2" applyNumberFormat="1" applyFont="1" applyFill="1" applyBorder="1" applyAlignment="1" applyProtection="1">
      <alignment vertical="top" wrapText="1"/>
    </xf>
    <xf numFmtId="164" fontId="3" fillId="0" borderId="81" xfId="7" applyNumberFormat="1" applyFont="1" applyFill="1" applyBorder="1" applyAlignment="1">
      <alignment horizontal="right" vertical="center" wrapText="1"/>
    </xf>
    <xf numFmtId="164" fontId="4" fillId="36" borderId="81" xfId="7" applyNumberFormat="1" applyFont="1" applyFill="1" applyBorder="1" applyAlignment="1">
      <alignment horizontal="left" vertical="center" wrapText="1"/>
    </xf>
    <xf numFmtId="164" fontId="4" fillId="36" borderId="81" xfId="7" applyNumberFormat="1" applyFont="1" applyFill="1" applyBorder="1" applyAlignment="1">
      <alignment horizontal="center" vertical="center" wrapText="1"/>
    </xf>
    <xf numFmtId="164" fontId="3" fillId="0" borderId="23" xfId="7" applyNumberFormat="1" applyFont="1" applyFill="1" applyBorder="1" applyAlignment="1">
      <alignment horizontal="right" vertical="center" wrapText="1"/>
    </xf>
    <xf numFmtId="0" fontId="134" fillId="0" borderId="0" xfId="11" applyFont="1" applyFill="1" applyBorder="1" applyProtection="1"/>
    <xf numFmtId="193" fontId="139" fillId="0" borderId="12" xfId="0" applyNumberFormat="1" applyFont="1" applyBorder="1" applyAlignment="1">
      <alignment horizontal="center" vertical="center"/>
    </xf>
    <xf numFmtId="193" fontId="139" fillId="0" borderId="31" xfId="0" applyNumberFormat="1" applyFont="1" applyBorder="1" applyAlignment="1">
      <alignment horizontal="center" vertical="center"/>
    </xf>
    <xf numFmtId="193" fontId="139" fillId="0" borderId="11" xfId="0" applyNumberFormat="1" applyFont="1" applyBorder="1" applyAlignment="1">
      <alignment horizontal="center" vertical="center"/>
    </xf>
    <xf numFmtId="193" fontId="142" fillId="0" borderId="11" xfId="0" applyNumberFormat="1" applyFont="1" applyFill="1" applyBorder="1" applyAlignment="1">
      <alignment horizontal="center" vertical="center"/>
    </xf>
    <xf numFmtId="193" fontId="139" fillId="0" borderId="11" xfId="0" applyNumberFormat="1" applyFont="1" applyFill="1" applyBorder="1" applyAlignment="1">
      <alignment horizontal="center" vertical="center"/>
    </xf>
    <xf numFmtId="193" fontId="139" fillId="0" borderId="14" xfId="0" applyNumberFormat="1" applyFont="1" applyBorder="1" applyAlignment="1">
      <alignment horizontal="center" vertical="center"/>
    </xf>
    <xf numFmtId="193" fontId="143" fillId="0" borderId="13" xfId="0" applyNumberFormat="1" applyFont="1" applyFill="1" applyBorder="1" applyAlignment="1">
      <alignment horizontal="center" vertical="center"/>
    </xf>
    <xf numFmtId="193" fontId="139" fillId="0" borderId="13" xfId="0" applyNumberFormat="1" applyFont="1" applyFill="1" applyBorder="1" applyAlignment="1">
      <alignment horizontal="center" vertical="center"/>
    </xf>
    <xf numFmtId="0" fontId="139" fillId="0" borderId="121" xfId="0" applyFont="1" applyBorder="1" applyAlignment="1">
      <alignment horizontal="center"/>
    </xf>
    <xf numFmtId="167" fontId="84" fillId="0" borderId="81" xfId="0" applyNumberFormat="1" applyFont="1" applyBorder="1" applyAlignment="1">
      <alignment horizontal="center"/>
    </xf>
    <xf numFmtId="167" fontId="86" fillId="0" borderId="81" xfId="0" applyNumberFormat="1" applyFont="1" applyFill="1" applyBorder="1" applyAlignment="1">
      <alignment horizontal="center"/>
    </xf>
    <xf numFmtId="0" fontId="84" fillId="0" borderId="81" xfId="0" applyFont="1" applyBorder="1"/>
    <xf numFmtId="193" fontId="139" fillId="0" borderId="134" xfId="0" applyNumberFormat="1" applyFont="1" applyBorder="1" applyAlignment="1">
      <alignment horizontal="center" vertical="center"/>
    </xf>
    <xf numFmtId="0" fontId="84" fillId="0" borderId="23" xfId="0" applyFont="1" applyBorder="1"/>
    <xf numFmtId="167" fontId="144" fillId="80" borderId="57" xfId="0" applyNumberFormat="1" applyFont="1" applyFill="1" applyBorder="1" applyAlignment="1">
      <alignment horizontal="center"/>
    </xf>
    <xf numFmtId="167" fontId="139" fillId="0" borderId="3" xfId="0" applyNumberFormat="1" applyFont="1" applyBorder="1" applyAlignment="1"/>
    <xf numFmtId="167" fontId="139" fillId="36" borderId="22" xfId="0" applyNumberFormat="1" applyFont="1" applyFill="1" applyBorder="1"/>
    <xf numFmtId="193" fontId="139" fillId="36" borderId="22" xfId="0" applyNumberFormat="1" applyFont="1" applyFill="1" applyBorder="1"/>
    <xf numFmtId="193" fontId="139" fillId="36" borderId="52" xfId="0" applyNumberFormat="1" applyFont="1" applyFill="1" applyBorder="1" applyAlignment="1"/>
    <xf numFmtId="193" fontId="139" fillId="36" borderId="53" xfId="0" applyNumberFormat="1" applyFont="1" applyFill="1" applyBorder="1"/>
    <xf numFmtId="193" fontId="139" fillId="36" borderId="21" xfId="0" applyNumberFormat="1" applyFont="1" applyFill="1" applyBorder="1"/>
    <xf numFmtId="193" fontId="139" fillId="36" borderId="23" xfId="0" applyNumberFormat="1" applyFont="1" applyFill="1" applyBorder="1"/>
    <xf numFmtId="9" fontId="145" fillId="0" borderId="19" xfId="20962" applyFont="1" applyBorder="1"/>
    <xf numFmtId="9" fontId="145" fillId="36" borderId="23" xfId="20962" applyFont="1" applyFill="1" applyBorder="1"/>
    <xf numFmtId="193" fontId="145" fillId="36" borderId="22" xfId="0" applyNumberFormat="1" applyFont="1" applyFill="1" applyBorder="1"/>
    <xf numFmtId="0" fontId="45" fillId="0" borderId="121"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45" fillId="0" borderId="124" xfId="0" applyFont="1" applyFill="1" applyBorder="1" applyAlignment="1">
      <alignment horizontal="center" vertical="center" wrapText="1"/>
    </xf>
    <xf numFmtId="0" fontId="3" fillId="3" borderId="82" xfId="0" applyFont="1" applyFill="1" applyBorder="1" applyAlignment="1">
      <alignment vertical="center"/>
    </xf>
    <xf numFmtId="0" fontId="3" fillId="3" borderId="123" xfId="0" applyFont="1" applyFill="1" applyBorder="1" applyAlignment="1">
      <alignment vertical="center"/>
    </xf>
    <xf numFmtId="169" fontId="9" fillId="37" borderId="63" xfId="20" applyBorder="1"/>
    <xf numFmtId="169" fontId="9" fillId="37" borderId="94" xfId="20" applyBorder="1"/>
    <xf numFmtId="194" fontId="3" fillId="0" borderId="82" xfId="7" applyNumberFormat="1" applyFont="1" applyFill="1" applyBorder="1" applyAlignment="1">
      <alignment vertical="center"/>
    </xf>
    <xf numFmtId="194" fontId="3" fillId="0" borderId="85" xfId="7" applyNumberFormat="1" applyFont="1" applyFill="1" applyBorder="1" applyAlignment="1">
      <alignment vertical="center"/>
    </xf>
    <xf numFmtId="194" fontId="4" fillId="0" borderId="81" xfId="7" applyNumberFormat="1" applyFont="1" applyFill="1" applyBorder="1" applyAlignment="1">
      <alignment vertical="center"/>
    </xf>
    <xf numFmtId="194" fontId="3" fillId="0" borderId="123" xfId="7" applyNumberFormat="1" applyFont="1" applyFill="1" applyBorder="1" applyAlignment="1">
      <alignment vertical="center"/>
    </xf>
    <xf numFmtId="194" fontId="3" fillId="0" borderId="121" xfId="7" applyNumberFormat="1" applyFont="1" applyFill="1" applyBorder="1" applyAlignment="1">
      <alignment vertical="center"/>
    </xf>
    <xf numFmtId="194" fontId="3" fillId="0" borderId="18" xfId="7" applyNumberFormat="1" applyFont="1" applyFill="1" applyBorder="1" applyAlignment="1">
      <alignment vertical="center"/>
    </xf>
    <xf numFmtId="0" fontId="3" fillId="0" borderId="18" xfId="0" applyFont="1" applyFill="1" applyBorder="1" applyAlignment="1">
      <alignment vertical="center"/>
    </xf>
    <xf numFmtId="0" fontId="3" fillId="0" borderId="122" xfId="0" applyFont="1" applyFill="1" applyBorder="1" applyAlignment="1">
      <alignment vertical="center"/>
    </xf>
    <xf numFmtId="0" fontId="3" fillId="0" borderId="124" xfId="0" applyFont="1" applyFill="1" applyBorder="1" applyAlignment="1">
      <alignment vertical="center"/>
    </xf>
    <xf numFmtId="194" fontId="4" fillId="0" borderId="18" xfId="0" applyNumberFormat="1" applyFont="1" applyFill="1" applyBorder="1" applyAlignment="1">
      <alignment vertical="center"/>
    </xf>
    <xf numFmtId="194" fontId="4" fillId="0" borderId="123" xfId="0" applyNumberFormat="1" applyFont="1" applyFill="1" applyBorder="1" applyAlignment="1">
      <alignment vertical="center"/>
    </xf>
    <xf numFmtId="194" fontId="4" fillId="0" borderId="82" xfId="0" applyNumberFormat="1" applyFont="1" applyFill="1" applyBorder="1" applyAlignment="1">
      <alignment vertical="center"/>
    </xf>
    <xf numFmtId="194" fontId="4" fillId="0" borderId="121" xfId="0" applyNumberFormat="1" applyFont="1" applyFill="1" applyBorder="1" applyAlignment="1">
      <alignment vertical="center"/>
    </xf>
    <xf numFmtId="194" fontId="3" fillId="0" borderId="122" xfId="7" applyNumberFormat="1" applyFont="1" applyFill="1" applyBorder="1" applyAlignment="1">
      <alignment vertical="center"/>
    </xf>
    <xf numFmtId="194" fontId="3" fillId="0" borderId="124" xfId="7"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88" xfId="0" applyNumberFormat="1" applyFont="1" applyFill="1" applyBorder="1" applyAlignment="1">
      <alignment vertical="center"/>
    </xf>
    <xf numFmtId="194" fontId="4" fillId="0" borderId="23" xfId="7" applyNumberFormat="1" applyFont="1" applyFill="1" applyBorder="1" applyAlignment="1">
      <alignment vertical="center"/>
    </xf>
    <xf numFmtId="194" fontId="4" fillId="0" borderId="135" xfId="0" applyNumberFormat="1" applyFont="1" applyFill="1" applyBorder="1" applyAlignment="1">
      <alignment vertical="center"/>
    </xf>
    <xf numFmtId="194" fontId="4" fillId="0" borderId="22" xfId="0" applyNumberFormat="1" applyFont="1" applyFill="1" applyBorder="1" applyAlignment="1">
      <alignment vertical="center"/>
    </xf>
    <xf numFmtId="194" fontId="3" fillId="0" borderId="69" xfId="7" applyNumberFormat="1" applyFont="1" applyFill="1" applyBorder="1" applyAlignment="1">
      <alignment vertical="center"/>
    </xf>
    <xf numFmtId="194" fontId="3" fillId="0" borderId="26" xfId="7" applyNumberFormat="1" applyFont="1" applyFill="1" applyBorder="1" applyAlignment="1">
      <alignment vertical="center"/>
    </xf>
    <xf numFmtId="194" fontId="4" fillId="0" borderId="17" xfId="7" applyNumberFormat="1" applyFont="1" applyFill="1" applyBorder="1" applyAlignment="1">
      <alignment vertical="center"/>
    </xf>
    <xf numFmtId="194" fontId="4" fillId="0" borderId="89" xfId="7" applyNumberFormat="1" applyFont="1" applyFill="1" applyBorder="1" applyAlignment="1">
      <alignment vertical="center"/>
    </xf>
    <xf numFmtId="43" fontId="3" fillId="0" borderId="78" xfId="0" applyNumberFormat="1" applyFont="1" applyFill="1" applyBorder="1" applyAlignment="1">
      <alignment vertical="center"/>
    </xf>
    <xf numFmtId="164" fontId="3" fillId="0" borderId="22" xfId="0" applyNumberFormat="1" applyFont="1" applyFill="1" applyBorder="1" applyAlignment="1">
      <alignment vertical="center"/>
    </xf>
    <xf numFmtId="10" fontId="4" fillId="0" borderId="129" xfId="20962" applyNumberFormat="1" applyFont="1" applyFill="1" applyBorder="1" applyAlignment="1">
      <alignment vertical="center"/>
    </xf>
    <xf numFmtId="10" fontId="4" fillId="0" borderId="92" xfId="20962" applyNumberFormat="1" applyFont="1" applyFill="1" applyBorder="1" applyAlignment="1">
      <alignment vertical="center"/>
    </xf>
    <xf numFmtId="10" fontId="4" fillId="0" borderId="93" xfId="20962" applyNumberFormat="1" applyFont="1" applyFill="1" applyBorder="1" applyAlignment="1">
      <alignment vertical="center"/>
    </xf>
    <xf numFmtId="10" fontId="105" fillId="0" borderId="97" xfId="20962" applyNumberFormat="1" applyFont="1" applyFill="1" applyBorder="1" applyAlignment="1" applyProtection="1">
      <alignment horizontal="right" vertical="center"/>
      <protection locked="0"/>
    </xf>
    <xf numFmtId="0" fontId="145" fillId="0" borderId="0" xfId="0" applyFont="1"/>
    <xf numFmtId="164" fontId="145" fillId="0" borderId="97" xfId="7" applyNumberFormat="1" applyFont="1" applyBorder="1"/>
    <xf numFmtId="164" fontId="145" fillId="0" borderId="81" xfId="7" applyNumberFormat="1" applyFont="1" applyBorder="1"/>
    <xf numFmtId="164" fontId="145" fillId="0" borderId="97" xfId="7" applyNumberFormat="1" applyFont="1" applyBorder="1" applyAlignment="1">
      <alignment vertical="center"/>
    </xf>
    <xf numFmtId="164" fontId="146" fillId="0" borderId="121" xfId="7" applyNumberFormat="1" applyFont="1" applyBorder="1"/>
    <xf numFmtId="164" fontId="116" fillId="0" borderId="121" xfId="7" applyNumberFormat="1" applyFont="1" applyBorder="1"/>
    <xf numFmtId="164" fontId="112" fillId="0" borderId="121" xfId="7" applyNumberFormat="1" applyFont="1" applyBorder="1"/>
    <xf numFmtId="164" fontId="112" fillId="0" borderId="121" xfId="7" applyNumberFormat="1" applyFont="1" applyFill="1" applyBorder="1"/>
    <xf numFmtId="164" fontId="115" fillId="0" borderId="121" xfId="7" applyNumberFormat="1" applyFont="1" applyBorder="1"/>
    <xf numFmtId="164" fontId="147" fillId="36" borderId="121" xfId="7" applyNumberFormat="1" applyFont="1" applyFill="1" applyBorder="1"/>
    <xf numFmtId="164" fontId="113" fillId="0" borderId="121" xfId="7" applyNumberFormat="1" applyFont="1" applyBorder="1"/>
    <xf numFmtId="164" fontId="148" fillId="0" borderId="121" xfId="7" applyNumberFormat="1" applyFont="1" applyBorder="1"/>
    <xf numFmtId="164" fontId="112" fillId="0" borderId="121" xfId="7" applyNumberFormat="1" applyFont="1" applyBorder="1" applyAlignment="1">
      <alignment horizontal="left" indent="1"/>
    </xf>
    <xf numFmtId="164" fontId="115" fillId="76" borderId="121" xfId="7" applyNumberFormat="1" applyFont="1" applyFill="1" applyBorder="1"/>
    <xf numFmtId="164" fontId="149" fillId="0" borderId="121" xfId="7" applyNumberFormat="1" applyFont="1" applyBorder="1"/>
    <xf numFmtId="164" fontId="147" fillId="0" borderId="121" xfId="7" applyNumberFormat="1" applyFont="1" applyBorder="1"/>
    <xf numFmtId="164" fontId="112" fillId="0" borderId="81" xfId="7" applyNumberFormat="1" applyFont="1" applyBorder="1"/>
    <xf numFmtId="164" fontId="112" fillId="0" borderId="18" xfId="7" applyNumberFormat="1" applyFont="1" applyBorder="1" applyAlignment="1">
      <alignment horizontal="left" indent="1"/>
    </xf>
    <xf numFmtId="164" fontId="112" fillId="0" borderId="18" xfId="7" applyNumberFormat="1" applyFont="1" applyBorder="1" applyAlignment="1">
      <alignment horizontal="left" indent="2"/>
    </xf>
    <xf numFmtId="164" fontId="112" fillId="0" borderId="18" xfId="7" applyNumberFormat="1" applyFont="1" applyFill="1" applyBorder="1" applyAlignment="1">
      <alignment horizontal="left" indent="3"/>
    </xf>
    <xf numFmtId="164" fontId="112" fillId="0" borderId="18" xfId="7" applyNumberFormat="1" applyFont="1" applyFill="1" applyBorder="1" applyAlignment="1">
      <alignment horizontal="left" indent="1"/>
    </xf>
    <xf numFmtId="164" fontId="112" fillId="79" borderId="18" xfId="7" applyNumberFormat="1" applyFont="1" applyFill="1" applyBorder="1"/>
    <xf numFmtId="164" fontId="112" fillId="79" borderId="121" xfId="7" applyNumberFormat="1" applyFont="1" applyFill="1" applyBorder="1"/>
    <xf numFmtId="164" fontId="112" fillId="79" borderId="81" xfId="7" applyNumberFormat="1" applyFont="1" applyFill="1" applyBorder="1"/>
    <xf numFmtId="164" fontId="112" fillId="0" borderId="18" xfId="7" applyNumberFormat="1" applyFont="1" applyFill="1" applyBorder="1" applyAlignment="1">
      <alignment horizontal="left" vertical="top" wrapText="1" indent="2"/>
    </xf>
    <xf numFmtId="164" fontId="112" fillId="0" borderId="81" xfId="7" applyNumberFormat="1" applyFont="1" applyFill="1" applyBorder="1"/>
    <xf numFmtId="164" fontId="112" fillId="0" borderId="18" xfId="7" applyNumberFormat="1" applyFont="1" applyFill="1" applyBorder="1" applyAlignment="1">
      <alignment horizontal="left" wrapText="1" indent="3"/>
    </xf>
    <xf numFmtId="164" fontId="112" fillId="0" borderId="18" xfId="7" applyNumberFormat="1" applyFont="1" applyFill="1" applyBorder="1" applyAlignment="1">
      <alignment horizontal="left" wrapText="1" indent="2"/>
    </xf>
    <xf numFmtId="164" fontId="147" fillId="0" borderId="18" xfId="7" applyNumberFormat="1" applyFont="1" applyBorder="1"/>
    <xf numFmtId="164" fontId="147" fillId="0" borderId="81" xfId="7" applyNumberFormat="1" applyFont="1" applyBorder="1"/>
    <xf numFmtId="164" fontId="112" fillId="0" borderId="121" xfId="7" applyNumberFormat="1" applyFont="1" applyFill="1" applyBorder="1" applyAlignment="1">
      <alignment horizontal="left" vertical="center" wrapText="1"/>
    </xf>
    <xf numFmtId="164" fontId="112" fillId="0" borderId="121" xfId="7" applyNumberFormat="1" applyFont="1" applyBorder="1" applyAlignment="1">
      <alignment horizontal="center" vertical="center" wrapText="1"/>
    </xf>
    <xf numFmtId="164" fontId="112" fillId="0" borderId="121" xfId="7" applyNumberFormat="1" applyFont="1" applyBorder="1" applyAlignment="1">
      <alignment horizontal="center" vertical="center"/>
    </xf>
    <xf numFmtId="164" fontId="115" fillId="0" borderId="121" xfId="7" applyNumberFormat="1" applyFont="1" applyFill="1" applyBorder="1" applyAlignment="1">
      <alignment horizontal="left" vertical="center" wrapText="1"/>
    </xf>
    <xf numFmtId="164" fontId="117" fillId="0" borderId="121" xfId="7" applyNumberFormat="1" applyFont="1" applyBorder="1"/>
    <xf numFmtId="164" fontId="117" fillId="0" borderId="125" xfId="7" applyNumberFormat="1" applyFont="1" applyBorder="1"/>
    <xf numFmtId="164" fontId="150" fillId="0" borderId="121" xfId="7" applyNumberFormat="1" applyFont="1" applyBorder="1"/>
    <xf numFmtId="10" fontId="117" fillId="0" borderId="121" xfId="20962" applyNumberFormat="1" applyFont="1" applyBorder="1"/>
    <xf numFmtId="10" fontId="117" fillId="0" borderId="125" xfId="20962" applyNumberFormat="1" applyFont="1" applyBorder="1"/>
    <xf numFmtId="193" fontId="2" fillId="0" borderId="82" xfId="0" applyNumberFormat="1" applyFont="1" applyFill="1" applyBorder="1" applyAlignment="1" applyProtection="1">
      <alignment vertical="center" wrapText="1"/>
      <protection locked="0"/>
    </xf>
    <xf numFmtId="193" fontId="2" fillId="0" borderId="82" xfId="0" applyNumberFormat="1" applyFont="1" applyFill="1" applyBorder="1" applyAlignment="1" applyProtection="1">
      <alignment horizontal="right" vertical="center" wrapText="1"/>
      <protection locked="0"/>
    </xf>
    <xf numFmtId="193" fontId="45" fillId="0" borderId="82" xfId="0" applyNumberFormat="1" applyFont="1" applyFill="1" applyBorder="1" applyAlignment="1" applyProtection="1">
      <alignment horizontal="right" vertical="center" wrapText="1"/>
      <protection locked="0"/>
    </xf>
    <xf numFmtId="10" fontId="2" fillId="0" borderId="82" xfId="20962" applyNumberFormat="1" applyFont="1" applyBorder="1" applyAlignment="1" applyProtection="1">
      <alignment horizontal="right" vertical="center" wrapText="1"/>
      <protection locked="0"/>
    </xf>
    <xf numFmtId="10" fontId="2" fillId="2" borderId="82" xfId="20962" applyNumberFormat="1" applyFont="1" applyFill="1" applyBorder="1" applyAlignment="1" applyProtection="1">
      <alignment vertical="center"/>
      <protection locked="0"/>
    </xf>
    <xf numFmtId="193" fontId="2" fillId="2" borderId="82" xfId="0" applyNumberFormat="1" applyFont="1" applyFill="1" applyBorder="1" applyAlignment="1" applyProtection="1">
      <alignment vertical="center"/>
      <protection locked="0"/>
    </xf>
    <xf numFmtId="10" fontId="2" fillId="2" borderId="78" xfId="20962" applyNumberFormat="1" applyFont="1" applyFill="1" applyBorder="1" applyAlignment="1" applyProtection="1">
      <alignment vertical="center"/>
      <protection locked="0"/>
    </xf>
    <xf numFmtId="193" fontId="2" fillId="2" borderId="78" xfId="0" applyNumberFormat="1" applyFont="1" applyFill="1" applyBorder="1" applyAlignment="1" applyProtection="1">
      <alignment vertical="center"/>
      <protection locked="0"/>
    </xf>
    <xf numFmtId="10" fontId="2" fillId="2" borderId="135" xfId="20962" applyNumberFormat="1" applyFont="1" applyFill="1" applyBorder="1" applyAlignment="1" applyProtection="1">
      <alignment vertical="center"/>
      <protection locked="0"/>
    </xf>
    <xf numFmtId="164" fontId="0" fillId="0" borderId="0" xfId="0" applyNumberFormat="1"/>
    <xf numFmtId="43" fontId="0" fillId="0" borderId="0" xfId="0" applyNumberFormat="1"/>
    <xf numFmtId="164" fontId="136" fillId="0" borderId="18" xfId="7" applyNumberFormat="1" applyFont="1" applyFill="1" applyBorder="1" applyAlignment="1" applyProtection="1">
      <alignment horizontal="right"/>
    </xf>
    <xf numFmtId="164" fontId="136" fillId="0" borderId="121" xfId="7" applyNumberFormat="1" applyFont="1" applyFill="1" applyBorder="1" applyAlignment="1" applyProtection="1">
      <alignment horizontal="right"/>
    </xf>
    <xf numFmtId="193" fontId="2" fillId="0" borderId="104" xfId="0" applyNumberFormat="1" applyFont="1" applyFill="1" applyBorder="1" applyAlignment="1" applyProtection="1">
      <alignment vertical="center"/>
      <protection locked="0"/>
    </xf>
    <xf numFmtId="169" fontId="2" fillId="37" borderId="70" xfId="20" applyFont="1" applyBorder="1"/>
    <xf numFmtId="193" fontId="2" fillId="0" borderId="81" xfId="0" applyNumberFormat="1" applyFont="1" applyFill="1" applyBorder="1" applyAlignment="1" applyProtection="1">
      <alignment vertical="center" wrapText="1"/>
      <protection locked="0"/>
    </xf>
    <xf numFmtId="169" fontId="2" fillId="37" borderId="136" xfId="20" applyFont="1" applyBorder="1"/>
    <xf numFmtId="193" fontId="2" fillId="0" borderId="81" xfId="0" applyNumberFormat="1" applyFont="1" applyFill="1" applyBorder="1" applyAlignment="1" applyProtection="1">
      <alignment horizontal="right" vertical="center" wrapText="1"/>
      <protection locked="0"/>
    </xf>
    <xf numFmtId="193" fontId="45" fillId="0" borderId="81" xfId="0" applyNumberFormat="1" applyFont="1" applyFill="1" applyBorder="1" applyAlignment="1" applyProtection="1">
      <alignment horizontal="right" vertical="center" wrapText="1"/>
      <protection locked="0"/>
    </xf>
    <xf numFmtId="10" fontId="2" fillId="0" borderId="81" xfId="20962" applyNumberFormat="1" applyFont="1" applyBorder="1" applyAlignment="1" applyProtection="1">
      <alignment horizontal="right" vertical="center" wrapText="1"/>
      <protection locked="0"/>
    </xf>
    <xf numFmtId="10" fontId="2" fillId="2" borderId="81" xfId="20962" applyNumberFormat="1" applyFont="1" applyFill="1" applyBorder="1" applyAlignment="1" applyProtection="1">
      <alignment vertical="center"/>
      <protection locked="0"/>
    </xf>
    <xf numFmtId="193" fontId="2" fillId="2" borderId="81" xfId="0" applyNumberFormat="1" applyFont="1" applyFill="1" applyBorder="1" applyAlignment="1" applyProtection="1">
      <alignment vertical="center"/>
      <protection locked="0"/>
    </xf>
    <xf numFmtId="10" fontId="2" fillId="2" borderId="89" xfId="20962" applyNumberFormat="1" applyFont="1" applyFill="1" applyBorder="1" applyAlignment="1" applyProtection="1">
      <alignment vertical="center"/>
      <protection locked="0"/>
    </xf>
    <xf numFmtId="193" fontId="2" fillId="2" borderId="89" xfId="0" applyNumberFormat="1" applyFont="1" applyFill="1" applyBorder="1" applyAlignment="1" applyProtection="1">
      <alignment vertical="center"/>
      <protection locked="0"/>
    </xf>
    <xf numFmtId="10" fontId="2" fillId="2" borderId="23" xfId="20962" applyNumberFormat="1" applyFont="1" applyFill="1" applyBorder="1" applyAlignment="1" applyProtection="1">
      <alignment vertical="center"/>
      <protection locked="0"/>
    </xf>
    <xf numFmtId="164" fontId="135" fillId="0" borderId="18" xfId="7" applyNumberFormat="1" applyFont="1" applyBorder="1" applyAlignment="1">
      <alignment vertical="center"/>
    </xf>
    <xf numFmtId="164" fontId="135" fillId="0" borderId="121" xfId="7" applyNumberFormat="1" applyFont="1" applyBorder="1" applyAlignment="1">
      <alignment vertical="center"/>
    </xf>
    <xf numFmtId="38" fontId="135" fillId="0" borderId="121" xfId="7" applyNumberFormat="1" applyFont="1" applyBorder="1"/>
    <xf numFmtId="38" fontId="135" fillId="36" borderId="121" xfId="7" applyNumberFormat="1" applyFont="1" applyFill="1" applyBorder="1"/>
    <xf numFmtId="38" fontId="0" fillId="0" borderId="121" xfId="7" applyNumberFormat="1" applyFont="1" applyBorder="1"/>
    <xf numFmtId="164" fontId="135" fillId="0" borderId="124" xfId="7" applyNumberFormat="1" applyFont="1" applyBorder="1"/>
    <xf numFmtId="164" fontId="0" fillId="0" borderId="124" xfId="7" applyNumberFormat="1" applyFont="1" applyBorder="1"/>
    <xf numFmtId="164" fontId="135" fillId="0" borderId="124" xfId="7" applyNumberFormat="1" applyFont="1" applyBorder="1" applyAlignment="1">
      <alignment vertical="center"/>
    </xf>
    <xf numFmtId="164" fontId="135" fillId="0" borderId="25" xfId="7" applyNumberFormat="1" applyFont="1" applyBorder="1"/>
    <xf numFmtId="164" fontId="135" fillId="36" borderId="81" xfId="7" applyNumberFormat="1" applyFont="1" applyFill="1" applyBorder="1"/>
    <xf numFmtId="164" fontId="135" fillId="36" borderId="81" xfId="7" applyNumberFormat="1" applyFont="1" applyFill="1" applyBorder="1" applyAlignment="1">
      <alignment vertical="center"/>
    </xf>
    <xf numFmtId="164" fontId="135" fillId="36" borderId="23" xfId="7" applyNumberFormat="1" applyFont="1" applyFill="1" applyBorder="1"/>
    <xf numFmtId="164" fontId="136" fillId="36" borderId="81" xfId="7" applyNumberFormat="1" applyFont="1" applyFill="1" applyBorder="1" applyAlignment="1" applyProtection="1">
      <alignment horizontal="right"/>
    </xf>
    <xf numFmtId="164" fontId="136" fillId="36" borderId="23" xfId="7" applyNumberFormat="1" applyFont="1" applyFill="1" applyBorder="1" applyAlignment="1" applyProtection="1">
      <alignment horizontal="right"/>
    </xf>
    <xf numFmtId="0" fontId="93" fillId="0" borderId="66" xfId="0" applyFont="1" applyBorder="1" applyAlignment="1">
      <alignment horizontal="left" wrapText="1"/>
    </xf>
    <xf numFmtId="0" fontId="93" fillId="0" borderId="65" xfId="0" applyFont="1" applyBorder="1" applyAlignment="1">
      <alignment horizontal="left" wrapText="1"/>
    </xf>
    <xf numFmtId="0" fontId="93" fillId="0" borderId="129" xfId="0" applyFont="1" applyBorder="1" applyAlignment="1">
      <alignment horizontal="center" vertical="center"/>
    </xf>
    <xf numFmtId="0" fontId="93" fillId="0" borderId="30" xfId="0" applyFont="1" applyBorder="1" applyAlignment="1">
      <alignment horizontal="center" vertical="center"/>
    </xf>
    <xf numFmtId="0" fontId="93" fillId="0" borderId="130" xfId="0" applyFont="1" applyBorder="1" applyAlignment="1">
      <alignment horizontal="center" vertical="center"/>
    </xf>
    <xf numFmtId="164" fontId="0" fillId="0" borderId="82" xfId="7" applyNumberFormat="1" applyFont="1" applyBorder="1" applyAlignment="1">
      <alignment horizontal="center"/>
    </xf>
    <xf numFmtId="164" fontId="0" fillId="0" borderId="123" xfId="7" applyNumberFormat="1" applyFont="1" applyBorder="1" applyAlignment="1">
      <alignment horizontal="center"/>
    </xf>
    <xf numFmtId="164" fontId="0" fillId="0" borderId="84" xfId="7" applyNumberFormat="1" applyFont="1" applyBorder="1" applyAlignment="1">
      <alignment horizontal="center"/>
    </xf>
    <xf numFmtId="0" fontId="0" fillId="0" borderId="15" xfId="0" applyBorder="1" applyAlignment="1">
      <alignment horizontal="center" vertical="center"/>
    </xf>
    <xf numFmtId="0" fontId="0" fillId="0" borderId="18" xfId="0" applyBorder="1" applyAlignment="1">
      <alignment horizontal="center" vertical="center"/>
    </xf>
    <xf numFmtId="0" fontId="121" fillId="0" borderId="59" xfId="0" applyFont="1" applyBorder="1" applyAlignment="1">
      <alignment horizontal="center" vertical="center"/>
    </xf>
    <xf numFmtId="0" fontId="121" fillId="0" borderId="85"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122" fillId="0" borderId="17" xfId="0" applyFont="1" applyFill="1" applyBorder="1" applyAlignment="1" applyProtection="1">
      <alignment horizontal="center" vertical="center"/>
    </xf>
    <xf numFmtId="0" fontId="0" fillId="0" borderId="82" xfId="0" applyBorder="1" applyAlignment="1">
      <alignment horizontal="center"/>
    </xf>
    <xf numFmtId="0" fontId="0" fillId="0" borderId="123" xfId="0" applyBorder="1" applyAlignment="1">
      <alignment horizontal="center"/>
    </xf>
    <xf numFmtId="0" fontId="0" fillId="0" borderId="84" xfId="0"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21" fillId="0" borderId="125" xfId="0" applyFont="1" applyBorder="1" applyAlignment="1">
      <alignment horizontal="center" vertical="center" wrapText="1"/>
    </xf>
    <xf numFmtId="0" fontId="121" fillId="0" borderId="7" xfId="0" applyFont="1" applyBorder="1" applyAlignment="1">
      <alignment horizontal="center" vertical="center" wrapText="1"/>
    </xf>
    <xf numFmtId="0" fontId="135" fillId="0" borderId="15" xfId="0" applyFont="1" applyBorder="1" applyAlignment="1">
      <alignment horizontal="center" vertical="center"/>
    </xf>
    <xf numFmtId="0" fontId="135" fillId="0" borderId="18" xfId="0" applyFont="1" applyBorder="1" applyAlignment="1">
      <alignment horizontal="center" vertical="center"/>
    </xf>
    <xf numFmtId="0" fontId="135" fillId="0" borderId="26" xfId="0" applyFont="1" applyBorder="1" applyAlignment="1">
      <alignment horizontal="center" vertical="center" wrapText="1"/>
    </xf>
    <xf numFmtId="0" fontId="135" fillId="0" borderId="12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121" xfId="0" applyFont="1" applyFill="1" applyBorder="1" applyAlignment="1">
      <alignment horizontal="center" vertical="center" wrapText="1"/>
    </xf>
    <xf numFmtId="0" fontId="84" fillId="0" borderId="121" xfId="0" applyFont="1" applyFill="1" applyBorder="1" applyAlignment="1">
      <alignment horizontal="center" vertical="center" wrapText="1"/>
    </xf>
    <xf numFmtId="0" fontId="45" fillId="0" borderId="121"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1" xfId="13" applyFont="1" applyFill="1" applyBorder="1" applyAlignment="1" applyProtection="1">
      <alignment horizontal="center" vertical="center" wrapText="1"/>
      <protection locked="0"/>
    </xf>
    <xf numFmtId="0" fontId="98"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9"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3" borderId="28"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164"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4" fontId="45" fillId="0" borderId="72" xfId="1" applyNumberFormat="1" applyFont="1" applyFill="1" applyBorder="1" applyAlignment="1" applyProtection="1">
      <alignment horizontal="center" vertical="center" wrapText="1"/>
      <protection locked="0"/>
    </xf>
    <xf numFmtId="164"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4" xfId="0" applyFont="1" applyFill="1" applyBorder="1" applyAlignment="1">
      <alignment horizontal="left" vertical="center"/>
    </xf>
    <xf numFmtId="0" fontId="99"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5" fillId="0" borderId="102" xfId="0" applyNumberFormat="1" applyFont="1" applyFill="1" applyBorder="1" applyAlignment="1">
      <alignment horizontal="left" vertical="center" wrapText="1"/>
    </xf>
    <xf numFmtId="0" fontId="115" fillId="0" borderId="103"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10"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6" fillId="0" borderId="85"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2" fillId="0" borderId="125"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1" xfId="0" applyFont="1" applyBorder="1" applyAlignment="1">
      <alignment horizontal="center" vertical="center" wrapText="1"/>
    </xf>
    <xf numFmtId="0" fontId="120" fillId="0" borderId="121"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106" xfId="0" applyFont="1" applyFill="1" applyBorder="1" applyAlignment="1">
      <alignment horizontal="center" vertical="center"/>
    </xf>
    <xf numFmtId="0" fontId="120" fillId="0" borderId="85" xfId="0" applyFont="1" applyFill="1" applyBorder="1" applyAlignment="1">
      <alignment horizontal="center" vertical="center"/>
    </xf>
    <xf numFmtId="0" fontId="120" fillId="0" borderId="75" xfId="0" applyFont="1" applyFill="1" applyBorder="1" applyAlignment="1">
      <alignment horizontal="center" vertical="center"/>
    </xf>
    <xf numFmtId="0" fontId="116" fillId="0" borderId="121" xfId="0" applyFont="1" applyFill="1" applyBorder="1" applyAlignment="1">
      <alignment horizontal="center" vertical="center" wrapText="1"/>
    </xf>
    <xf numFmtId="0" fontId="112" fillId="0" borderId="124" xfId="0" applyFont="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5" fillId="0" borderId="70"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85" xfId="0" applyFont="1" applyFill="1" applyBorder="1" applyAlignment="1">
      <alignment horizontal="center" vertical="center" wrapText="1"/>
    </xf>
    <xf numFmtId="0" fontId="115" fillId="0" borderId="75" xfId="0" applyFont="1" applyFill="1" applyBorder="1" applyAlignment="1">
      <alignment horizontal="center" vertical="center" wrapText="1"/>
    </xf>
    <xf numFmtId="0" fontId="112" fillId="0" borderId="122" xfId="0" applyFont="1" applyFill="1" applyBorder="1" applyAlignment="1">
      <alignment horizontal="center" vertical="center" wrapText="1"/>
    </xf>
    <xf numFmtId="0" fontId="112" fillId="0" borderId="123" xfId="0" applyFont="1" applyFill="1" applyBorder="1" applyAlignment="1">
      <alignment horizontal="center" vertical="center" wrapText="1"/>
    </xf>
    <xf numFmtId="0" fontId="115" fillId="0" borderId="7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12" fillId="0" borderId="75" xfId="0" applyFont="1" applyBorder="1" applyAlignment="1">
      <alignment horizontal="center" vertical="center" wrapText="1"/>
    </xf>
    <xf numFmtId="0" fontId="115" fillId="0" borderId="54" xfId="0" applyNumberFormat="1" applyFont="1" applyFill="1" applyBorder="1" applyAlignment="1">
      <alignment horizontal="left" vertical="top" wrapText="1"/>
    </xf>
    <xf numFmtId="0" fontId="115" fillId="0" borderId="77" xfId="0" applyNumberFormat="1" applyFont="1" applyFill="1" applyBorder="1" applyAlignment="1">
      <alignment horizontal="left" vertical="top" wrapText="1"/>
    </xf>
    <xf numFmtId="0" fontId="115" fillId="0" borderId="63" xfId="0" applyNumberFormat="1" applyFont="1" applyFill="1" applyBorder="1" applyAlignment="1">
      <alignment horizontal="left" vertical="top" wrapText="1"/>
    </xf>
    <xf numFmtId="0" fontId="115" fillId="0" borderId="94" xfId="0" applyNumberFormat="1" applyFont="1" applyFill="1" applyBorder="1" applyAlignment="1">
      <alignment horizontal="left" vertical="top" wrapText="1"/>
    </xf>
    <xf numFmtId="0" fontId="115" fillId="0" borderId="101" xfId="0" applyNumberFormat="1" applyFont="1" applyFill="1" applyBorder="1" applyAlignment="1">
      <alignment horizontal="left" vertical="top" wrapText="1"/>
    </xf>
    <xf numFmtId="0" fontId="115" fillId="0" borderId="128" xfId="0" applyNumberFormat="1" applyFont="1" applyFill="1" applyBorder="1" applyAlignment="1">
      <alignment horizontal="left" vertical="top" wrapText="1"/>
    </xf>
    <xf numFmtId="0" fontId="115" fillId="0" borderId="86" xfId="0" applyFont="1" applyFill="1" applyBorder="1" applyAlignment="1">
      <alignment horizontal="center" vertical="center" wrapText="1"/>
    </xf>
    <xf numFmtId="0" fontId="115" fillId="0" borderId="67" xfId="0" applyFont="1" applyFill="1" applyBorder="1" applyAlignment="1">
      <alignment horizontal="center" vertical="center" wrapText="1"/>
    </xf>
    <xf numFmtId="0" fontId="112" fillId="0" borderId="64" xfId="0" applyFont="1" applyBorder="1" applyAlignment="1">
      <alignment horizontal="center" vertical="center" wrapText="1"/>
    </xf>
    <xf numFmtId="0" fontId="112" fillId="0" borderId="69"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28" xfId="0" applyFont="1" applyFill="1" applyBorder="1" applyAlignment="1">
      <alignment horizontal="center" vertical="center" wrapText="1"/>
    </xf>
    <xf numFmtId="0" fontId="112" fillId="0" borderId="104" xfId="0" applyFont="1" applyBorder="1" applyAlignment="1">
      <alignment horizontal="center" vertical="top" wrapText="1"/>
    </xf>
    <xf numFmtId="0" fontId="112" fillId="0" borderId="105" xfId="0" applyFont="1" applyBorder="1" applyAlignment="1">
      <alignment horizontal="center" vertical="top" wrapText="1"/>
    </xf>
    <xf numFmtId="0" fontId="112" fillId="0" borderId="104" xfId="0" applyFont="1" applyFill="1" applyBorder="1" applyAlignment="1">
      <alignment horizontal="center" vertical="top" wrapText="1"/>
    </xf>
    <xf numFmtId="0" fontId="112" fillId="0" borderId="123" xfId="0" applyFont="1" applyFill="1" applyBorder="1" applyAlignment="1">
      <alignment horizontal="center" vertical="top" wrapText="1"/>
    </xf>
    <xf numFmtId="0" fontId="112" fillId="0" borderId="124" xfId="0" applyFont="1" applyFill="1" applyBorder="1" applyAlignment="1">
      <alignment horizontal="center" vertical="top" wrapText="1"/>
    </xf>
    <xf numFmtId="0" fontId="132" fillId="0" borderId="113" xfId="0" applyNumberFormat="1" applyFont="1" applyFill="1" applyBorder="1" applyAlignment="1">
      <alignment horizontal="left" vertical="top" wrapText="1"/>
    </xf>
    <xf numFmtId="0" fontId="132" fillId="0" borderId="114" xfId="0" applyNumberFormat="1" applyFont="1" applyFill="1" applyBorder="1" applyAlignment="1">
      <alignment horizontal="left" vertical="top" wrapText="1"/>
    </xf>
    <xf numFmtId="0" fontId="118" fillId="0" borderId="104" xfId="0" applyFont="1" applyBorder="1" applyAlignment="1">
      <alignment horizontal="center" vertical="center"/>
    </xf>
    <xf numFmtId="0" fontId="118" fillId="0" borderId="106" xfId="0" applyFont="1" applyBorder="1" applyAlignment="1">
      <alignment horizontal="center" vertical="center"/>
    </xf>
    <xf numFmtId="0" fontId="118" fillId="0" borderId="85" xfId="0" applyFont="1" applyBorder="1" applyAlignment="1">
      <alignment horizontal="center" vertical="center"/>
    </xf>
    <xf numFmtId="0" fontId="118" fillId="0" borderId="75" xfId="0" applyFont="1" applyBorder="1" applyAlignment="1">
      <alignment horizontal="center" vertical="center"/>
    </xf>
    <xf numFmtId="0" fontId="117" fillId="0" borderId="121" xfId="0" applyFont="1" applyBorder="1" applyAlignment="1">
      <alignment horizontal="center" vertical="center" wrapText="1"/>
    </xf>
    <xf numFmtId="0" fontId="117" fillId="0" borderId="125" xfId="0" applyFont="1" applyBorder="1" applyAlignment="1">
      <alignment horizontal="center" vertical="center" wrapText="1"/>
    </xf>
  </cellXfs>
  <cellStyles count="20967">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tabSelected="1" zoomScaleNormal="100" workbookViewId="0">
      <selection activeCell="B1" sqref="B1"/>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8"/>
      <c r="B1" s="143" t="s">
        <v>222</v>
      </c>
      <c r="C1" s="108"/>
    </row>
    <row r="2" spans="1:3" ht="15">
      <c r="A2" s="144">
        <v>1</v>
      </c>
      <c r="B2" s="254" t="s">
        <v>223</v>
      </c>
      <c r="C2" s="642" t="s">
        <v>707</v>
      </c>
    </row>
    <row r="3" spans="1:3" ht="15">
      <c r="A3" s="144">
        <v>2</v>
      </c>
      <c r="B3" s="255" t="s">
        <v>219</v>
      </c>
      <c r="C3" s="642" t="s">
        <v>708</v>
      </c>
    </row>
    <row r="4" spans="1:3" ht="15">
      <c r="A4" s="144">
        <v>3</v>
      </c>
      <c r="B4" s="256" t="s">
        <v>224</v>
      </c>
      <c r="C4" s="642" t="s">
        <v>709</v>
      </c>
    </row>
    <row r="5" spans="1:3">
      <c r="A5" s="145">
        <v>4</v>
      </c>
      <c r="B5" s="257" t="s">
        <v>220</v>
      </c>
      <c r="C5" s="643" t="s">
        <v>710</v>
      </c>
    </row>
    <row r="6" spans="1:3" s="146" customFormat="1" ht="45.75" customHeight="1">
      <c r="A6" s="791" t="s">
        <v>296</v>
      </c>
      <c r="B6" s="792"/>
      <c r="C6" s="792"/>
    </row>
    <row r="7" spans="1:3" ht="15">
      <c r="A7" s="147" t="s">
        <v>29</v>
      </c>
      <c r="B7" s="143" t="s">
        <v>221</v>
      </c>
    </row>
    <row r="8" spans="1:3">
      <c r="A8" s="108">
        <v>1</v>
      </c>
      <c r="B8" s="178" t="s">
        <v>20</v>
      </c>
    </row>
    <row r="9" spans="1:3">
      <c r="A9" s="108">
        <v>2</v>
      </c>
      <c r="B9" s="179" t="s">
        <v>21</v>
      </c>
    </row>
    <row r="10" spans="1:3">
      <c r="A10" s="108">
        <v>3</v>
      </c>
      <c r="B10" s="179" t="s">
        <v>22</v>
      </c>
    </row>
    <row r="11" spans="1:3">
      <c r="A11" s="108">
        <v>4</v>
      </c>
      <c r="B11" s="179" t="s">
        <v>23</v>
      </c>
      <c r="C11" s="47"/>
    </row>
    <row r="12" spans="1:3">
      <c r="A12" s="108">
        <v>5</v>
      </c>
      <c r="B12" s="179" t="s">
        <v>24</v>
      </c>
    </row>
    <row r="13" spans="1:3">
      <c r="A13" s="108">
        <v>6</v>
      </c>
      <c r="B13" s="180" t="s">
        <v>231</v>
      </c>
    </row>
    <row r="14" spans="1:3">
      <c r="A14" s="108">
        <v>7</v>
      </c>
      <c r="B14" s="179" t="s">
        <v>225</v>
      </c>
    </row>
    <row r="15" spans="1:3">
      <c r="A15" s="108">
        <v>8</v>
      </c>
      <c r="B15" s="179" t="s">
        <v>226</v>
      </c>
    </row>
    <row r="16" spans="1:3">
      <c r="A16" s="108">
        <v>9</v>
      </c>
      <c r="B16" s="179" t="s">
        <v>25</v>
      </c>
    </row>
    <row r="17" spans="1:2">
      <c r="A17" s="253" t="s">
        <v>295</v>
      </c>
      <c r="B17" s="252" t="s">
        <v>282</v>
      </c>
    </row>
    <row r="18" spans="1:2">
      <c r="A18" s="108">
        <v>10</v>
      </c>
      <c r="B18" s="179" t="s">
        <v>26</v>
      </c>
    </row>
    <row r="19" spans="1:2">
      <c r="A19" s="108">
        <v>11</v>
      </c>
      <c r="B19" s="180" t="s">
        <v>227</v>
      </c>
    </row>
    <row r="20" spans="1:2">
      <c r="A20" s="108">
        <v>12</v>
      </c>
      <c r="B20" s="180" t="s">
        <v>27</v>
      </c>
    </row>
    <row r="21" spans="1:2">
      <c r="A21" s="304">
        <v>13</v>
      </c>
      <c r="B21" s="305" t="s">
        <v>228</v>
      </c>
    </row>
    <row r="22" spans="1:2">
      <c r="A22" s="304">
        <v>14</v>
      </c>
      <c r="B22" s="306" t="s">
        <v>253</v>
      </c>
    </row>
    <row r="23" spans="1:2">
      <c r="A23" s="307">
        <v>15</v>
      </c>
      <c r="B23" s="308" t="s">
        <v>28</v>
      </c>
    </row>
    <row r="24" spans="1:2">
      <c r="A24" s="307">
        <v>15.1</v>
      </c>
      <c r="B24" s="309" t="s">
        <v>309</v>
      </c>
    </row>
    <row r="25" spans="1:2">
      <c r="A25" s="307">
        <v>16</v>
      </c>
      <c r="B25" s="309" t="s">
        <v>368</v>
      </c>
    </row>
    <row r="26" spans="1:2">
      <c r="A26" s="307">
        <v>17</v>
      </c>
      <c r="B26" s="309" t="s">
        <v>409</v>
      </c>
    </row>
    <row r="27" spans="1:2">
      <c r="A27" s="307">
        <v>18</v>
      </c>
      <c r="B27" s="309" t="s">
        <v>697</v>
      </c>
    </row>
    <row r="28" spans="1:2">
      <c r="A28" s="307">
        <v>19</v>
      </c>
      <c r="B28" s="309" t="s">
        <v>698</v>
      </c>
    </row>
    <row r="29" spans="1:2">
      <c r="A29" s="307">
        <v>20</v>
      </c>
      <c r="B29" s="368" t="s">
        <v>699</v>
      </c>
    </row>
    <row r="30" spans="1:2">
      <c r="A30" s="307">
        <v>21</v>
      </c>
      <c r="B30" s="309" t="s">
        <v>525</v>
      </c>
    </row>
    <row r="31" spans="1:2">
      <c r="A31" s="307">
        <v>22</v>
      </c>
      <c r="B31" s="309" t="s">
        <v>700</v>
      </c>
    </row>
    <row r="32" spans="1:2">
      <c r="A32" s="307">
        <v>23</v>
      </c>
      <c r="B32" s="309" t="s">
        <v>701</v>
      </c>
    </row>
    <row r="33" spans="1:2">
      <c r="A33" s="307">
        <v>24</v>
      </c>
      <c r="B33" s="309" t="s">
        <v>702</v>
      </c>
    </row>
    <row r="34" spans="1:2">
      <c r="A34" s="307">
        <v>25</v>
      </c>
      <c r="B34" s="309" t="s">
        <v>410</v>
      </c>
    </row>
    <row r="35" spans="1:2">
      <c r="A35" s="307">
        <v>26</v>
      </c>
      <c r="B35" s="309" t="s">
        <v>547</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56"/>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50" bestFit="1" customWidth="1"/>
    <col min="2" max="2" width="132.42578125" style="4" customWidth="1"/>
    <col min="3" max="3" width="18.42578125" style="4" customWidth="1"/>
    <col min="4" max="16384" width="9.140625" style="4"/>
  </cols>
  <sheetData>
    <row r="1" spans="1:3">
      <c r="A1" s="2" t="s">
        <v>30</v>
      </c>
      <c r="B1" s="537" t="str">
        <f>'1. key ratios '!B1</f>
        <v>JSC Isbank Georgia</v>
      </c>
    </row>
    <row r="2" spans="1:3" s="40" customFormat="1" ht="15.75" customHeight="1">
      <c r="A2" s="40" t="s">
        <v>31</v>
      </c>
      <c r="B2" s="538">
        <f>'1. key ratios '!B2</f>
        <v>45382</v>
      </c>
    </row>
    <row r="3" spans="1:3" s="40" customFormat="1" ht="15.75" customHeight="1"/>
    <row r="4" spans="1:3" ht="13.5" thickBot="1">
      <c r="A4" s="50" t="s">
        <v>143</v>
      </c>
      <c r="B4" s="93" t="s">
        <v>142</v>
      </c>
    </row>
    <row r="5" spans="1:3">
      <c r="A5" s="51" t="s">
        <v>6</v>
      </c>
      <c r="B5" s="52"/>
      <c r="C5" s="53" t="s">
        <v>35</v>
      </c>
    </row>
    <row r="6" spans="1:3">
      <c r="A6" s="54">
        <v>1</v>
      </c>
      <c r="B6" s="55" t="s">
        <v>141</v>
      </c>
      <c r="C6" s="644">
        <f>SUM(C7:C11)</f>
        <v>138318882.54660827</v>
      </c>
    </row>
    <row r="7" spans="1:3">
      <c r="A7" s="54">
        <v>2</v>
      </c>
      <c r="B7" s="56" t="s">
        <v>140</v>
      </c>
      <c r="C7" s="57">
        <f>'2. SOFP'!E55</f>
        <v>69161600</v>
      </c>
    </row>
    <row r="8" spans="1:3">
      <c r="A8" s="54">
        <v>3</v>
      </c>
      <c r="B8" s="58" t="s">
        <v>139</v>
      </c>
      <c r="C8" s="57"/>
    </row>
    <row r="9" spans="1:3">
      <c r="A9" s="54">
        <v>4</v>
      </c>
      <c r="B9" s="58" t="s">
        <v>138</v>
      </c>
      <c r="C9" s="57"/>
    </row>
    <row r="10" spans="1:3">
      <c r="A10" s="54">
        <v>5</v>
      </c>
      <c r="B10" s="58" t="s">
        <v>137</v>
      </c>
      <c r="C10" s="57"/>
    </row>
    <row r="11" spans="1:3">
      <c r="A11" s="54">
        <v>6</v>
      </c>
      <c r="B11" s="59" t="s">
        <v>136</v>
      </c>
      <c r="C11" s="57">
        <f>'2. SOFP'!E67</f>
        <v>69157282.546608284</v>
      </c>
    </row>
    <row r="12" spans="1:3" s="26" customFormat="1">
      <c r="A12" s="54">
        <v>7</v>
      </c>
      <c r="B12" s="55" t="s">
        <v>135</v>
      </c>
      <c r="C12" s="60">
        <f>SUM(C13:C28)</f>
        <v>154882.46323972591</v>
      </c>
    </row>
    <row r="13" spans="1:3" s="26" customFormat="1">
      <c r="A13" s="54">
        <v>8</v>
      </c>
      <c r="B13" s="61" t="s">
        <v>134</v>
      </c>
      <c r="C13" s="62"/>
    </row>
    <row r="14" spans="1:3" s="26" customFormat="1" ht="25.5">
      <c r="A14" s="54">
        <v>9</v>
      </c>
      <c r="B14" s="63" t="s">
        <v>133</v>
      </c>
      <c r="C14" s="62"/>
    </row>
    <row r="15" spans="1:3" s="26" customFormat="1">
      <c r="A15" s="54">
        <v>10</v>
      </c>
      <c r="B15" s="64" t="s">
        <v>132</v>
      </c>
      <c r="C15" s="62">
        <f>'2. SOFP'!E27</f>
        <v>154882.46323972591</v>
      </c>
    </row>
    <row r="16" spans="1:3" s="26" customFormat="1">
      <c r="A16" s="54">
        <v>11</v>
      </c>
      <c r="B16" s="65" t="s">
        <v>131</v>
      </c>
      <c r="C16" s="62"/>
    </row>
    <row r="17" spans="1:3" s="26" customFormat="1">
      <c r="A17" s="54">
        <v>12</v>
      </c>
      <c r="B17" s="64" t="s">
        <v>130</v>
      </c>
      <c r="C17" s="62"/>
    </row>
    <row r="18" spans="1:3" s="26" customFormat="1">
      <c r="A18" s="54">
        <v>13</v>
      </c>
      <c r="B18" s="64" t="s">
        <v>129</v>
      </c>
      <c r="C18" s="62"/>
    </row>
    <row r="19" spans="1:3" s="26" customFormat="1">
      <c r="A19" s="54">
        <v>14</v>
      </c>
      <c r="B19" s="64" t="s">
        <v>128</v>
      </c>
      <c r="C19" s="62"/>
    </row>
    <row r="20" spans="1:3" s="26" customFormat="1">
      <c r="A20" s="54">
        <v>15</v>
      </c>
      <c r="B20" s="64" t="s">
        <v>127</v>
      </c>
      <c r="C20" s="62"/>
    </row>
    <row r="21" spans="1:3" s="26" customFormat="1" ht="25.5">
      <c r="A21" s="54">
        <v>16</v>
      </c>
      <c r="B21" s="63" t="s">
        <v>126</v>
      </c>
      <c r="C21" s="62"/>
    </row>
    <row r="22" spans="1:3" s="26" customFormat="1">
      <c r="A22" s="54">
        <v>17</v>
      </c>
      <c r="B22" s="66" t="s">
        <v>125</v>
      </c>
      <c r="C22" s="62"/>
    </row>
    <row r="23" spans="1:3" s="26" customFormat="1">
      <c r="A23" s="54">
        <v>18</v>
      </c>
      <c r="B23" s="536" t="s">
        <v>548</v>
      </c>
      <c r="C23" s="370"/>
    </row>
    <row r="24" spans="1:3" s="26" customFormat="1">
      <c r="A24" s="54">
        <v>19</v>
      </c>
      <c r="B24" s="63" t="s">
        <v>124</v>
      </c>
      <c r="C24" s="62"/>
    </row>
    <row r="25" spans="1:3" s="26" customFormat="1" ht="25.5">
      <c r="A25" s="54">
        <v>20</v>
      </c>
      <c r="B25" s="63" t="s">
        <v>101</v>
      </c>
      <c r="C25" s="62"/>
    </row>
    <row r="26" spans="1:3" s="26" customFormat="1">
      <c r="A26" s="54">
        <v>21</v>
      </c>
      <c r="B26" s="67" t="s">
        <v>123</v>
      </c>
      <c r="C26" s="62"/>
    </row>
    <row r="27" spans="1:3" s="26" customFormat="1">
      <c r="A27" s="54">
        <v>22</v>
      </c>
      <c r="B27" s="67" t="s">
        <v>122</v>
      </c>
      <c r="C27" s="62"/>
    </row>
    <row r="28" spans="1:3" s="26" customFormat="1">
      <c r="A28" s="54">
        <v>23</v>
      </c>
      <c r="B28" s="67" t="s">
        <v>121</v>
      </c>
      <c r="C28" s="62"/>
    </row>
    <row r="29" spans="1:3" s="26" customFormat="1">
      <c r="A29" s="54">
        <v>24</v>
      </c>
      <c r="B29" s="68" t="s">
        <v>120</v>
      </c>
      <c r="C29" s="645">
        <f>C6-C12</f>
        <v>138164000.08336854</v>
      </c>
    </row>
    <row r="30" spans="1:3" s="26" customFormat="1">
      <c r="A30" s="69"/>
      <c r="B30" s="70"/>
      <c r="C30" s="62"/>
    </row>
    <row r="31" spans="1:3" s="26" customFormat="1">
      <c r="A31" s="69">
        <v>25</v>
      </c>
      <c r="B31" s="68" t="s">
        <v>119</v>
      </c>
      <c r="C31" s="60">
        <f>C32+C35</f>
        <v>0</v>
      </c>
    </row>
    <row r="32" spans="1:3" s="26" customFormat="1">
      <c r="A32" s="69">
        <v>26</v>
      </c>
      <c r="B32" s="58" t="s">
        <v>118</v>
      </c>
      <c r="C32" s="71">
        <f>C33+C34</f>
        <v>0</v>
      </c>
    </row>
    <row r="33" spans="1:3" s="26" customFormat="1">
      <c r="A33" s="69">
        <v>27</v>
      </c>
      <c r="B33" s="72" t="s">
        <v>192</v>
      </c>
      <c r="C33" s="62"/>
    </row>
    <row r="34" spans="1:3" s="26" customFormat="1">
      <c r="A34" s="69">
        <v>28</v>
      </c>
      <c r="B34" s="72" t="s">
        <v>117</v>
      </c>
      <c r="C34" s="62"/>
    </row>
    <row r="35" spans="1:3" s="26" customFormat="1">
      <c r="A35" s="69">
        <v>29</v>
      </c>
      <c r="B35" s="58" t="s">
        <v>116</v>
      </c>
      <c r="C35" s="62"/>
    </row>
    <row r="36" spans="1:3" s="26" customFormat="1">
      <c r="A36" s="69">
        <v>30</v>
      </c>
      <c r="B36" s="68" t="s">
        <v>115</v>
      </c>
      <c r="C36" s="60">
        <f>SUM(C37:C41)</f>
        <v>0</v>
      </c>
    </row>
    <row r="37" spans="1:3" s="26" customFormat="1">
      <c r="A37" s="69">
        <v>31</v>
      </c>
      <c r="B37" s="63" t="s">
        <v>114</v>
      </c>
      <c r="C37" s="62"/>
    </row>
    <row r="38" spans="1:3" s="26" customFormat="1">
      <c r="A38" s="69">
        <v>32</v>
      </c>
      <c r="B38" s="64" t="s">
        <v>113</v>
      </c>
      <c r="C38" s="62"/>
    </row>
    <row r="39" spans="1:3" s="26" customFormat="1" ht="25.5">
      <c r="A39" s="69">
        <v>33</v>
      </c>
      <c r="B39" s="63" t="s">
        <v>112</v>
      </c>
      <c r="C39" s="62"/>
    </row>
    <row r="40" spans="1:3" s="26" customFormat="1" ht="25.5">
      <c r="A40" s="69">
        <v>34</v>
      </c>
      <c r="B40" s="63" t="s">
        <v>101</v>
      </c>
      <c r="C40" s="62"/>
    </row>
    <row r="41" spans="1:3" s="26" customFormat="1">
      <c r="A41" s="69">
        <v>35</v>
      </c>
      <c r="B41" s="67" t="s">
        <v>111</v>
      </c>
      <c r="C41" s="62"/>
    </row>
    <row r="42" spans="1:3" s="26" customFormat="1">
      <c r="A42" s="69">
        <v>36</v>
      </c>
      <c r="B42" s="68" t="s">
        <v>110</v>
      </c>
      <c r="C42" s="60">
        <f>C31-C36</f>
        <v>0</v>
      </c>
    </row>
    <row r="43" spans="1:3" s="26" customFormat="1">
      <c r="A43" s="69"/>
      <c r="B43" s="70"/>
      <c r="C43" s="62"/>
    </row>
    <row r="44" spans="1:3" s="26" customFormat="1">
      <c r="A44" s="69">
        <v>37</v>
      </c>
      <c r="B44" s="73" t="s">
        <v>109</v>
      </c>
      <c r="C44" s="60">
        <f>SUM(C45:C47)</f>
        <v>0</v>
      </c>
    </row>
    <row r="45" spans="1:3" s="26" customFormat="1">
      <c r="A45" s="69">
        <v>38</v>
      </c>
      <c r="B45" s="58" t="s">
        <v>108</v>
      </c>
      <c r="C45" s="62"/>
    </row>
    <row r="46" spans="1:3" s="26" customFormat="1">
      <c r="A46" s="69">
        <v>39</v>
      </c>
      <c r="B46" s="58" t="s">
        <v>107</v>
      </c>
      <c r="C46" s="62"/>
    </row>
    <row r="47" spans="1:3" s="26" customFormat="1">
      <c r="A47" s="69">
        <v>40</v>
      </c>
      <c r="B47" s="58" t="s">
        <v>106</v>
      </c>
      <c r="C47" s="62"/>
    </row>
    <row r="48" spans="1:3" s="26" customFormat="1">
      <c r="A48" s="69">
        <v>41</v>
      </c>
      <c r="B48" s="73" t="s">
        <v>105</v>
      </c>
      <c r="C48" s="60">
        <f>SUM(C49:C52)</f>
        <v>0</v>
      </c>
    </row>
    <row r="49" spans="1:3" s="26" customFormat="1">
      <c r="A49" s="69">
        <v>42</v>
      </c>
      <c r="B49" s="63" t="s">
        <v>104</v>
      </c>
      <c r="C49" s="62"/>
    </row>
    <row r="50" spans="1:3" s="26" customFormat="1">
      <c r="A50" s="69">
        <v>43</v>
      </c>
      <c r="B50" s="64" t="s">
        <v>103</v>
      </c>
      <c r="C50" s="62"/>
    </row>
    <row r="51" spans="1:3" s="26" customFormat="1">
      <c r="A51" s="69">
        <v>44</v>
      </c>
      <c r="B51" s="63" t="s">
        <v>102</v>
      </c>
      <c r="C51" s="62"/>
    </row>
    <row r="52" spans="1:3" s="26" customFormat="1" ht="25.5">
      <c r="A52" s="69">
        <v>45</v>
      </c>
      <c r="B52" s="63" t="s">
        <v>101</v>
      </c>
      <c r="C52" s="62"/>
    </row>
    <row r="53" spans="1:3" s="26" customFormat="1" ht="13.5" thickBot="1">
      <c r="A53" s="69">
        <v>46</v>
      </c>
      <c r="B53" s="74" t="s">
        <v>100</v>
      </c>
      <c r="C53" s="75">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140625" defaultRowHeight="12.75"/>
  <cols>
    <col min="1" max="1" width="9.42578125" style="192" bestFit="1" customWidth="1"/>
    <col min="2" max="2" width="59" style="192" customWidth="1"/>
    <col min="3" max="3" width="16.7109375" style="192" bestFit="1" customWidth="1"/>
    <col min="4" max="4" width="13.28515625" style="192" bestFit="1" customWidth="1"/>
    <col min="5" max="16384" width="9.140625" style="192"/>
  </cols>
  <sheetData>
    <row r="1" spans="1:4" ht="15">
      <c r="A1" s="238" t="s">
        <v>30</v>
      </c>
      <c r="B1" s="537" t="str">
        <f>'1. key ratios '!B1</f>
        <v>JSC Isbank Georgia</v>
      </c>
    </row>
    <row r="2" spans="1:4" s="166" customFormat="1" ht="15.75" customHeight="1">
      <c r="A2" s="166" t="s">
        <v>31</v>
      </c>
      <c r="B2" s="538">
        <f>'1. key ratios '!B2</f>
        <v>45382</v>
      </c>
    </row>
    <row r="3" spans="1:4" s="166" customFormat="1" ht="15.75" customHeight="1"/>
    <row r="4" spans="1:4" ht="13.5" thickBot="1">
      <c r="A4" s="209" t="s">
        <v>281</v>
      </c>
      <c r="B4" s="246" t="s">
        <v>282</v>
      </c>
    </row>
    <row r="5" spans="1:4" s="247" customFormat="1" ht="12.75" customHeight="1">
      <c r="A5" s="302"/>
      <c r="B5" s="303" t="s">
        <v>285</v>
      </c>
      <c r="C5" s="239" t="s">
        <v>283</v>
      </c>
      <c r="D5" s="240" t="s">
        <v>284</v>
      </c>
    </row>
    <row r="6" spans="1:4" s="248" customFormat="1">
      <c r="A6" s="241">
        <v>1</v>
      </c>
      <c r="B6" s="298" t="s">
        <v>286</v>
      </c>
      <c r="C6" s="298"/>
      <c r="D6" s="242"/>
    </row>
    <row r="7" spans="1:4" s="248" customFormat="1">
      <c r="A7" s="243" t="s">
        <v>272</v>
      </c>
      <c r="B7" s="299" t="s">
        <v>287</v>
      </c>
      <c r="C7" s="291">
        <v>4.4999999999999998E-2</v>
      </c>
      <c r="D7" s="646">
        <f>C7*'5. RWA '!$C$13</f>
        <v>23229204.893676139</v>
      </c>
    </row>
    <row r="8" spans="1:4" s="248" customFormat="1">
      <c r="A8" s="243" t="s">
        <v>273</v>
      </c>
      <c r="B8" s="299" t="s">
        <v>288</v>
      </c>
      <c r="C8" s="292">
        <v>0.06</v>
      </c>
      <c r="D8" s="646">
        <f>C8*'5. RWA '!$C$13</f>
        <v>30972273.191568188</v>
      </c>
    </row>
    <row r="9" spans="1:4" s="248" customFormat="1">
      <c r="A9" s="243" t="s">
        <v>274</v>
      </c>
      <c r="B9" s="299" t="s">
        <v>289</v>
      </c>
      <c r="C9" s="292">
        <v>0.08</v>
      </c>
      <c r="D9" s="646">
        <f>C9*'5. RWA '!$C$13</f>
        <v>41296364.255424254</v>
      </c>
    </row>
    <row r="10" spans="1:4" s="248" customFormat="1">
      <c r="A10" s="241" t="s">
        <v>275</v>
      </c>
      <c r="B10" s="298" t="s">
        <v>290</v>
      </c>
      <c r="C10" s="293"/>
      <c r="D10" s="647"/>
    </row>
    <row r="11" spans="1:4" s="249" customFormat="1">
      <c r="A11" s="244" t="s">
        <v>276</v>
      </c>
      <c r="B11" s="290" t="s">
        <v>732</v>
      </c>
      <c r="C11" s="294">
        <v>2.5000000000000001E-2</v>
      </c>
      <c r="D11" s="646">
        <f>C11*'5. RWA '!$C$13</f>
        <v>12905113.82982008</v>
      </c>
    </row>
    <row r="12" spans="1:4" s="249" customFormat="1">
      <c r="A12" s="244" t="s">
        <v>277</v>
      </c>
      <c r="B12" s="290" t="s">
        <v>291</v>
      </c>
      <c r="C12" s="294">
        <v>2.5000000000000001E-3</v>
      </c>
      <c r="D12" s="646">
        <f>C12*'5. RWA '!$C$13</f>
        <v>1290511.3829820079</v>
      </c>
    </row>
    <row r="13" spans="1:4" s="249" customFormat="1">
      <c r="A13" s="244" t="s">
        <v>278</v>
      </c>
      <c r="B13" s="290" t="s">
        <v>292</v>
      </c>
      <c r="C13" s="294"/>
      <c r="D13" s="646">
        <f>C13*'5. RWA '!$C$13</f>
        <v>0</v>
      </c>
    </row>
    <row r="14" spans="1:4" s="249" customFormat="1">
      <c r="A14" s="241" t="s">
        <v>279</v>
      </c>
      <c r="B14" s="298" t="s">
        <v>353</v>
      </c>
      <c r="C14" s="295"/>
      <c r="D14" s="647"/>
    </row>
    <row r="15" spans="1:4" s="249" customFormat="1">
      <c r="A15" s="244">
        <v>3.1</v>
      </c>
      <c r="B15" s="290" t="s">
        <v>297</v>
      </c>
      <c r="C15" s="294">
        <v>7.3276871456892559E-2</v>
      </c>
      <c r="D15" s="646">
        <f>C15*'5. RWA '!$C$13</f>
        <v>37825854.689771697</v>
      </c>
    </row>
    <row r="16" spans="1:4" s="249" customFormat="1">
      <c r="A16" s="244">
        <v>3.2</v>
      </c>
      <c r="B16" s="290" t="s">
        <v>298</v>
      </c>
      <c r="C16" s="294">
        <v>9.4164555248261575E-2</v>
      </c>
      <c r="D16" s="646">
        <f>C16*'5. RWA '!$C$13</f>
        <v>48608172.168527894</v>
      </c>
    </row>
    <row r="17" spans="1:6" s="248" customFormat="1">
      <c r="A17" s="244">
        <v>3.3</v>
      </c>
      <c r="B17" s="290" t="s">
        <v>299</v>
      </c>
      <c r="C17" s="294">
        <v>0.1216483497105892</v>
      </c>
      <c r="D17" s="646">
        <f>C17*'5. RWA '!$C$13</f>
        <v>62795432.008996561</v>
      </c>
    </row>
    <row r="18" spans="1:6" s="247" customFormat="1" ht="12.75" customHeight="1">
      <c r="A18" s="300"/>
      <c r="B18" s="301" t="s">
        <v>352</v>
      </c>
      <c r="C18" s="296" t="s">
        <v>283</v>
      </c>
      <c r="D18" s="648" t="s">
        <v>284</v>
      </c>
    </row>
    <row r="19" spans="1:6" s="248" customFormat="1">
      <c r="A19" s="245">
        <v>4</v>
      </c>
      <c r="B19" s="290" t="s">
        <v>293</v>
      </c>
      <c r="C19" s="294">
        <f>C7+C11+C12+C13+C15</f>
        <v>0.14577687145689255</v>
      </c>
      <c r="D19" s="646">
        <f>C19*'5. RWA '!$C$13</f>
        <v>75250684.796249926</v>
      </c>
    </row>
    <row r="20" spans="1:6" s="248" customFormat="1">
      <c r="A20" s="245">
        <v>5</v>
      </c>
      <c r="B20" s="290" t="s">
        <v>90</v>
      </c>
      <c r="C20" s="294">
        <f>C8+C11+C12+C13+C16</f>
        <v>0.18166455524826158</v>
      </c>
      <c r="D20" s="646">
        <f>C20*'5. RWA '!$C$13</f>
        <v>93776070.572898179</v>
      </c>
    </row>
    <row r="21" spans="1:6" s="248" customFormat="1" ht="13.5" thickBot="1">
      <c r="A21" s="250" t="s">
        <v>280</v>
      </c>
      <c r="B21" s="251" t="s">
        <v>294</v>
      </c>
      <c r="C21" s="297">
        <f>C9+C11+C12+C13+C17</f>
        <v>0.22914834971058923</v>
      </c>
      <c r="D21" s="649">
        <f>C21*'5. RWA '!$C$13</f>
        <v>118287421.47722292</v>
      </c>
    </row>
    <row r="22" spans="1:6">
      <c r="F22" s="209"/>
    </row>
    <row r="23" spans="1:6">
      <c r="B23" s="208"/>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650" t="s">
        <v>30</v>
      </c>
      <c r="B1" s="537" t="str">
        <f>'1. key ratios '!B1</f>
        <v>JSC Isbank Georgia</v>
      </c>
      <c r="E1" s="4"/>
      <c r="F1" s="4"/>
    </row>
    <row r="2" spans="1:6" s="40" customFormat="1" ht="15.75" customHeight="1">
      <c r="A2" s="650" t="s">
        <v>31</v>
      </c>
      <c r="B2" s="538">
        <f>'1. key ratios '!B2</f>
        <v>45382</v>
      </c>
    </row>
    <row r="3" spans="1:6" s="40" customFormat="1" ht="15.75" customHeight="1">
      <c r="A3" s="76"/>
    </row>
    <row r="4" spans="1:6" s="40" customFormat="1" ht="15.75" customHeight="1" thickBot="1">
      <c r="A4" s="40" t="s">
        <v>47</v>
      </c>
      <c r="B4" s="161" t="s">
        <v>178</v>
      </c>
      <c r="D4" s="18" t="s">
        <v>35</v>
      </c>
    </row>
    <row r="5" spans="1:6" ht="25.5">
      <c r="A5" s="77" t="s">
        <v>6</v>
      </c>
      <c r="B5" s="182" t="s">
        <v>218</v>
      </c>
      <c r="C5" s="78" t="s">
        <v>655</v>
      </c>
      <c r="D5" s="79" t="s">
        <v>49</v>
      </c>
    </row>
    <row r="6" spans="1:6" ht="15">
      <c r="A6" s="554">
        <v>1</v>
      </c>
      <c r="B6" s="555" t="s">
        <v>556</v>
      </c>
      <c r="C6" s="652">
        <f>SUM(C7:C9)</f>
        <v>103939442.81707445</v>
      </c>
      <c r="D6" s="80"/>
      <c r="E6" s="81"/>
    </row>
    <row r="7" spans="1:6" ht="15">
      <c r="A7" s="554">
        <v>1.1000000000000001</v>
      </c>
      <c r="B7" s="382" t="s">
        <v>557</v>
      </c>
      <c r="C7" s="419">
        <f>'7. LI1 '!C9</f>
        <v>1672433.9000000001</v>
      </c>
      <c r="D7" s="82"/>
      <c r="E7" s="81"/>
    </row>
    <row r="8" spans="1:6" ht="15">
      <c r="A8" s="554">
        <v>1.2</v>
      </c>
      <c r="B8" s="382" t="s">
        <v>558</v>
      </c>
      <c r="C8" s="419">
        <f>'7. LI1 '!C10</f>
        <v>42810559.619316176</v>
      </c>
      <c r="D8" s="82"/>
      <c r="E8" s="81"/>
    </row>
    <row r="9" spans="1:6" ht="15">
      <c r="A9" s="554">
        <v>1.3</v>
      </c>
      <c r="B9" s="382" t="s">
        <v>559</v>
      </c>
      <c r="C9" s="419">
        <f>'7. LI1 '!C11</f>
        <v>59456449.297758266</v>
      </c>
      <c r="D9" s="415"/>
      <c r="E9" s="81"/>
    </row>
    <row r="10" spans="1:6" ht="15">
      <c r="A10" s="554">
        <v>2</v>
      </c>
      <c r="B10" s="371" t="s">
        <v>560</v>
      </c>
      <c r="C10" s="653">
        <f>'7. LI1 '!C12</f>
        <v>0</v>
      </c>
      <c r="D10" s="415"/>
      <c r="E10" s="81"/>
    </row>
    <row r="11" spans="1:6" ht="15">
      <c r="A11" s="554">
        <v>2.1</v>
      </c>
      <c r="B11" s="380" t="s">
        <v>561</v>
      </c>
      <c r="C11" s="419">
        <f>'7. LI1 '!C13</f>
        <v>0</v>
      </c>
      <c r="D11" s="416"/>
      <c r="E11" s="83"/>
    </row>
    <row r="12" spans="1:6" ht="15">
      <c r="A12" s="554">
        <v>3</v>
      </c>
      <c r="B12" s="372" t="s">
        <v>562</v>
      </c>
      <c r="C12" s="653">
        <f>'7. LI1 '!C14</f>
        <v>0</v>
      </c>
      <c r="D12" s="416"/>
      <c r="E12" s="83"/>
    </row>
    <row r="13" spans="1:6" ht="15">
      <c r="A13" s="554">
        <v>4</v>
      </c>
      <c r="B13" s="373" t="s">
        <v>563</v>
      </c>
      <c r="C13" s="653">
        <f>'7. LI1 '!C15</f>
        <v>0</v>
      </c>
      <c r="D13" s="416"/>
      <c r="E13" s="83"/>
    </row>
    <row r="14" spans="1:6" ht="15">
      <c r="A14" s="554">
        <v>5</v>
      </c>
      <c r="B14" s="374" t="s">
        <v>564</v>
      </c>
      <c r="C14" s="654">
        <f>SUM(C15:C17)</f>
        <v>0</v>
      </c>
      <c r="D14" s="416"/>
      <c r="E14" s="83"/>
    </row>
    <row r="15" spans="1:6" ht="15">
      <c r="A15" s="554">
        <v>5.0999999999999996</v>
      </c>
      <c r="B15" s="375" t="s">
        <v>565</v>
      </c>
      <c r="C15" s="419">
        <f>'7. LI1 '!C17</f>
        <v>0</v>
      </c>
      <c r="D15" s="416"/>
      <c r="E15" s="81"/>
    </row>
    <row r="16" spans="1:6" ht="15">
      <c r="A16" s="554">
        <v>5.2</v>
      </c>
      <c r="B16" s="375" t="s">
        <v>566</v>
      </c>
      <c r="C16" s="419">
        <f>'7. LI1 '!C18</f>
        <v>0</v>
      </c>
      <c r="D16" s="415"/>
      <c r="E16" s="81"/>
    </row>
    <row r="17" spans="1:5" ht="15">
      <c r="A17" s="554">
        <v>5.3</v>
      </c>
      <c r="B17" s="376" t="s">
        <v>567</v>
      </c>
      <c r="C17" s="419">
        <f>'7. LI1 '!C19</f>
        <v>0</v>
      </c>
      <c r="D17" s="415"/>
      <c r="E17" s="81"/>
    </row>
    <row r="18" spans="1:5" ht="15">
      <c r="A18" s="554">
        <v>6</v>
      </c>
      <c r="B18" s="372" t="s">
        <v>568</v>
      </c>
      <c r="C18" s="655">
        <f>SUM(C19:C20)</f>
        <v>367949887.49676597</v>
      </c>
      <c r="D18" s="415"/>
      <c r="E18" s="81"/>
    </row>
    <row r="19" spans="1:5" ht="15">
      <c r="A19" s="554">
        <v>6.1</v>
      </c>
      <c r="B19" s="375" t="s">
        <v>566</v>
      </c>
      <c r="C19" s="419">
        <f>'7. LI1 '!C21</f>
        <v>71669090.4005467</v>
      </c>
      <c r="D19" s="415"/>
      <c r="E19" s="81"/>
    </row>
    <row r="20" spans="1:5" ht="15">
      <c r="A20" s="554">
        <v>6.2</v>
      </c>
      <c r="B20" s="376" t="s">
        <v>567</v>
      </c>
      <c r="C20" s="419">
        <f>'7. LI1 '!C22</f>
        <v>296280797.09621924</v>
      </c>
      <c r="D20" s="415"/>
      <c r="E20" s="81"/>
    </row>
    <row r="21" spans="1:5" ht="15">
      <c r="A21" s="554">
        <v>7</v>
      </c>
      <c r="B21" s="371" t="s">
        <v>569</v>
      </c>
      <c r="C21" s="653">
        <f>'7. LI1 '!C23</f>
        <v>0</v>
      </c>
      <c r="D21" s="415"/>
      <c r="E21" s="81"/>
    </row>
    <row r="22" spans="1:5" ht="15">
      <c r="A22" s="554">
        <v>8</v>
      </c>
      <c r="B22" s="377" t="s">
        <v>570</v>
      </c>
      <c r="C22" s="653">
        <f>'7. LI1 '!C24</f>
        <v>0</v>
      </c>
      <c r="D22" s="415"/>
      <c r="E22" s="81"/>
    </row>
    <row r="23" spans="1:5" ht="15">
      <c r="A23" s="554">
        <v>9</v>
      </c>
      <c r="B23" s="373" t="s">
        <v>571</v>
      </c>
      <c r="C23" s="655">
        <f>SUM(C24:C25)</f>
        <v>7540987.9099999983</v>
      </c>
      <c r="D23" s="417"/>
      <c r="E23" s="81"/>
    </row>
    <row r="24" spans="1:5" ht="15">
      <c r="A24" s="554">
        <v>9.1</v>
      </c>
      <c r="B24" s="375" t="s">
        <v>572</v>
      </c>
      <c r="C24" s="419">
        <f>'7. LI1 '!C26</f>
        <v>7540987.9099999983</v>
      </c>
      <c r="D24" s="418"/>
      <c r="E24" s="81"/>
    </row>
    <row r="25" spans="1:5" ht="15">
      <c r="A25" s="554">
        <v>9.1999999999999993</v>
      </c>
      <c r="B25" s="375" t="s">
        <v>573</v>
      </c>
      <c r="C25" s="419">
        <f>'7. LI1 '!C27</f>
        <v>0</v>
      </c>
      <c r="D25" s="414"/>
      <c r="E25" s="85"/>
    </row>
    <row r="26" spans="1:5" ht="15.75">
      <c r="A26" s="554">
        <v>10</v>
      </c>
      <c r="B26" s="373" t="s">
        <v>574</v>
      </c>
      <c r="C26" s="656">
        <f>SUM(C27:C28)</f>
        <v>154882.46323972591</v>
      </c>
      <c r="D26" s="665" t="s">
        <v>696</v>
      </c>
      <c r="E26" s="81"/>
    </row>
    <row r="27" spans="1:5" ht="15">
      <c r="A27" s="554">
        <v>10.1</v>
      </c>
      <c r="B27" s="375" t="s">
        <v>575</v>
      </c>
      <c r="C27" s="419">
        <f>'7. LI1 '!C29</f>
        <v>0</v>
      </c>
      <c r="D27" s="82"/>
      <c r="E27" s="81"/>
    </row>
    <row r="28" spans="1:5" ht="15">
      <c r="A28" s="554">
        <v>10.199999999999999</v>
      </c>
      <c r="B28" s="375" t="s">
        <v>576</v>
      </c>
      <c r="C28" s="419">
        <f>'7. LI1 '!C30</f>
        <v>154882.46323972591</v>
      </c>
      <c r="D28" s="82"/>
      <c r="E28" s="81"/>
    </row>
    <row r="29" spans="1:5" ht="15">
      <c r="A29" s="554">
        <v>11</v>
      </c>
      <c r="B29" s="373" t="s">
        <v>577</v>
      </c>
      <c r="C29" s="653">
        <f>SUM(C30:C31)</f>
        <v>1748881.72</v>
      </c>
      <c r="D29" s="82"/>
      <c r="E29" s="81"/>
    </row>
    <row r="30" spans="1:5" ht="15">
      <c r="A30" s="554">
        <v>11.1</v>
      </c>
      <c r="B30" s="375" t="s">
        <v>578</v>
      </c>
      <c r="C30" s="419">
        <f>'7. LI1 '!C32</f>
        <v>1748881.72</v>
      </c>
      <c r="D30" s="82"/>
      <c r="E30" s="81"/>
    </row>
    <row r="31" spans="1:5" ht="15">
      <c r="A31" s="554">
        <v>11.2</v>
      </c>
      <c r="B31" s="375" t="s">
        <v>579</v>
      </c>
      <c r="C31" s="419">
        <f>'7. LI1 '!C33</f>
        <v>0</v>
      </c>
      <c r="D31" s="82"/>
      <c r="E31" s="81"/>
    </row>
    <row r="32" spans="1:5" ht="15">
      <c r="A32" s="554">
        <v>13</v>
      </c>
      <c r="B32" s="373" t="s">
        <v>580</v>
      </c>
      <c r="C32" s="653">
        <f>'7. LI1 '!C34</f>
        <v>3400198.6300000004</v>
      </c>
      <c r="D32" s="82"/>
      <c r="E32" s="81"/>
    </row>
    <row r="33" spans="1:5" ht="15">
      <c r="A33" s="554">
        <v>13.1</v>
      </c>
      <c r="B33" s="557" t="s">
        <v>581</v>
      </c>
      <c r="C33" s="419">
        <f>'7. LI1 '!C35</f>
        <v>1349093.18</v>
      </c>
      <c r="D33" s="82"/>
      <c r="E33" s="81"/>
    </row>
    <row r="34" spans="1:5" ht="15">
      <c r="A34" s="554">
        <v>13.2</v>
      </c>
      <c r="B34" s="557" t="s">
        <v>582</v>
      </c>
      <c r="C34" s="419">
        <f>'7. LI1 '!C36</f>
        <v>0</v>
      </c>
      <c r="D34" s="84"/>
      <c r="E34" s="81"/>
    </row>
    <row r="35" spans="1:5" ht="15">
      <c r="A35" s="554">
        <v>14</v>
      </c>
      <c r="B35" s="387" t="s">
        <v>583</v>
      </c>
      <c r="C35" s="651">
        <f>SUM(C6,C10,C12,C13,C14,C18,C21,C22,C23,C26,C29,C32)</f>
        <v>484734281.03708017</v>
      </c>
      <c r="D35" s="84"/>
      <c r="E35" s="81"/>
    </row>
    <row r="36" spans="1:5" ht="15">
      <c r="A36" s="554"/>
      <c r="B36" s="385" t="s">
        <v>584</v>
      </c>
      <c r="C36" s="86"/>
      <c r="D36" s="87"/>
      <c r="E36" s="81"/>
    </row>
    <row r="37" spans="1:5" ht="15">
      <c r="A37" s="554">
        <v>15</v>
      </c>
      <c r="B37" s="378" t="s">
        <v>585</v>
      </c>
      <c r="C37" s="420">
        <f>'2. SOFP'!E38</f>
        <v>0</v>
      </c>
      <c r="D37" s="414"/>
      <c r="E37" s="85"/>
    </row>
    <row r="38" spans="1:5" ht="15">
      <c r="A38" s="554">
        <v>15.1</v>
      </c>
      <c r="B38" s="380" t="s">
        <v>561</v>
      </c>
      <c r="C38" s="657">
        <f>'2. SOFP'!E39</f>
        <v>0</v>
      </c>
      <c r="D38" s="82"/>
      <c r="E38" s="81"/>
    </row>
    <row r="39" spans="1:5" ht="15">
      <c r="A39" s="554">
        <v>16</v>
      </c>
      <c r="B39" s="371" t="s">
        <v>586</v>
      </c>
      <c r="C39" s="658">
        <f>'2. SOFP'!E40</f>
        <v>0</v>
      </c>
      <c r="D39" s="82"/>
      <c r="E39" s="81"/>
    </row>
    <row r="40" spans="1:5" ht="15">
      <c r="A40" s="554">
        <v>17</v>
      </c>
      <c r="B40" s="371" t="s">
        <v>587</v>
      </c>
      <c r="C40" s="653">
        <f>SUM(C41:C44)</f>
        <v>341674655.89999998</v>
      </c>
      <c r="D40" s="82"/>
      <c r="E40" s="81"/>
    </row>
    <row r="41" spans="1:5" ht="15">
      <c r="A41" s="554">
        <v>17.100000000000001</v>
      </c>
      <c r="B41" s="381" t="s">
        <v>588</v>
      </c>
      <c r="C41" s="657">
        <f>'2. SOFP'!E42</f>
        <v>284840180.81</v>
      </c>
      <c r="D41" s="82"/>
      <c r="E41" s="81"/>
    </row>
    <row r="42" spans="1:5" ht="15">
      <c r="A42" s="554">
        <v>17.2</v>
      </c>
      <c r="B42" s="382" t="s">
        <v>589</v>
      </c>
      <c r="C42" s="657">
        <f>'2. SOFP'!E43</f>
        <v>52247799.260000005</v>
      </c>
      <c r="D42" s="82"/>
      <c r="E42" s="81"/>
    </row>
    <row r="43" spans="1:5" ht="15">
      <c r="A43" s="554">
        <v>17.3</v>
      </c>
      <c r="B43" s="406" t="s">
        <v>590</v>
      </c>
      <c r="C43" s="657">
        <f>'2. SOFP'!E44</f>
        <v>0</v>
      </c>
      <c r="D43" s="84"/>
      <c r="E43" s="81"/>
    </row>
    <row r="44" spans="1:5" ht="15">
      <c r="A44" s="554">
        <v>17.399999999999999</v>
      </c>
      <c r="B44" s="407" t="s">
        <v>591</v>
      </c>
      <c r="C44" s="657">
        <f>'2. SOFP'!E45</f>
        <v>4586675.83</v>
      </c>
      <c r="D44" s="660"/>
      <c r="E44" s="81"/>
    </row>
    <row r="45" spans="1:5" ht="15">
      <c r="A45" s="554">
        <v>18</v>
      </c>
      <c r="B45" s="408" t="s">
        <v>592</v>
      </c>
      <c r="C45" s="658">
        <f>'2. SOFP'!E46</f>
        <v>422464.7187381874</v>
      </c>
      <c r="D45" s="661"/>
      <c r="E45" s="85"/>
    </row>
    <row r="46" spans="1:5" ht="15">
      <c r="A46" s="554">
        <v>19</v>
      </c>
      <c r="B46" s="408" t="s">
        <v>593</v>
      </c>
      <c r="C46" s="658">
        <f>SUM(C47:C48)</f>
        <v>943503</v>
      </c>
      <c r="D46" s="662"/>
    </row>
    <row r="47" spans="1:5" ht="15">
      <c r="A47" s="554">
        <v>19.100000000000001</v>
      </c>
      <c r="B47" s="410" t="s">
        <v>594</v>
      </c>
      <c r="C47" s="657">
        <f>'2. SOFP'!E48</f>
        <v>943503</v>
      </c>
      <c r="D47" s="662"/>
    </row>
    <row r="48" spans="1:5" ht="15">
      <c r="A48" s="554">
        <v>19.2</v>
      </c>
      <c r="B48" s="410" t="s">
        <v>595</v>
      </c>
      <c r="C48" s="657">
        <f>'2. SOFP'!E49</f>
        <v>0</v>
      </c>
      <c r="D48" s="662"/>
    </row>
    <row r="49" spans="1:4" ht="15">
      <c r="A49" s="554">
        <v>20</v>
      </c>
      <c r="B49" s="383" t="s">
        <v>596</v>
      </c>
      <c r="C49" s="658">
        <f>'2. SOFP'!E50</f>
        <v>0</v>
      </c>
      <c r="D49" s="662"/>
    </row>
    <row r="50" spans="1:4" ht="15">
      <c r="A50" s="554">
        <v>21</v>
      </c>
      <c r="B50" s="411" t="s">
        <v>597</v>
      </c>
      <c r="C50" s="658">
        <f>'2. SOFP'!E51</f>
        <v>3374774.8717336133</v>
      </c>
      <c r="D50" s="662"/>
    </row>
    <row r="51" spans="1:4" ht="15">
      <c r="A51" s="554">
        <v>21.1</v>
      </c>
      <c r="B51" s="382" t="s">
        <v>598</v>
      </c>
      <c r="C51" s="657">
        <f>'2. SOFP'!E52</f>
        <v>0</v>
      </c>
      <c r="D51" s="662"/>
    </row>
    <row r="52" spans="1:4" ht="15">
      <c r="A52" s="554">
        <v>22</v>
      </c>
      <c r="B52" s="384" t="s">
        <v>599</v>
      </c>
      <c r="C52" s="651">
        <f>SUM(C37,C39,C40,C45,C46,C49,C50)</f>
        <v>346415398.49047178</v>
      </c>
      <c r="D52" s="662"/>
    </row>
    <row r="53" spans="1:4" ht="15">
      <c r="A53" s="554"/>
      <c r="B53" s="385" t="s">
        <v>600</v>
      </c>
      <c r="C53" s="409"/>
      <c r="D53" s="662"/>
    </row>
    <row r="54" spans="1:4" ht="15.75">
      <c r="A54" s="554">
        <v>23</v>
      </c>
      <c r="B54" s="383" t="s">
        <v>601</v>
      </c>
      <c r="C54" s="658">
        <f>'2. SOFP'!E55</f>
        <v>69161600</v>
      </c>
      <c r="D54" s="665" t="s">
        <v>728</v>
      </c>
    </row>
    <row r="55" spans="1:4" ht="15">
      <c r="A55" s="554">
        <v>24</v>
      </c>
      <c r="B55" s="383" t="s">
        <v>602</v>
      </c>
      <c r="C55" s="658">
        <f>'2. SOFP'!E56</f>
        <v>0</v>
      </c>
      <c r="D55" s="662"/>
    </row>
    <row r="56" spans="1:4" ht="15">
      <c r="A56" s="554">
        <v>25</v>
      </c>
      <c r="B56" s="408" t="s">
        <v>603</v>
      </c>
      <c r="C56" s="658">
        <f>'2. SOFP'!E57</f>
        <v>0</v>
      </c>
      <c r="D56" s="662"/>
    </row>
    <row r="57" spans="1:4" ht="15">
      <c r="A57" s="554">
        <v>26</v>
      </c>
      <c r="B57" s="408" t="s">
        <v>604</v>
      </c>
      <c r="C57" s="658">
        <f>'2. SOFP'!E58</f>
        <v>0</v>
      </c>
      <c r="D57" s="662"/>
    </row>
    <row r="58" spans="1:4" ht="15">
      <c r="A58" s="554">
        <v>27</v>
      </c>
      <c r="B58" s="408" t="s">
        <v>605</v>
      </c>
      <c r="C58" s="659">
        <f>SUM(C59:C60)</f>
        <v>0</v>
      </c>
      <c r="D58" s="662"/>
    </row>
    <row r="59" spans="1:4" ht="15">
      <c r="A59" s="554">
        <v>27.1</v>
      </c>
      <c r="B59" s="407" t="s">
        <v>606</v>
      </c>
      <c r="C59" s="657">
        <f>'2. SOFP'!E60</f>
        <v>0</v>
      </c>
      <c r="D59" s="662"/>
    </row>
    <row r="60" spans="1:4" ht="15">
      <c r="A60" s="554">
        <v>27.2</v>
      </c>
      <c r="B60" s="407" t="s">
        <v>607</v>
      </c>
      <c r="C60" s="657">
        <f>'2. SOFP'!E61</f>
        <v>0</v>
      </c>
      <c r="D60" s="662"/>
    </row>
    <row r="61" spans="1:4" ht="15">
      <c r="A61" s="554">
        <v>28</v>
      </c>
      <c r="B61" s="386" t="s">
        <v>608</v>
      </c>
      <c r="C61" s="658">
        <f>'2. SOFP'!E62</f>
        <v>0</v>
      </c>
      <c r="D61" s="662"/>
    </row>
    <row r="62" spans="1:4" ht="15">
      <c r="A62" s="554">
        <v>29</v>
      </c>
      <c r="B62" s="408" t="s">
        <v>609</v>
      </c>
      <c r="C62" s="659">
        <f>SUM(C63:C65)</f>
        <v>0</v>
      </c>
      <c r="D62" s="662"/>
    </row>
    <row r="63" spans="1:4" ht="15">
      <c r="A63" s="554">
        <v>29.1</v>
      </c>
      <c r="B63" s="412" t="s">
        <v>610</v>
      </c>
      <c r="C63" s="657">
        <f>'2. SOFP'!E64</f>
        <v>0</v>
      </c>
      <c r="D63" s="662"/>
    </row>
    <row r="64" spans="1:4" ht="15">
      <c r="A64" s="554">
        <v>29.2</v>
      </c>
      <c r="B64" s="421" t="s">
        <v>611</v>
      </c>
      <c r="C64" s="657">
        <f>'2. SOFP'!E65</f>
        <v>0</v>
      </c>
      <c r="D64" s="662"/>
    </row>
    <row r="65" spans="1:4" ht="15">
      <c r="A65" s="554">
        <v>29.3</v>
      </c>
      <c r="B65" s="421" t="s">
        <v>612</v>
      </c>
      <c r="C65" s="657">
        <f>'2. SOFP'!E66</f>
        <v>0</v>
      </c>
      <c r="D65" s="662"/>
    </row>
    <row r="66" spans="1:4" ht="15.75">
      <c r="A66" s="554">
        <v>30</v>
      </c>
      <c r="B66" s="387" t="s">
        <v>613</v>
      </c>
      <c r="C66" s="658">
        <f>'2. SOFP'!E67</f>
        <v>69157282.546608284</v>
      </c>
      <c r="D66" s="665" t="s">
        <v>729</v>
      </c>
    </row>
    <row r="67" spans="1:4" ht="15">
      <c r="A67" s="554">
        <v>31</v>
      </c>
      <c r="B67" s="413" t="s">
        <v>614</v>
      </c>
      <c r="C67" s="651">
        <f>SUM(C54,C55,C56,C57,C58,C61,C62,C66)</f>
        <v>138318882.54660827</v>
      </c>
      <c r="D67" s="662"/>
    </row>
    <row r="68" spans="1:4" ht="15.75" thickBot="1">
      <c r="A68" s="559">
        <v>32</v>
      </c>
      <c r="B68" s="560" t="s">
        <v>615</v>
      </c>
      <c r="C68" s="663">
        <f>SUM(C52,C67)</f>
        <v>484734281.03708005</v>
      </c>
      <c r="D68" s="664"/>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90" zoomScaleNormal="9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9.14062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30</v>
      </c>
      <c r="B1" s="537" t="str">
        <f>'1. key ratios '!B1</f>
        <v>JSC Isbank Georgia</v>
      </c>
    </row>
    <row r="2" spans="1:19">
      <c r="A2" s="2" t="s">
        <v>31</v>
      </c>
      <c r="B2" s="538">
        <f>'1. key ratios '!B2</f>
        <v>45382</v>
      </c>
    </row>
    <row r="4" spans="1:19" ht="26.25" thickBot="1">
      <c r="A4" s="4" t="s">
        <v>146</v>
      </c>
      <c r="B4" s="200" t="s">
        <v>251</v>
      </c>
    </row>
    <row r="5" spans="1:19" s="189" customFormat="1">
      <c r="A5" s="184"/>
      <c r="B5" s="185"/>
      <c r="C5" s="186" t="s">
        <v>0</v>
      </c>
      <c r="D5" s="186" t="s">
        <v>1</v>
      </c>
      <c r="E5" s="186" t="s">
        <v>2</v>
      </c>
      <c r="F5" s="186" t="s">
        <v>3</v>
      </c>
      <c r="G5" s="186" t="s">
        <v>4</v>
      </c>
      <c r="H5" s="186" t="s">
        <v>5</v>
      </c>
      <c r="I5" s="186" t="s">
        <v>8</v>
      </c>
      <c r="J5" s="186" t="s">
        <v>9</v>
      </c>
      <c r="K5" s="186" t="s">
        <v>10</v>
      </c>
      <c r="L5" s="186" t="s">
        <v>11</v>
      </c>
      <c r="M5" s="186" t="s">
        <v>12</v>
      </c>
      <c r="N5" s="186" t="s">
        <v>13</v>
      </c>
      <c r="O5" s="186" t="s">
        <v>235</v>
      </c>
      <c r="P5" s="186" t="s">
        <v>236</v>
      </c>
      <c r="Q5" s="186" t="s">
        <v>237</v>
      </c>
      <c r="R5" s="187" t="s">
        <v>238</v>
      </c>
      <c r="S5" s="188" t="s">
        <v>239</v>
      </c>
    </row>
    <row r="6" spans="1:19" s="189" customFormat="1" ht="99" customHeight="1">
      <c r="A6" s="190"/>
      <c r="B6" s="829" t="s">
        <v>240</v>
      </c>
      <c r="C6" s="825">
        <v>0</v>
      </c>
      <c r="D6" s="826"/>
      <c r="E6" s="825">
        <v>0.2</v>
      </c>
      <c r="F6" s="826"/>
      <c r="G6" s="825">
        <v>0.35</v>
      </c>
      <c r="H6" s="826"/>
      <c r="I6" s="825">
        <v>0.5</v>
      </c>
      <c r="J6" s="826"/>
      <c r="K6" s="825">
        <v>0.75</v>
      </c>
      <c r="L6" s="826"/>
      <c r="M6" s="825">
        <v>1</v>
      </c>
      <c r="N6" s="826"/>
      <c r="O6" s="825">
        <v>1.5</v>
      </c>
      <c r="P6" s="826"/>
      <c r="Q6" s="825">
        <v>2.5</v>
      </c>
      <c r="R6" s="826"/>
      <c r="S6" s="827" t="s">
        <v>145</v>
      </c>
    </row>
    <row r="7" spans="1:19" s="189" customFormat="1" ht="30.75" customHeight="1">
      <c r="A7" s="190"/>
      <c r="B7" s="830"/>
      <c r="C7" s="181" t="s">
        <v>148</v>
      </c>
      <c r="D7" s="181" t="s">
        <v>147</v>
      </c>
      <c r="E7" s="181" t="s">
        <v>148</v>
      </c>
      <c r="F7" s="181" t="s">
        <v>147</v>
      </c>
      <c r="G7" s="181" t="s">
        <v>148</v>
      </c>
      <c r="H7" s="181" t="s">
        <v>147</v>
      </c>
      <c r="I7" s="181" t="s">
        <v>148</v>
      </c>
      <c r="J7" s="181" t="s">
        <v>147</v>
      </c>
      <c r="K7" s="181" t="s">
        <v>148</v>
      </c>
      <c r="L7" s="181" t="s">
        <v>147</v>
      </c>
      <c r="M7" s="181" t="s">
        <v>148</v>
      </c>
      <c r="N7" s="181" t="s">
        <v>147</v>
      </c>
      <c r="O7" s="181" t="s">
        <v>148</v>
      </c>
      <c r="P7" s="181" t="s">
        <v>147</v>
      </c>
      <c r="Q7" s="181" t="s">
        <v>148</v>
      </c>
      <c r="R7" s="181" t="s">
        <v>147</v>
      </c>
      <c r="S7" s="828"/>
    </row>
    <row r="8" spans="1:19" s="90" customFormat="1">
      <c r="A8" s="88">
        <v>1</v>
      </c>
      <c r="B8" s="1" t="s">
        <v>51</v>
      </c>
      <c r="C8" s="89">
        <v>20241399.431904703</v>
      </c>
      <c r="D8" s="89"/>
      <c r="E8" s="89"/>
      <c r="F8" s="89"/>
      <c r="G8" s="89"/>
      <c r="H8" s="89"/>
      <c r="I8" s="89"/>
      <c r="J8" s="89"/>
      <c r="K8" s="89"/>
      <c r="L8" s="89"/>
      <c r="M8" s="89">
        <v>36018348.17104923</v>
      </c>
      <c r="N8" s="89"/>
      <c r="O8" s="89"/>
      <c r="P8" s="89"/>
      <c r="Q8" s="89"/>
      <c r="R8" s="89"/>
      <c r="S8" s="666">
        <f>$C$6*SUM(C8:D8)+$E$6*SUM(E8:F8)+$G$6*SUM(G8:H8)+$I$6*SUM(I8:J8)+$K$6*SUM(K8:L8)+$M$6*SUM(M8:N8)+$O$6*SUM(O8:P8)+$Q$6*SUM(Q8:R8)</f>
        <v>36018348.17104923</v>
      </c>
    </row>
    <row r="9" spans="1:19" s="90" customFormat="1">
      <c r="A9" s="88">
        <v>2</v>
      </c>
      <c r="B9" s="1" t="s">
        <v>52</v>
      </c>
      <c r="C9" s="89"/>
      <c r="D9" s="89"/>
      <c r="E9" s="89"/>
      <c r="F9" s="89"/>
      <c r="G9" s="89"/>
      <c r="H9" s="89"/>
      <c r="I9" s="89"/>
      <c r="J9" s="89"/>
      <c r="K9" s="89"/>
      <c r="L9" s="89"/>
      <c r="M9" s="89"/>
      <c r="N9" s="89"/>
      <c r="O9" s="89"/>
      <c r="P9" s="89"/>
      <c r="Q9" s="89"/>
      <c r="R9" s="89"/>
      <c r="S9" s="666">
        <f t="shared" ref="S9:S21" si="0">$C$6*SUM(C9:D9)+$E$6*SUM(E9:F9)+$G$6*SUM(G9:H9)+$I$6*SUM(I9:J9)+$K$6*SUM(K9:L9)+$M$6*SUM(M9:N9)+$O$6*SUM(O9:P9)+$Q$6*SUM(Q9:R9)</f>
        <v>0</v>
      </c>
    </row>
    <row r="10" spans="1:19" s="90" customFormat="1">
      <c r="A10" s="88">
        <v>3</v>
      </c>
      <c r="B10" s="1" t="s">
        <v>164</v>
      </c>
      <c r="C10" s="89"/>
      <c r="D10" s="89"/>
      <c r="E10" s="89"/>
      <c r="F10" s="89"/>
      <c r="G10" s="89"/>
      <c r="H10" s="89"/>
      <c r="I10" s="89"/>
      <c r="J10" s="89"/>
      <c r="K10" s="89"/>
      <c r="L10" s="89"/>
      <c r="M10" s="89"/>
      <c r="N10" s="89"/>
      <c r="O10" s="89"/>
      <c r="P10" s="89"/>
      <c r="Q10" s="89"/>
      <c r="R10" s="89"/>
      <c r="S10" s="666">
        <f t="shared" si="0"/>
        <v>0</v>
      </c>
    </row>
    <row r="11" spans="1:19" s="90" customFormat="1">
      <c r="A11" s="88">
        <v>4</v>
      </c>
      <c r="B11" s="1" t="s">
        <v>53</v>
      </c>
      <c r="C11" s="89"/>
      <c r="D11" s="89"/>
      <c r="E11" s="89"/>
      <c r="F11" s="89"/>
      <c r="G11" s="89"/>
      <c r="H11" s="89"/>
      <c r="I11" s="89"/>
      <c r="J11" s="89"/>
      <c r="K11" s="89"/>
      <c r="L11" s="89"/>
      <c r="M11" s="89"/>
      <c r="N11" s="89"/>
      <c r="O11" s="89"/>
      <c r="P11" s="89"/>
      <c r="Q11" s="89"/>
      <c r="R11" s="89"/>
      <c r="S11" s="666">
        <f t="shared" si="0"/>
        <v>0</v>
      </c>
    </row>
    <row r="12" spans="1:19" s="90" customFormat="1">
      <c r="A12" s="88">
        <v>5</v>
      </c>
      <c r="B12" s="1" t="s">
        <v>54</v>
      </c>
      <c r="C12" s="89"/>
      <c r="D12" s="89"/>
      <c r="E12" s="89"/>
      <c r="F12" s="89"/>
      <c r="G12" s="89"/>
      <c r="H12" s="89"/>
      <c r="I12" s="89"/>
      <c r="J12" s="89"/>
      <c r="K12" s="89"/>
      <c r="L12" s="89"/>
      <c r="M12" s="89"/>
      <c r="N12" s="89"/>
      <c r="O12" s="89"/>
      <c r="P12" s="89"/>
      <c r="Q12" s="89"/>
      <c r="R12" s="89"/>
      <c r="S12" s="666">
        <f t="shared" si="0"/>
        <v>0</v>
      </c>
    </row>
    <row r="13" spans="1:19" s="90" customFormat="1">
      <c r="A13" s="88">
        <v>6</v>
      </c>
      <c r="B13" s="1" t="s">
        <v>55</v>
      </c>
      <c r="C13" s="89"/>
      <c r="D13" s="89"/>
      <c r="E13" s="89">
        <v>7972728.9617068227</v>
      </c>
      <c r="F13" s="89">
        <v>0</v>
      </c>
      <c r="G13" s="89"/>
      <c r="H13" s="89"/>
      <c r="I13" s="89">
        <v>95720659.762803465</v>
      </c>
      <c r="J13" s="89">
        <v>11650660.596536314</v>
      </c>
      <c r="K13" s="89"/>
      <c r="L13" s="89"/>
      <c r="M13" s="89">
        <v>5538225.14376307</v>
      </c>
      <c r="N13" s="89">
        <v>31485704.724040151</v>
      </c>
      <c r="O13" s="89"/>
      <c r="P13" s="89"/>
      <c r="Q13" s="89"/>
      <c r="R13" s="89"/>
      <c r="S13" s="666">
        <f t="shared" si="0"/>
        <v>92304135.839814484</v>
      </c>
    </row>
    <row r="14" spans="1:19" s="90" customFormat="1">
      <c r="A14" s="88">
        <v>7</v>
      </c>
      <c r="B14" s="1" t="s">
        <v>56</v>
      </c>
      <c r="C14" s="89"/>
      <c r="D14" s="89"/>
      <c r="E14" s="89"/>
      <c r="F14" s="89"/>
      <c r="G14" s="89"/>
      <c r="H14" s="89"/>
      <c r="I14" s="89"/>
      <c r="J14" s="89"/>
      <c r="K14" s="89"/>
      <c r="L14" s="89"/>
      <c r="M14" s="89">
        <v>298078455.12516373</v>
      </c>
      <c r="N14" s="89">
        <v>26213515.38138663</v>
      </c>
      <c r="O14" s="89"/>
      <c r="P14" s="89"/>
      <c r="Q14" s="89"/>
      <c r="R14" s="89"/>
      <c r="S14" s="666">
        <f t="shared" si="0"/>
        <v>324291970.50655037</v>
      </c>
    </row>
    <row r="15" spans="1:19" s="90" customFormat="1">
      <c r="A15" s="88">
        <v>8</v>
      </c>
      <c r="B15" s="1" t="s">
        <v>57</v>
      </c>
      <c r="C15" s="89"/>
      <c r="D15" s="89"/>
      <c r="E15" s="89"/>
      <c r="F15" s="89"/>
      <c r="G15" s="89"/>
      <c r="H15" s="89"/>
      <c r="I15" s="89"/>
      <c r="J15" s="89"/>
      <c r="K15" s="89"/>
      <c r="L15" s="89"/>
      <c r="M15" s="89"/>
      <c r="N15" s="89">
        <v>16515.41</v>
      </c>
      <c r="O15" s="89"/>
      <c r="P15" s="89"/>
      <c r="Q15" s="89"/>
      <c r="R15" s="89"/>
      <c r="S15" s="666">
        <f t="shared" si="0"/>
        <v>16515.41</v>
      </c>
    </row>
    <row r="16" spans="1:19" s="90" customFormat="1">
      <c r="A16" s="88">
        <v>9</v>
      </c>
      <c r="B16" s="1" t="s">
        <v>58</v>
      </c>
      <c r="C16" s="89"/>
      <c r="D16" s="89"/>
      <c r="E16" s="89"/>
      <c r="F16" s="89"/>
      <c r="G16" s="89"/>
      <c r="H16" s="89"/>
      <c r="I16" s="89"/>
      <c r="J16" s="89"/>
      <c r="K16" s="89"/>
      <c r="L16" s="89"/>
      <c r="M16" s="89"/>
      <c r="N16" s="89"/>
      <c r="O16" s="89"/>
      <c r="P16" s="89"/>
      <c r="Q16" s="89"/>
      <c r="R16" s="89"/>
      <c r="S16" s="666">
        <f t="shared" si="0"/>
        <v>0</v>
      </c>
    </row>
    <row r="17" spans="1:19" s="90" customFormat="1">
      <c r="A17" s="88">
        <v>10</v>
      </c>
      <c r="B17" s="1" t="s">
        <v>59</v>
      </c>
      <c r="C17" s="89"/>
      <c r="D17" s="89"/>
      <c r="E17" s="89"/>
      <c r="F17" s="89"/>
      <c r="G17" s="89"/>
      <c r="H17" s="89"/>
      <c r="I17" s="89"/>
      <c r="J17" s="89"/>
      <c r="K17" s="89"/>
      <c r="L17" s="89"/>
      <c r="M17" s="89">
        <v>7062.8394947735651</v>
      </c>
      <c r="N17" s="89"/>
      <c r="O17" s="89"/>
      <c r="P17" s="89"/>
      <c r="Q17" s="89"/>
      <c r="R17" s="89"/>
      <c r="S17" s="666">
        <f t="shared" si="0"/>
        <v>7062.8394947735651</v>
      </c>
    </row>
    <row r="18" spans="1:19" s="90" customFormat="1">
      <c r="A18" s="88">
        <v>11</v>
      </c>
      <c r="B18" s="1" t="s">
        <v>60</v>
      </c>
      <c r="C18" s="89"/>
      <c r="D18" s="89"/>
      <c r="E18" s="89"/>
      <c r="F18" s="89"/>
      <c r="G18" s="89"/>
      <c r="H18" s="89"/>
      <c r="I18" s="89"/>
      <c r="J18" s="89"/>
      <c r="K18" s="89"/>
      <c r="L18" s="89"/>
      <c r="M18" s="89"/>
      <c r="N18" s="89"/>
      <c r="O18" s="89"/>
      <c r="P18" s="89"/>
      <c r="Q18" s="89"/>
      <c r="R18" s="89"/>
      <c r="S18" s="666">
        <f t="shared" si="0"/>
        <v>0</v>
      </c>
    </row>
    <row r="19" spans="1:19" s="90" customFormat="1">
      <c r="A19" s="88">
        <v>12</v>
      </c>
      <c r="B19" s="1" t="s">
        <v>61</v>
      </c>
      <c r="C19" s="89"/>
      <c r="D19" s="89"/>
      <c r="E19" s="89"/>
      <c r="F19" s="89"/>
      <c r="G19" s="89"/>
      <c r="H19" s="89"/>
      <c r="I19" s="89"/>
      <c r="J19" s="89"/>
      <c r="K19" s="89"/>
      <c r="L19" s="89"/>
      <c r="M19" s="89"/>
      <c r="N19" s="89"/>
      <c r="O19" s="89"/>
      <c r="P19" s="89"/>
      <c r="Q19" s="89"/>
      <c r="R19" s="89"/>
      <c r="S19" s="666">
        <f t="shared" si="0"/>
        <v>0</v>
      </c>
    </row>
    <row r="20" spans="1:19" s="90" customFormat="1">
      <c r="A20" s="88">
        <v>13</v>
      </c>
      <c r="B20" s="1" t="s">
        <v>144</v>
      </c>
      <c r="C20" s="89"/>
      <c r="D20" s="89"/>
      <c r="E20" s="89"/>
      <c r="F20" s="89"/>
      <c r="G20" s="89"/>
      <c r="H20" s="89"/>
      <c r="I20" s="89"/>
      <c r="J20" s="89"/>
      <c r="K20" s="89"/>
      <c r="L20" s="89"/>
      <c r="M20" s="89"/>
      <c r="N20" s="89"/>
      <c r="O20" s="89"/>
      <c r="P20" s="89"/>
      <c r="Q20" s="89"/>
      <c r="R20" s="89"/>
      <c r="S20" s="666">
        <f t="shared" si="0"/>
        <v>0</v>
      </c>
    </row>
    <row r="21" spans="1:19" s="90" customFormat="1">
      <c r="A21" s="88">
        <v>14</v>
      </c>
      <c r="B21" s="1" t="s">
        <v>63</v>
      </c>
      <c r="C21" s="89">
        <v>1672433.9</v>
      </c>
      <c r="D21" s="89"/>
      <c r="E21" s="89"/>
      <c r="F21" s="89"/>
      <c r="G21" s="89"/>
      <c r="H21" s="89"/>
      <c r="I21" s="89"/>
      <c r="J21" s="89"/>
      <c r="K21" s="89"/>
      <c r="L21" s="89"/>
      <c r="M21" s="89">
        <v>19330085.23795452</v>
      </c>
      <c r="N21" s="89"/>
      <c r="O21" s="89"/>
      <c r="P21" s="89"/>
      <c r="Q21" s="89"/>
      <c r="R21" s="89"/>
      <c r="S21" s="666">
        <f t="shared" si="0"/>
        <v>19330085.23795452</v>
      </c>
    </row>
    <row r="22" spans="1:19" ht="13.5" thickBot="1">
      <c r="A22" s="91"/>
      <c r="B22" s="92" t="s">
        <v>64</v>
      </c>
      <c r="C22" s="668">
        <f>SUM(C8:C21)</f>
        <v>21913833.331904702</v>
      </c>
      <c r="D22" s="668">
        <f t="shared" ref="D22:J22" si="1">SUM(D8:D21)</f>
        <v>0</v>
      </c>
      <c r="E22" s="668">
        <f t="shared" si="1"/>
        <v>7972728.9617068227</v>
      </c>
      <c r="F22" s="668">
        <f t="shared" si="1"/>
        <v>0</v>
      </c>
      <c r="G22" s="668">
        <f t="shared" si="1"/>
        <v>0</v>
      </c>
      <c r="H22" s="668">
        <f t="shared" si="1"/>
        <v>0</v>
      </c>
      <c r="I22" s="668">
        <f t="shared" si="1"/>
        <v>95720659.762803465</v>
      </c>
      <c r="J22" s="668">
        <f t="shared" si="1"/>
        <v>11650660.596536314</v>
      </c>
      <c r="K22" s="668">
        <f t="shared" ref="K22:S22" si="2">SUM(K8:K21)</f>
        <v>0</v>
      </c>
      <c r="L22" s="668">
        <f t="shared" si="2"/>
        <v>0</v>
      </c>
      <c r="M22" s="668">
        <f t="shared" si="2"/>
        <v>358972176.5174253</v>
      </c>
      <c r="N22" s="668">
        <f t="shared" si="2"/>
        <v>57715735.515426777</v>
      </c>
      <c r="O22" s="668">
        <f t="shared" si="2"/>
        <v>0</v>
      </c>
      <c r="P22" s="668">
        <f t="shared" si="2"/>
        <v>0</v>
      </c>
      <c r="Q22" s="668">
        <f t="shared" si="2"/>
        <v>0</v>
      </c>
      <c r="R22" s="668">
        <f t="shared" si="2"/>
        <v>0</v>
      </c>
      <c r="S22" s="667">
        <f t="shared" si="2"/>
        <v>471968118.00486338</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30</v>
      </c>
      <c r="B1" s="537" t="str">
        <f>'1. key ratios '!B1</f>
        <v>JSC Isbank Georgia</v>
      </c>
    </row>
    <row r="2" spans="1:22">
      <c r="A2" s="2" t="s">
        <v>31</v>
      </c>
      <c r="B2" s="538">
        <f>'1. key ratios '!B2</f>
        <v>45382</v>
      </c>
    </row>
    <row r="4" spans="1:22" ht="13.5" thickBot="1">
      <c r="A4" s="4" t="s">
        <v>243</v>
      </c>
      <c r="B4" s="93" t="s">
        <v>50</v>
      </c>
      <c r="V4" s="18" t="s">
        <v>35</v>
      </c>
    </row>
    <row r="5" spans="1:22" ht="12.75" customHeight="1">
      <c r="A5" s="94"/>
      <c r="B5" s="95"/>
      <c r="C5" s="831" t="s">
        <v>169</v>
      </c>
      <c r="D5" s="832"/>
      <c r="E5" s="832"/>
      <c r="F5" s="832"/>
      <c r="G5" s="832"/>
      <c r="H5" s="832"/>
      <c r="I5" s="832"/>
      <c r="J5" s="832"/>
      <c r="K5" s="832"/>
      <c r="L5" s="833"/>
      <c r="M5" s="834" t="s">
        <v>170</v>
      </c>
      <c r="N5" s="835"/>
      <c r="O5" s="835"/>
      <c r="P5" s="835"/>
      <c r="Q5" s="835"/>
      <c r="R5" s="835"/>
      <c r="S5" s="836"/>
      <c r="T5" s="839" t="s">
        <v>241</v>
      </c>
      <c r="U5" s="839" t="s">
        <v>242</v>
      </c>
      <c r="V5" s="837" t="s">
        <v>76</v>
      </c>
    </row>
    <row r="6" spans="1:22" s="49" customFormat="1" ht="102">
      <c r="A6" s="46"/>
      <c r="B6" s="96"/>
      <c r="C6" s="97" t="s">
        <v>65</v>
      </c>
      <c r="D6" s="164" t="s">
        <v>66</v>
      </c>
      <c r="E6" s="120" t="s">
        <v>172</v>
      </c>
      <c r="F6" s="120" t="s">
        <v>173</v>
      </c>
      <c r="G6" s="164" t="s">
        <v>176</v>
      </c>
      <c r="H6" s="164" t="s">
        <v>171</v>
      </c>
      <c r="I6" s="164" t="s">
        <v>67</v>
      </c>
      <c r="J6" s="164" t="s">
        <v>68</v>
      </c>
      <c r="K6" s="98" t="s">
        <v>69</v>
      </c>
      <c r="L6" s="99" t="s">
        <v>70</v>
      </c>
      <c r="M6" s="97" t="s">
        <v>174</v>
      </c>
      <c r="N6" s="98" t="s">
        <v>71</v>
      </c>
      <c r="O6" s="98" t="s">
        <v>72</v>
      </c>
      <c r="P6" s="98" t="s">
        <v>73</v>
      </c>
      <c r="Q6" s="98" t="s">
        <v>74</v>
      </c>
      <c r="R6" s="98" t="s">
        <v>75</v>
      </c>
      <c r="S6" s="183" t="s">
        <v>175</v>
      </c>
      <c r="T6" s="840"/>
      <c r="U6" s="840"/>
      <c r="V6" s="838"/>
    </row>
    <row r="7" spans="1:22" s="90" customFormat="1">
      <c r="A7" s="100">
        <v>1</v>
      </c>
      <c r="B7" s="1" t="s">
        <v>51</v>
      </c>
      <c r="C7" s="101"/>
      <c r="D7" s="89"/>
      <c r="E7" s="89"/>
      <c r="F7" s="89"/>
      <c r="G7" s="89"/>
      <c r="H7" s="89"/>
      <c r="I7" s="89"/>
      <c r="J7" s="89"/>
      <c r="K7" s="89"/>
      <c r="L7" s="102"/>
      <c r="M7" s="101"/>
      <c r="N7" s="89"/>
      <c r="O7" s="89"/>
      <c r="P7" s="89"/>
      <c r="Q7" s="89"/>
      <c r="R7" s="89"/>
      <c r="S7" s="102"/>
      <c r="T7" s="191"/>
      <c r="U7" s="191"/>
      <c r="V7" s="669">
        <f>SUM(C7:S7)</f>
        <v>0</v>
      </c>
    </row>
    <row r="8" spans="1:22" s="90" customFormat="1">
      <c r="A8" s="100">
        <v>2</v>
      </c>
      <c r="B8" s="1" t="s">
        <v>52</v>
      </c>
      <c r="C8" s="101"/>
      <c r="D8" s="89"/>
      <c r="E8" s="89"/>
      <c r="F8" s="89"/>
      <c r="G8" s="89"/>
      <c r="H8" s="89"/>
      <c r="I8" s="89"/>
      <c r="J8" s="89"/>
      <c r="K8" s="89"/>
      <c r="L8" s="102"/>
      <c r="M8" s="101"/>
      <c r="N8" s="89"/>
      <c r="O8" s="89"/>
      <c r="P8" s="89"/>
      <c r="Q8" s="89"/>
      <c r="R8" s="89"/>
      <c r="S8" s="102"/>
      <c r="T8" s="191"/>
      <c r="U8" s="191"/>
      <c r="V8" s="669">
        <f t="shared" ref="V8:V20" si="0">SUM(C8:S8)</f>
        <v>0</v>
      </c>
    </row>
    <row r="9" spans="1:22" s="90" customFormat="1">
      <c r="A9" s="100">
        <v>3</v>
      </c>
      <c r="B9" s="1" t="s">
        <v>165</v>
      </c>
      <c r="C9" s="101"/>
      <c r="D9" s="89"/>
      <c r="E9" s="89"/>
      <c r="F9" s="89"/>
      <c r="G9" s="89"/>
      <c r="H9" s="89"/>
      <c r="I9" s="89"/>
      <c r="J9" s="89"/>
      <c r="K9" s="89"/>
      <c r="L9" s="102"/>
      <c r="M9" s="101"/>
      <c r="N9" s="89"/>
      <c r="O9" s="89"/>
      <c r="P9" s="89"/>
      <c r="Q9" s="89"/>
      <c r="R9" s="89"/>
      <c r="S9" s="102"/>
      <c r="T9" s="191"/>
      <c r="U9" s="191"/>
      <c r="V9" s="669">
        <f t="shared" si="0"/>
        <v>0</v>
      </c>
    </row>
    <row r="10" spans="1:22" s="90" customFormat="1">
      <c r="A10" s="100">
        <v>4</v>
      </c>
      <c r="B10" s="1" t="s">
        <v>53</v>
      </c>
      <c r="C10" s="101"/>
      <c r="D10" s="89"/>
      <c r="E10" s="89"/>
      <c r="F10" s="89"/>
      <c r="G10" s="89"/>
      <c r="H10" s="89"/>
      <c r="I10" s="89"/>
      <c r="J10" s="89"/>
      <c r="K10" s="89"/>
      <c r="L10" s="102"/>
      <c r="M10" s="101"/>
      <c r="N10" s="89"/>
      <c r="O10" s="89"/>
      <c r="P10" s="89"/>
      <c r="Q10" s="89"/>
      <c r="R10" s="89"/>
      <c r="S10" s="102"/>
      <c r="T10" s="191"/>
      <c r="U10" s="191"/>
      <c r="V10" s="669">
        <f t="shared" si="0"/>
        <v>0</v>
      </c>
    </row>
    <row r="11" spans="1:22" s="90" customFormat="1">
      <c r="A11" s="100">
        <v>5</v>
      </c>
      <c r="B11" s="1" t="s">
        <v>54</v>
      </c>
      <c r="C11" s="101"/>
      <c r="D11" s="89"/>
      <c r="E11" s="89"/>
      <c r="F11" s="89"/>
      <c r="G11" s="89"/>
      <c r="H11" s="89"/>
      <c r="I11" s="89"/>
      <c r="J11" s="89"/>
      <c r="K11" s="89"/>
      <c r="L11" s="102"/>
      <c r="M11" s="101"/>
      <c r="N11" s="89"/>
      <c r="O11" s="89"/>
      <c r="P11" s="89"/>
      <c r="Q11" s="89"/>
      <c r="R11" s="89"/>
      <c r="S11" s="102"/>
      <c r="T11" s="191"/>
      <c r="U11" s="191"/>
      <c r="V11" s="669">
        <f t="shared" si="0"/>
        <v>0</v>
      </c>
    </row>
    <row r="12" spans="1:22" s="90" customFormat="1">
      <c r="A12" s="100">
        <v>6</v>
      </c>
      <c r="B12" s="1" t="s">
        <v>55</v>
      </c>
      <c r="C12" s="101"/>
      <c r="D12" s="89"/>
      <c r="E12" s="89"/>
      <c r="F12" s="89"/>
      <c r="G12" s="89"/>
      <c r="H12" s="89"/>
      <c r="I12" s="89"/>
      <c r="J12" s="89"/>
      <c r="K12" s="89"/>
      <c r="L12" s="102"/>
      <c r="M12" s="101"/>
      <c r="N12" s="89"/>
      <c r="O12" s="89"/>
      <c r="P12" s="89"/>
      <c r="Q12" s="89"/>
      <c r="R12" s="89"/>
      <c r="S12" s="102"/>
      <c r="T12" s="191"/>
      <c r="U12" s="191"/>
      <c r="V12" s="669">
        <f t="shared" si="0"/>
        <v>0</v>
      </c>
    </row>
    <row r="13" spans="1:22" s="90" customFormat="1">
      <c r="A13" s="100">
        <v>7</v>
      </c>
      <c r="B13" s="1" t="s">
        <v>56</v>
      </c>
      <c r="C13" s="101"/>
      <c r="D13" s="89">
        <f>5928391.58+2146549.313325</f>
        <v>8074940.8933250001</v>
      </c>
      <c r="E13" s="89"/>
      <c r="F13" s="89"/>
      <c r="G13" s="89"/>
      <c r="H13" s="89"/>
      <c r="I13" s="89"/>
      <c r="J13" s="89"/>
      <c r="K13" s="89"/>
      <c r="L13" s="102"/>
      <c r="M13" s="101"/>
      <c r="N13" s="89"/>
      <c r="O13" s="89"/>
      <c r="P13" s="89"/>
      <c r="Q13" s="89"/>
      <c r="R13" s="89"/>
      <c r="S13" s="102"/>
      <c r="T13" s="191">
        <v>5928391.5800000001</v>
      </c>
      <c r="U13" s="191">
        <v>2146549.313325</v>
      </c>
      <c r="V13" s="669">
        <f t="shared" si="0"/>
        <v>8074940.8933250001</v>
      </c>
    </row>
    <row r="14" spans="1:22" s="90" customFormat="1">
      <c r="A14" s="100">
        <v>8</v>
      </c>
      <c r="B14" s="1" t="s">
        <v>57</v>
      </c>
      <c r="C14" s="101"/>
      <c r="D14" s="89"/>
      <c r="E14" s="89"/>
      <c r="F14" s="89"/>
      <c r="G14" s="89"/>
      <c r="H14" s="89"/>
      <c r="I14" s="89"/>
      <c r="J14" s="89"/>
      <c r="K14" s="89"/>
      <c r="L14" s="102"/>
      <c r="M14" s="101"/>
      <c r="N14" s="89"/>
      <c r="O14" s="89"/>
      <c r="P14" s="89"/>
      <c r="Q14" s="89"/>
      <c r="R14" s="89"/>
      <c r="S14" s="102"/>
      <c r="T14" s="191"/>
      <c r="U14" s="191"/>
      <c r="V14" s="669">
        <f t="shared" si="0"/>
        <v>0</v>
      </c>
    </row>
    <row r="15" spans="1:22" s="90" customFormat="1">
      <c r="A15" s="100">
        <v>9</v>
      </c>
      <c r="B15" s="1" t="s">
        <v>58</v>
      </c>
      <c r="C15" s="101"/>
      <c r="D15" s="89"/>
      <c r="E15" s="89"/>
      <c r="F15" s="89"/>
      <c r="G15" s="89"/>
      <c r="H15" s="89"/>
      <c r="I15" s="89"/>
      <c r="J15" s="89"/>
      <c r="K15" s="89"/>
      <c r="L15" s="102"/>
      <c r="M15" s="101"/>
      <c r="N15" s="89"/>
      <c r="O15" s="89"/>
      <c r="P15" s="89"/>
      <c r="Q15" s="89"/>
      <c r="R15" s="89"/>
      <c r="S15" s="102"/>
      <c r="T15" s="191"/>
      <c r="U15" s="191"/>
      <c r="V15" s="669">
        <f t="shared" si="0"/>
        <v>0</v>
      </c>
    </row>
    <row r="16" spans="1:22" s="90" customFormat="1">
      <c r="A16" s="100">
        <v>10</v>
      </c>
      <c r="B16" s="1" t="s">
        <v>59</v>
      </c>
      <c r="C16" s="101"/>
      <c r="D16" s="89"/>
      <c r="E16" s="89"/>
      <c r="F16" s="89"/>
      <c r="G16" s="89"/>
      <c r="H16" s="89"/>
      <c r="I16" s="89"/>
      <c r="J16" s="89"/>
      <c r="K16" s="89"/>
      <c r="L16" s="102"/>
      <c r="M16" s="101"/>
      <c r="N16" s="89"/>
      <c r="O16" s="89"/>
      <c r="P16" s="89"/>
      <c r="Q16" s="89"/>
      <c r="R16" s="89"/>
      <c r="S16" s="102"/>
      <c r="T16" s="191"/>
      <c r="U16" s="191"/>
      <c r="V16" s="669">
        <f t="shared" si="0"/>
        <v>0</v>
      </c>
    </row>
    <row r="17" spans="1:22" s="90" customFormat="1">
      <c r="A17" s="100">
        <v>11</v>
      </c>
      <c r="B17" s="1" t="s">
        <v>60</v>
      </c>
      <c r="C17" s="101"/>
      <c r="D17" s="89"/>
      <c r="E17" s="89"/>
      <c r="F17" s="89"/>
      <c r="G17" s="89"/>
      <c r="H17" s="89"/>
      <c r="I17" s="89"/>
      <c r="J17" s="89"/>
      <c r="K17" s="89"/>
      <c r="L17" s="102"/>
      <c r="M17" s="101"/>
      <c r="N17" s="89"/>
      <c r="O17" s="89"/>
      <c r="P17" s="89"/>
      <c r="Q17" s="89"/>
      <c r="R17" s="89"/>
      <c r="S17" s="102"/>
      <c r="T17" s="191"/>
      <c r="U17" s="191"/>
      <c r="V17" s="669">
        <f t="shared" si="0"/>
        <v>0</v>
      </c>
    </row>
    <row r="18" spans="1:22" s="90" customFormat="1">
      <c r="A18" s="100">
        <v>12</v>
      </c>
      <c r="B18" s="1" t="s">
        <v>61</v>
      </c>
      <c r="C18" s="101"/>
      <c r="D18" s="89"/>
      <c r="E18" s="89"/>
      <c r="F18" s="89"/>
      <c r="G18" s="89"/>
      <c r="H18" s="89"/>
      <c r="I18" s="89"/>
      <c r="J18" s="89"/>
      <c r="K18" s="89"/>
      <c r="L18" s="102"/>
      <c r="M18" s="101"/>
      <c r="N18" s="89"/>
      <c r="O18" s="89"/>
      <c r="P18" s="89"/>
      <c r="Q18" s="89"/>
      <c r="R18" s="89"/>
      <c r="S18" s="102"/>
      <c r="T18" s="191"/>
      <c r="U18" s="191"/>
      <c r="V18" s="669">
        <f t="shared" si="0"/>
        <v>0</v>
      </c>
    </row>
    <row r="19" spans="1:22" s="90" customFormat="1">
      <c r="A19" s="100">
        <v>13</v>
      </c>
      <c r="B19" s="1" t="s">
        <v>62</v>
      </c>
      <c r="C19" s="101"/>
      <c r="D19" s="89"/>
      <c r="E19" s="89"/>
      <c r="F19" s="89"/>
      <c r="G19" s="89"/>
      <c r="H19" s="89"/>
      <c r="I19" s="89"/>
      <c r="J19" s="89"/>
      <c r="K19" s="89"/>
      <c r="L19" s="102"/>
      <c r="M19" s="101"/>
      <c r="N19" s="89"/>
      <c r="O19" s="89"/>
      <c r="P19" s="89"/>
      <c r="Q19" s="89"/>
      <c r="R19" s="89"/>
      <c r="S19" s="102"/>
      <c r="T19" s="191"/>
      <c r="U19" s="191"/>
      <c r="V19" s="669">
        <f t="shared" si="0"/>
        <v>0</v>
      </c>
    </row>
    <row r="20" spans="1:22" s="90" customFormat="1">
      <c r="A20" s="100">
        <v>14</v>
      </c>
      <c r="B20" s="1" t="s">
        <v>63</v>
      </c>
      <c r="C20" s="101"/>
      <c r="D20" s="89">
        <v>229606.45501272409</v>
      </c>
      <c r="E20" s="89"/>
      <c r="F20" s="89"/>
      <c r="G20" s="89"/>
      <c r="H20" s="89"/>
      <c r="I20" s="89"/>
      <c r="J20" s="89"/>
      <c r="K20" s="89"/>
      <c r="L20" s="102"/>
      <c r="M20" s="101"/>
      <c r="N20" s="89"/>
      <c r="O20" s="89"/>
      <c r="P20" s="89"/>
      <c r="Q20" s="89"/>
      <c r="R20" s="89"/>
      <c r="S20" s="102"/>
      <c r="T20" s="191">
        <v>229606.45501272409</v>
      </c>
      <c r="U20" s="191"/>
      <c r="V20" s="669">
        <f t="shared" si="0"/>
        <v>229606.45501272409</v>
      </c>
    </row>
    <row r="21" spans="1:22" ht="13.5" thickBot="1">
      <c r="A21" s="91"/>
      <c r="B21" s="103" t="s">
        <v>64</v>
      </c>
      <c r="C21" s="671">
        <f>SUM(C7:C20)</f>
        <v>0</v>
      </c>
      <c r="D21" s="668">
        <f t="shared" ref="D21:V21" si="1">SUM(D7:D20)</f>
        <v>8304547.3483377239</v>
      </c>
      <c r="E21" s="668">
        <f t="shared" si="1"/>
        <v>0</v>
      </c>
      <c r="F21" s="668">
        <f t="shared" si="1"/>
        <v>0</v>
      </c>
      <c r="G21" s="668">
        <f t="shared" si="1"/>
        <v>0</v>
      </c>
      <c r="H21" s="668">
        <f t="shared" si="1"/>
        <v>0</v>
      </c>
      <c r="I21" s="668">
        <f t="shared" si="1"/>
        <v>0</v>
      </c>
      <c r="J21" s="668">
        <f t="shared" si="1"/>
        <v>0</v>
      </c>
      <c r="K21" s="668">
        <f t="shared" si="1"/>
        <v>0</v>
      </c>
      <c r="L21" s="672">
        <f t="shared" si="1"/>
        <v>0</v>
      </c>
      <c r="M21" s="671">
        <f t="shared" si="1"/>
        <v>0</v>
      </c>
      <c r="N21" s="668">
        <f t="shared" si="1"/>
        <v>0</v>
      </c>
      <c r="O21" s="668">
        <f t="shared" si="1"/>
        <v>0</v>
      </c>
      <c r="P21" s="668">
        <f t="shared" si="1"/>
        <v>0</v>
      </c>
      <c r="Q21" s="668">
        <f t="shared" si="1"/>
        <v>0</v>
      </c>
      <c r="R21" s="668">
        <f t="shared" si="1"/>
        <v>0</v>
      </c>
      <c r="S21" s="672">
        <f>SUM(S7:S20)</f>
        <v>0</v>
      </c>
      <c r="T21" s="672">
        <f>SUM(T7:T20)</f>
        <v>6157998.0350127239</v>
      </c>
      <c r="U21" s="672">
        <f t="shared" ref="U21" si="2">SUM(U7:U20)</f>
        <v>2146549.313325</v>
      </c>
      <c r="V21" s="670">
        <f t="shared" si="1"/>
        <v>8304547.3483377239</v>
      </c>
    </row>
    <row r="24" spans="1:22">
      <c r="A24" s="7"/>
      <c r="B24" s="7"/>
      <c r="C24" s="24"/>
      <c r="D24" s="24"/>
      <c r="E24" s="24"/>
    </row>
    <row r="25" spans="1:22">
      <c r="A25" s="104"/>
      <c r="B25" s="104"/>
      <c r="C25" s="7"/>
      <c r="D25" s="24"/>
      <c r="E25" s="24"/>
    </row>
    <row r="26" spans="1:22">
      <c r="A26" s="104"/>
      <c r="B26" s="25"/>
      <c r="C26" s="7"/>
      <c r="D26" s="24"/>
      <c r="E26" s="24"/>
    </row>
    <row r="27" spans="1:22">
      <c r="A27" s="104"/>
      <c r="B27" s="104"/>
      <c r="C27" s="7"/>
      <c r="D27" s="24"/>
      <c r="E27" s="24"/>
    </row>
    <row r="28" spans="1:22">
      <c r="A28" s="104"/>
      <c r="B28" s="25"/>
      <c r="C28" s="7"/>
      <c r="D28" s="24"/>
      <c r="E28" s="2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3.7109375" style="192" customWidth="1"/>
    <col min="4" max="4" width="14.85546875" style="192" bestFit="1" customWidth="1"/>
    <col min="5" max="5" width="17.7109375" style="192" customWidth="1"/>
    <col min="6" max="6" width="15.85546875" style="192" customWidth="1"/>
    <col min="7" max="7" width="17.42578125" style="192" customWidth="1"/>
    <col min="8" max="8" width="15.28515625" style="192" customWidth="1"/>
    <col min="9" max="16384" width="9.140625" style="17"/>
  </cols>
  <sheetData>
    <row r="1" spans="1:9">
      <c r="A1" s="2" t="s">
        <v>30</v>
      </c>
      <c r="B1" s="537" t="str">
        <f>'1. key ratios '!B1</f>
        <v>JSC Isbank Georgia</v>
      </c>
      <c r="C1" s="3"/>
    </row>
    <row r="2" spans="1:9">
      <c r="A2" s="2" t="s">
        <v>31</v>
      </c>
      <c r="B2" s="538">
        <f>'1. key ratios '!B2</f>
        <v>45382</v>
      </c>
      <c r="C2" s="318"/>
    </row>
    <row r="4" spans="1:9" ht="13.5" thickBot="1">
      <c r="A4" s="2" t="s">
        <v>150</v>
      </c>
      <c r="B4" s="93" t="s">
        <v>252</v>
      </c>
    </row>
    <row r="5" spans="1:9">
      <c r="A5" s="94"/>
      <c r="B5" s="105"/>
      <c r="C5" s="193" t="s">
        <v>0</v>
      </c>
      <c r="D5" s="193" t="s">
        <v>1</v>
      </c>
      <c r="E5" s="193" t="s">
        <v>2</v>
      </c>
      <c r="F5" s="193" t="s">
        <v>3</v>
      </c>
      <c r="G5" s="194" t="s">
        <v>4</v>
      </c>
      <c r="H5" s="195" t="s">
        <v>5</v>
      </c>
      <c r="I5" s="106"/>
    </row>
    <row r="6" spans="1:9" s="106" customFormat="1" ht="12.75" customHeight="1">
      <c r="A6" s="107"/>
      <c r="B6" s="843" t="s">
        <v>149</v>
      </c>
      <c r="C6" s="845" t="s">
        <v>245</v>
      </c>
      <c r="D6" s="847" t="s">
        <v>244</v>
      </c>
      <c r="E6" s="848"/>
      <c r="F6" s="845" t="s">
        <v>249</v>
      </c>
      <c r="G6" s="845" t="s">
        <v>250</v>
      </c>
      <c r="H6" s="841" t="s">
        <v>248</v>
      </c>
    </row>
    <row r="7" spans="1:9" ht="38.25">
      <c r="A7" s="109"/>
      <c r="B7" s="844"/>
      <c r="C7" s="846"/>
      <c r="D7" s="196" t="s">
        <v>247</v>
      </c>
      <c r="E7" s="196" t="s">
        <v>246</v>
      </c>
      <c r="F7" s="846"/>
      <c r="G7" s="846"/>
      <c r="H7" s="842"/>
      <c r="I7" s="106"/>
    </row>
    <row r="8" spans="1:9">
      <c r="A8" s="107">
        <v>1</v>
      </c>
      <c r="B8" s="1" t="s">
        <v>51</v>
      </c>
      <c r="C8" s="197">
        <f>'11. CRWA '!C8+'11. CRWA '!E8+'11. CRWA '!G8+'11. CRWA '!I8+'11. CRWA '!K8+'11. CRWA '!M8+'11. CRWA '!O8+'11. CRWA '!Q8</f>
        <v>56259747.602953933</v>
      </c>
      <c r="D8" s="198"/>
      <c r="E8" s="197">
        <f>'11. CRWA '!D8+'11. CRWA '!F8+'11. CRWA '!H8+'11. CRWA '!J8+'11. CRWA '!L8+'11. CRWA '!N8+'11. CRWA '!P8+'11. CRWA '!R8</f>
        <v>0</v>
      </c>
      <c r="F8" s="197">
        <f>'11. CRWA '!S8</f>
        <v>36018348.17104923</v>
      </c>
      <c r="G8" s="199">
        <f>F8-'12. CRM'!V7</f>
        <v>36018348.17104923</v>
      </c>
      <c r="H8" s="673">
        <f>IFERROR(G8/(C8+E8),0)</f>
        <v>0.64021524634707172</v>
      </c>
    </row>
    <row r="9" spans="1:9" ht="15" customHeight="1">
      <c r="A9" s="107">
        <v>2</v>
      </c>
      <c r="B9" s="1" t="s">
        <v>52</v>
      </c>
      <c r="C9" s="197">
        <f>'11. CRWA '!C9+'11. CRWA '!E9+'11. CRWA '!G9+'11. CRWA '!I9+'11. CRWA '!K9+'11. CRWA '!M9+'11. CRWA '!O9+'11. CRWA '!Q9</f>
        <v>0</v>
      </c>
      <c r="D9" s="198"/>
      <c r="E9" s="197">
        <f>'11. CRWA '!D9+'11. CRWA '!F9+'11. CRWA '!H9+'11. CRWA '!J9+'11. CRWA '!L9+'11. CRWA '!N9+'11. CRWA '!P9+'11. CRWA '!R9</f>
        <v>0</v>
      </c>
      <c r="F9" s="197">
        <f>'11. CRWA '!S9</f>
        <v>0</v>
      </c>
      <c r="G9" s="199">
        <f>F9-'12. CRM'!V8</f>
        <v>0</v>
      </c>
      <c r="H9" s="673">
        <f t="shared" ref="H9:H21" si="0">IFERROR(G9/(C9+E9),0)</f>
        <v>0</v>
      </c>
    </row>
    <row r="10" spans="1:9">
      <c r="A10" s="107">
        <v>3</v>
      </c>
      <c r="B10" s="1" t="s">
        <v>165</v>
      </c>
      <c r="C10" s="197">
        <f>'11. CRWA '!C10+'11. CRWA '!E10+'11. CRWA '!G10+'11. CRWA '!I10+'11. CRWA '!K10+'11. CRWA '!M10+'11. CRWA '!O10+'11. CRWA '!Q10</f>
        <v>0</v>
      </c>
      <c r="D10" s="198"/>
      <c r="E10" s="197">
        <f>'11. CRWA '!D10+'11. CRWA '!F10+'11. CRWA '!H10+'11. CRWA '!J10+'11. CRWA '!L10+'11. CRWA '!N10+'11. CRWA '!P10+'11. CRWA '!R10</f>
        <v>0</v>
      </c>
      <c r="F10" s="197">
        <f>'11. CRWA '!S10</f>
        <v>0</v>
      </c>
      <c r="G10" s="199">
        <f>F10-'12. CRM'!V9</f>
        <v>0</v>
      </c>
      <c r="H10" s="673">
        <f t="shared" si="0"/>
        <v>0</v>
      </c>
    </row>
    <row r="11" spans="1:9">
      <c r="A11" s="107">
        <v>4</v>
      </c>
      <c r="B11" s="1" t="s">
        <v>53</v>
      </c>
      <c r="C11" s="197">
        <f>'11. CRWA '!C11+'11. CRWA '!E11+'11. CRWA '!G11+'11. CRWA '!I11+'11. CRWA '!K11+'11. CRWA '!M11+'11. CRWA '!O11+'11. CRWA '!Q11</f>
        <v>0</v>
      </c>
      <c r="D11" s="198"/>
      <c r="E11" s="197">
        <f>'11. CRWA '!D11+'11. CRWA '!F11+'11. CRWA '!H11+'11. CRWA '!J11+'11. CRWA '!L11+'11. CRWA '!N11+'11. CRWA '!P11+'11. CRWA '!R11</f>
        <v>0</v>
      </c>
      <c r="F11" s="197">
        <f>'11. CRWA '!S11</f>
        <v>0</v>
      </c>
      <c r="G11" s="199">
        <f>F11-'12. CRM'!V10</f>
        <v>0</v>
      </c>
      <c r="H11" s="673">
        <f t="shared" si="0"/>
        <v>0</v>
      </c>
    </row>
    <row r="12" spans="1:9">
      <c r="A12" s="107">
        <v>5</v>
      </c>
      <c r="B12" s="1" t="s">
        <v>54</v>
      </c>
      <c r="C12" s="197">
        <f>'11. CRWA '!C12+'11. CRWA '!E12+'11. CRWA '!G12+'11. CRWA '!I12+'11. CRWA '!K12+'11. CRWA '!M12+'11. CRWA '!O12+'11. CRWA '!Q12</f>
        <v>0</v>
      </c>
      <c r="D12" s="198"/>
      <c r="E12" s="197">
        <f>'11. CRWA '!D12+'11. CRWA '!F12+'11. CRWA '!H12+'11. CRWA '!J12+'11. CRWA '!L12+'11. CRWA '!N12+'11. CRWA '!P12+'11. CRWA '!R12</f>
        <v>0</v>
      </c>
      <c r="F12" s="197">
        <f>'11. CRWA '!S12</f>
        <v>0</v>
      </c>
      <c r="G12" s="199">
        <f>F12-'12. CRM'!V11</f>
        <v>0</v>
      </c>
      <c r="H12" s="673">
        <f t="shared" si="0"/>
        <v>0</v>
      </c>
    </row>
    <row r="13" spans="1:9">
      <c r="A13" s="107">
        <v>6</v>
      </c>
      <c r="B13" s="1" t="s">
        <v>55</v>
      </c>
      <c r="C13" s="197">
        <f>'11. CRWA '!C13+'11. CRWA '!E13+'11. CRWA '!G13+'11. CRWA '!I13+'11. CRWA '!K13+'11. CRWA '!M13+'11. CRWA '!O13+'11. CRWA '!Q13</f>
        <v>109231613.86827335</v>
      </c>
      <c r="D13" s="198">
        <f>'11. CRWA '!D13+'11. CRWA '!F13+'11. CRWA '!H13+'11. CRWA '!J13+'11. CRWA '!L13+'11. CRWA '!N13+'11. CRWA '!P13+'11. CRWA '!R13</f>
        <v>43136365.320576467</v>
      </c>
      <c r="E13" s="197">
        <f>'11. CRWA '!D13+'11. CRWA '!F13+'11. CRWA '!H13+'11. CRWA '!J13+'11. CRWA '!L13+'11. CRWA '!N13+'11. CRWA '!P13+'11. CRWA '!R13</f>
        <v>43136365.320576467</v>
      </c>
      <c r="F13" s="197">
        <f>'11. CRWA '!S13</f>
        <v>92304135.839814484</v>
      </c>
      <c r="G13" s="199">
        <f>F13-'12. CRM'!V12</f>
        <v>92304135.839814484</v>
      </c>
      <c r="H13" s="673">
        <f t="shared" si="0"/>
        <v>0.60579746696915726</v>
      </c>
    </row>
    <row r="14" spans="1:9">
      <c r="A14" s="107">
        <v>7</v>
      </c>
      <c r="B14" s="1" t="s">
        <v>56</v>
      </c>
      <c r="C14" s="197">
        <f>'11. CRWA '!C14+'11. CRWA '!E14+'11. CRWA '!G14+'11. CRWA '!I14+'11. CRWA '!K14+'11. CRWA '!M14+'11. CRWA '!O14+'11. CRWA '!Q14</f>
        <v>298078455.12516373</v>
      </c>
      <c r="D14" s="198">
        <f>'11. CRWA '!D14+'11. CRWA '!F14+'11. CRWA '!H14+'11. CRWA '!J14+'11. CRWA '!L14+'11. CRWA '!N14+'11. CRWA '!P14+'11. CRWA '!R14</f>
        <v>26213515.38138663</v>
      </c>
      <c r="E14" s="197">
        <f>'11. CRWA '!D14+'11. CRWA '!F14+'11. CRWA '!H14+'11. CRWA '!J14+'11. CRWA '!L14+'11. CRWA '!N14+'11. CRWA '!P14+'11. CRWA '!R14</f>
        <v>26213515.38138663</v>
      </c>
      <c r="F14" s="197">
        <f>'11. CRWA '!S14</f>
        <v>324291970.50655037</v>
      </c>
      <c r="G14" s="199">
        <f>F14-'12. CRM'!V13</f>
        <v>316217029.6132254</v>
      </c>
      <c r="H14" s="673">
        <f t="shared" si="0"/>
        <v>0.97509978159276733</v>
      </c>
    </row>
    <row r="15" spans="1:9">
      <c r="A15" s="107">
        <v>8</v>
      </c>
      <c r="B15" s="1" t="s">
        <v>57</v>
      </c>
      <c r="C15" s="197">
        <f>'11. CRWA '!C15+'11. CRWA '!E15+'11. CRWA '!G15+'11. CRWA '!I15+'11. CRWA '!K15+'11. CRWA '!M15+'11. CRWA '!O15+'11. CRWA '!Q15</f>
        <v>0</v>
      </c>
      <c r="D15" s="198"/>
      <c r="E15" s="197">
        <f>'11. CRWA '!D15+'11. CRWA '!F15+'11. CRWA '!H15+'11. CRWA '!J15+'11. CRWA '!L15+'11. CRWA '!N15+'11. CRWA '!P15+'11. CRWA '!R15</f>
        <v>16515.41</v>
      </c>
      <c r="F15" s="197">
        <f>'11. CRWA '!S15</f>
        <v>16515.41</v>
      </c>
      <c r="G15" s="199">
        <f>F15-'12. CRM'!V14</f>
        <v>16515.41</v>
      </c>
      <c r="H15" s="673">
        <f t="shared" si="0"/>
        <v>1</v>
      </c>
    </row>
    <row r="16" spans="1:9">
      <c r="A16" s="107">
        <v>9</v>
      </c>
      <c r="B16" s="1" t="s">
        <v>58</v>
      </c>
      <c r="C16" s="197">
        <f>'11. CRWA '!C16+'11. CRWA '!E16+'11. CRWA '!G16+'11. CRWA '!I16+'11. CRWA '!K16+'11. CRWA '!M16+'11. CRWA '!O16+'11. CRWA '!Q16</f>
        <v>0</v>
      </c>
      <c r="D16" s="198"/>
      <c r="E16" s="197">
        <f>'11. CRWA '!D16+'11. CRWA '!F16+'11. CRWA '!H16+'11. CRWA '!J16+'11. CRWA '!L16+'11. CRWA '!N16+'11. CRWA '!P16+'11. CRWA '!R16</f>
        <v>0</v>
      </c>
      <c r="F16" s="197">
        <f>'11. CRWA '!S16</f>
        <v>0</v>
      </c>
      <c r="G16" s="199">
        <f>F16-'12. CRM'!V15</f>
        <v>0</v>
      </c>
      <c r="H16" s="673">
        <f t="shared" si="0"/>
        <v>0</v>
      </c>
    </row>
    <row r="17" spans="1:8">
      <c r="A17" s="107">
        <v>10</v>
      </c>
      <c r="B17" s="1" t="s">
        <v>59</v>
      </c>
      <c r="C17" s="197">
        <f>'11. CRWA '!C17+'11. CRWA '!E17+'11. CRWA '!G17+'11. CRWA '!I17+'11. CRWA '!K17+'11. CRWA '!M17+'11. CRWA '!O17+'11. CRWA '!Q17</f>
        <v>7062.8394947735651</v>
      </c>
      <c r="D17" s="198"/>
      <c r="E17" s="197">
        <f>'11. CRWA '!D17+'11. CRWA '!F17+'11. CRWA '!H17+'11. CRWA '!J17+'11. CRWA '!L17+'11. CRWA '!N17+'11. CRWA '!P17+'11. CRWA '!R17</f>
        <v>0</v>
      </c>
      <c r="F17" s="197">
        <f>'11. CRWA '!S17</f>
        <v>7062.8394947735651</v>
      </c>
      <c r="G17" s="199">
        <f>F17-'12. CRM'!V16</f>
        <v>7062.8394947735651</v>
      </c>
      <c r="H17" s="673">
        <f t="shared" si="0"/>
        <v>1</v>
      </c>
    </row>
    <row r="18" spans="1:8">
      <c r="A18" s="107">
        <v>11</v>
      </c>
      <c r="B18" s="1" t="s">
        <v>60</v>
      </c>
      <c r="C18" s="197">
        <f>'11. CRWA '!C18+'11. CRWA '!E18+'11. CRWA '!G18+'11. CRWA '!I18+'11. CRWA '!K18+'11. CRWA '!M18+'11. CRWA '!O18+'11. CRWA '!Q18</f>
        <v>0</v>
      </c>
      <c r="D18" s="198"/>
      <c r="E18" s="197">
        <f>'11. CRWA '!D18+'11. CRWA '!F18+'11. CRWA '!H18+'11. CRWA '!J18+'11. CRWA '!L18+'11. CRWA '!N18+'11. CRWA '!P18+'11. CRWA '!R18</f>
        <v>0</v>
      </c>
      <c r="F18" s="197">
        <f>'11. CRWA '!S18</f>
        <v>0</v>
      </c>
      <c r="G18" s="199">
        <f>F18-'12. CRM'!V17</f>
        <v>0</v>
      </c>
      <c r="H18" s="673">
        <f t="shared" si="0"/>
        <v>0</v>
      </c>
    </row>
    <row r="19" spans="1:8">
      <c r="A19" s="107">
        <v>12</v>
      </c>
      <c r="B19" s="1" t="s">
        <v>61</v>
      </c>
      <c r="C19" s="197">
        <f>'11. CRWA '!C19+'11. CRWA '!E19+'11. CRWA '!G19+'11. CRWA '!I19+'11. CRWA '!K19+'11. CRWA '!M19+'11. CRWA '!O19+'11. CRWA '!Q19</f>
        <v>0</v>
      </c>
      <c r="D19" s="198"/>
      <c r="E19" s="197">
        <f>'11. CRWA '!D19+'11. CRWA '!F19+'11. CRWA '!H19+'11. CRWA '!J19+'11. CRWA '!L19+'11. CRWA '!N19+'11. CRWA '!P19+'11. CRWA '!R19</f>
        <v>0</v>
      </c>
      <c r="F19" s="197">
        <f>'11. CRWA '!S19</f>
        <v>0</v>
      </c>
      <c r="G19" s="199">
        <f>F19-'12. CRM'!V18</f>
        <v>0</v>
      </c>
      <c r="H19" s="673">
        <f t="shared" si="0"/>
        <v>0</v>
      </c>
    </row>
    <row r="20" spans="1:8">
      <c r="A20" s="107">
        <v>13</v>
      </c>
      <c r="B20" s="1" t="s">
        <v>144</v>
      </c>
      <c r="C20" s="197">
        <f>'11. CRWA '!C20+'11. CRWA '!E20+'11. CRWA '!G20+'11. CRWA '!I20+'11. CRWA '!K20+'11. CRWA '!M20+'11. CRWA '!O20+'11. CRWA '!Q20</f>
        <v>0</v>
      </c>
      <c r="D20" s="198"/>
      <c r="E20" s="197">
        <f>'11. CRWA '!D20+'11. CRWA '!F20+'11. CRWA '!H20+'11. CRWA '!J20+'11. CRWA '!L20+'11. CRWA '!N20+'11. CRWA '!P20+'11. CRWA '!R20</f>
        <v>0</v>
      </c>
      <c r="F20" s="197">
        <f>'11. CRWA '!S20</f>
        <v>0</v>
      </c>
      <c r="G20" s="199">
        <f>F20-'12. CRM'!V19</f>
        <v>0</v>
      </c>
      <c r="H20" s="673">
        <f t="shared" si="0"/>
        <v>0</v>
      </c>
    </row>
    <row r="21" spans="1:8">
      <c r="A21" s="107">
        <v>14</v>
      </c>
      <c r="B21" s="1" t="s">
        <v>63</v>
      </c>
      <c r="C21" s="197">
        <f>'11. CRWA '!C21+'11. CRWA '!E21+'11. CRWA '!G21+'11. CRWA '!I21+'11. CRWA '!K21+'11. CRWA '!M21+'11. CRWA '!O21+'11. CRWA '!Q21</f>
        <v>21002519.137954518</v>
      </c>
      <c r="D21" s="198"/>
      <c r="E21" s="197">
        <f>'11. CRWA '!D21+'11. CRWA '!F21+'11. CRWA '!H21+'11. CRWA '!J21+'11. CRWA '!L21+'11. CRWA '!N21+'11. CRWA '!P21+'11. CRWA '!R21</f>
        <v>0</v>
      </c>
      <c r="F21" s="197">
        <f>'11. CRWA '!S21</f>
        <v>19330085.23795452</v>
      </c>
      <c r="G21" s="199">
        <f>F21-'12. CRM'!V20</f>
        <v>19100478.782941796</v>
      </c>
      <c r="H21" s="673">
        <f t="shared" si="0"/>
        <v>0.90943751354210334</v>
      </c>
    </row>
    <row r="22" spans="1:8" ht="13.5" thickBot="1">
      <c r="A22" s="110"/>
      <c r="B22" s="111" t="s">
        <v>64</v>
      </c>
      <c r="C22" s="675">
        <f>SUM(C8:C21)</f>
        <v>484579398.57384032</v>
      </c>
      <c r="D22" s="675">
        <f>SUM(D8:D21)</f>
        <v>69349880.701963097</v>
      </c>
      <c r="E22" s="675">
        <f>SUM(E8:E21)</f>
        <v>69366396.111963093</v>
      </c>
      <c r="F22" s="675">
        <f>SUM(F8:F21)</f>
        <v>471968118.00486338</v>
      </c>
      <c r="G22" s="675">
        <f>SUM(G8:G21)</f>
        <v>463663570.65652573</v>
      </c>
      <c r="H22" s="674">
        <f>G22/(C22+E22)</f>
        <v>0.83701975013550645</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92" bestFit="1" customWidth="1"/>
    <col min="2" max="2" width="104.140625" style="192" customWidth="1"/>
    <col min="3" max="5" width="12.7109375" style="192" customWidth="1"/>
    <col min="6" max="6" width="13.5703125" style="192" bestFit="1" customWidth="1"/>
    <col min="7" max="11" width="12.7109375" style="192" customWidth="1"/>
    <col min="12" max="16384" width="9.140625" style="192"/>
  </cols>
  <sheetData>
    <row r="1" spans="1:11">
      <c r="A1" s="192" t="s">
        <v>30</v>
      </c>
      <c r="B1" s="537" t="str">
        <f>'1. key ratios '!B1</f>
        <v>JSC Isbank Georgia</v>
      </c>
    </row>
    <row r="2" spans="1:11">
      <c r="A2" s="192" t="s">
        <v>31</v>
      </c>
      <c r="B2" s="538">
        <f>'1. key ratios '!B2</f>
        <v>45382</v>
      </c>
      <c r="C2" s="209"/>
      <c r="D2" s="209"/>
    </row>
    <row r="3" spans="1:11">
      <c r="B3" s="209"/>
      <c r="C3" s="209"/>
      <c r="D3" s="209"/>
    </row>
    <row r="4" spans="1:11" ht="13.5" thickBot="1">
      <c r="A4" s="192" t="s">
        <v>146</v>
      </c>
      <c r="B4" s="236" t="s">
        <v>253</v>
      </c>
      <c r="C4" s="209"/>
      <c r="D4" s="209"/>
    </row>
    <row r="5" spans="1:11" ht="30" customHeight="1">
      <c r="A5" s="849"/>
      <c r="B5" s="850"/>
      <c r="C5" s="851" t="s">
        <v>305</v>
      </c>
      <c r="D5" s="851"/>
      <c r="E5" s="851"/>
      <c r="F5" s="851" t="s">
        <v>306</v>
      </c>
      <c r="G5" s="851"/>
      <c r="H5" s="851"/>
      <c r="I5" s="851" t="s">
        <v>307</v>
      </c>
      <c r="J5" s="851"/>
      <c r="K5" s="852"/>
    </row>
    <row r="6" spans="1:11">
      <c r="A6" s="210"/>
      <c r="B6" s="211"/>
      <c r="C6" s="323" t="s">
        <v>32</v>
      </c>
      <c r="D6" s="676" t="s">
        <v>33</v>
      </c>
      <c r="E6" s="677" t="s">
        <v>34</v>
      </c>
      <c r="F6" s="323" t="s">
        <v>32</v>
      </c>
      <c r="G6" s="676" t="s">
        <v>33</v>
      </c>
      <c r="H6" s="677" t="s">
        <v>34</v>
      </c>
      <c r="I6" s="678" t="s">
        <v>32</v>
      </c>
      <c r="J6" s="676" t="s">
        <v>33</v>
      </c>
      <c r="K6" s="676" t="s">
        <v>34</v>
      </c>
    </row>
    <row r="7" spans="1:11">
      <c r="A7" s="212" t="s">
        <v>256</v>
      </c>
      <c r="B7" s="213"/>
      <c r="C7" s="679"/>
      <c r="D7" s="680"/>
      <c r="E7" s="214"/>
      <c r="F7" s="679"/>
      <c r="G7" s="680"/>
      <c r="H7" s="214"/>
      <c r="I7" s="680"/>
      <c r="J7" s="680"/>
      <c r="K7" s="214"/>
    </row>
    <row r="8" spans="1:11">
      <c r="A8" s="215">
        <v>1</v>
      </c>
      <c r="B8" s="216" t="s">
        <v>254</v>
      </c>
      <c r="C8" s="681"/>
      <c r="D8" s="217"/>
      <c r="E8" s="682"/>
      <c r="F8" s="683">
        <v>58026150.646503501</v>
      </c>
      <c r="G8" s="684">
        <v>72096148.376063839</v>
      </c>
      <c r="H8" s="685">
        <f>G8+F8</f>
        <v>130122299.02256733</v>
      </c>
      <c r="I8" s="686">
        <v>42199896.240421467</v>
      </c>
      <c r="J8" s="684">
        <v>36956105.053629622</v>
      </c>
      <c r="K8" s="685">
        <f>I8+J8</f>
        <v>79156001.294051081</v>
      </c>
    </row>
    <row r="9" spans="1:11">
      <c r="A9" s="212" t="s">
        <v>257</v>
      </c>
      <c r="B9" s="213"/>
      <c r="C9" s="679"/>
      <c r="D9" s="680"/>
      <c r="E9" s="214"/>
      <c r="F9" s="679"/>
      <c r="G9" s="680"/>
      <c r="H9" s="214"/>
      <c r="I9" s="680"/>
      <c r="J9" s="680"/>
      <c r="K9" s="214"/>
    </row>
    <row r="10" spans="1:11">
      <c r="A10" s="218">
        <v>2</v>
      </c>
      <c r="B10" s="219" t="s">
        <v>265</v>
      </c>
      <c r="C10" s="683">
        <v>5405466.1675824169</v>
      </c>
      <c r="D10" s="687">
        <v>20380921.810505509</v>
      </c>
      <c r="E10" s="685">
        <f>C10+D10</f>
        <v>25786387.978087924</v>
      </c>
      <c r="F10" s="683">
        <v>1859775.7488489016</v>
      </c>
      <c r="G10" s="687">
        <v>3478411.004332968</v>
      </c>
      <c r="H10" s="685">
        <f>G10+F10</f>
        <v>5338186.7531818692</v>
      </c>
      <c r="I10" s="686">
        <v>515784.98305494501</v>
      </c>
      <c r="J10" s="687">
        <v>1011560.7503681324</v>
      </c>
      <c r="K10" s="685">
        <f>I10+J10</f>
        <v>1527345.7334230775</v>
      </c>
    </row>
    <row r="11" spans="1:11">
      <c r="A11" s="218">
        <v>3</v>
      </c>
      <c r="B11" s="219" t="s">
        <v>259</v>
      </c>
      <c r="C11" s="683">
        <v>39109317.998681322</v>
      </c>
      <c r="D11" s="687">
        <v>225643340.01582408</v>
      </c>
      <c r="E11" s="685">
        <f t="shared" ref="E11:E16" si="0">C11+D11</f>
        <v>264752658.01450539</v>
      </c>
      <c r="F11" s="688">
        <v>21531872.93280495</v>
      </c>
      <c r="G11" s="686">
        <v>55722224.853381895</v>
      </c>
      <c r="H11" s="685">
        <f t="shared" ref="H11:H16" si="1">G11+F11</f>
        <v>77254097.786186844</v>
      </c>
      <c r="I11" s="688">
        <v>17187139.036774732</v>
      </c>
      <c r="J11" s="686">
        <v>57998397.369560435</v>
      </c>
      <c r="K11" s="685">
        <f t="shared" ref="K11:K16" si="2">I11+J11</f>
        <v>75185536.406335175</v>
      </c>
    </row>
    <row r="12" spans="1:11">
      <c r="A12" s="218">
        <v>4</v>
      </c>
      <c r="B12" s="219" t="s">
        <v>260</v>
      </c>
      <c r="C12" s="689"/>
      <c r="D12" s="690"/>
      <c r="E12" s="685">
        <f t="shared" si="0"/>
        <v>0</v>
      </c>
      <c r="F12" s="689"/>
      <c r="G12" s="690"/>
      <c r="H12" s="685">
        <f t="shared" si="1"/>
        <v>0</v>
      </c>
      <c r="I12" s="691"/>
      <c r="J12" s="690"/>
      <c r="K12" s="685">
        <f t="shared" si="2"/>
        <v>0</v>
      </c>
    </row>
    <row r="13" spans="1:11">
      <c r="A13" s="218">
        <v>5</v>
      </c>
      <c r="B13" s="219" t="s">
        <v>268</v>
      </c>
      <c r="C13" s="683">
        <v>48146508.06450548</v>
      </c>
      <c r="D13" s="687">
        <v>69788183.174065918</v>
      </c>
      <c r="E13" s="685">
        <f t="shared" si="0"/>
        <v>117934691.23857141</v>
      </c>
      <c r="F13" s="683">
        <v>4842422.5543846143</v>
      </c>
      <c r="G13" s="687">
        <v>7429152.7622033004</v>
      </c>
      <c r="H13" s="685">
        <f t="shared" si="1"/>
        <v>12271575.316587914</v>
      </c>
      <c r="I13" s="686">
        <v>2407325.4032252748</v>
      </c>
      <c r="J13" s="687">
        <v>3489409.1587032937</v>
      </c>
      <c r="K13" s="685">
        <f t="shared" si="2"/>
        <v>5896734.5619285684</v>
      </c>
    </row>
    <row r="14" spans="1:11">
      <c r="A14" s="218">
        <v>6</v>
      </c>
      <c r="B14" s="219" t="s">
        <v>300</v>
      </c>
      <c r="C14" s="689"/>
      <c r="D14" s="690"/>
      <c r="E14" s="685">
        <f t="shared" si="0"/>
        <v>0</v>
      </c>
      <c r="F14" s="689"/>
      <c r="G14" s="690"/>
      <c r="H14" s="685">
        <f t="shared" si="1"/>
        <v>0</v>
      </c>
      <c r="I14" s="691"/>
      <c r="J14" s="690"/>
      <c r="K14" s="685">
        <f t="shared" si="2"/>
        <v>0</v>
      </c>
    </row>
    <row r="15" spans="1:11">
      <c r="A15" s="218">
        <v>7</v>
      </c>
      <c r="B15" s="219" t="s">
        <v>301</v>
      </c>
      <c r="C15" s="683">
        <v>593656.59758241777</v>
      </c>
      <c r="D15" s="687">
        <v>2512342.9078021962</v>
      </c>
      <c r="E15" s="685">
        <f t="shared" si="0"/>
        <v>3105999.5053846138</v>
      </c>
      <c r="F15" s="683">
        <v>0</v>
      </c>
      <c r="G15" s="687">
        <v>51979.684615384584</v>
      </c>
      <c r="H15" s="685">
        <f t="shared" si="1"/>
        <v>51979.684615384584</v>
      </c>
      <c r="I15" s="686">
        <v>0</v>
      </c>
      <c r="J15" s="687">
        <v>51979.684615384584</v>
      </c>
      <c r="K15" s="685">
        <f t="shared" si="2"/>
        <v>51979.684615384584</v>
      </c>
    </row>
    <row r="16" spans="1:11">
      <c r="A16" s="218">
        <v>8</v>
      </c>
      <c r="B16" s="220" t="s">
        <v>261</v>
      </c>
      <c r="C16" s="692">
        <f>SUM(C10:C15)</f>
        <v>93254948.828351632</v>
      </c>
      <c r="D16" s="693">
        <f>SUM(D10:D15)</f>
        <v>318324787.90819776</v>
      </c>
      <c r="E16" s="685">
        <f t="shared" si="0"/>
        <v>411579736.73654938</v>
      </c>
      <c r="F16" s="694">
        <f>SUM(F10:F15)</f>
        <v>28234071.236038465</v>
      </c>
      <c r="G16" s="695">
        <f>SUM(G10:G15)</f>
        <v>66681768.304533541</v>
      </c>
      <c r="H16" s="685">
        <f t="shared" si="1"/>
        <v>94915839.540572003</v>
      </c>
      <c r="I16" s="693">
        <f>SUM(I10:I15)</f>
        <v>20110249.423054948</v>
      </c>
      <c r="J16" s="695">
        <f>SUM(J10:J15)</f>
        <v>62551346.963247247</v>
      </c>
      <c r="K16" s="685">
        <f t="shared" si="2"/>
        <v>82661596.386302203</v>
      </c>
    </row>
    <row r="17" spans="1:11">
      <c r="A17" s="212" t="s">
        <v>258</v>
      </c>
      <c r="B17" s="213"/>
      <c r="C17" s="679"/>
      <c r="D17" s="680"/>
      <c r="E17" s="214"/>
      <c r="F17" s="679"/>
      <c r="G17" s="680"/>
      <c r="H17" s="214"/>
      <c r="I17" s="680"/>
      <c r="J17" s="680"/>
      <c r="K17" s="214"/>
    </row>
    <row r="18" spans="1:11">
      <c r="A18" s="218">
        <v>9</v>
      </c>
      <c r="B18" s="219" t="s">
        <v>264</v>
      </c>
      <c r="C18" s="689"/>
      <c r="D18" s="690"/>
      <c r="E18" s="685">
        <f>C18+D18</f>
        <v>0</v>
      </c>
      <c r="F18" s="689"/>
      <c r="G18" s="690"/>
      <c r="H18" s="685">
        <f>F18+G18</f>
        <v>0</v>
      </c>
      <c r="I18" s="691"/>
      <c r="J18" s="690"/>
      <c r="K18" s="685">
        <f>I18+J18</f>
        <v>0</v>
      </c>
    </row>
    <row r="19" spans="1:11">
      <c r="A19" s="218">
        <v>10</v>
      </c>
      <c r="B19" s="219" t="s">
        <v>302</v>
      </c>
      <c r="C19" s="683">
        <v>121551416.88372971</v>
      </c>
      <c r="D19" s="687">
        <v>157064008.26497471</v>
      </c>
      <c r="E19" s="685">
        <f t="shared" ref="E19:E21" si="3">C19+D19</f>
        <v>278615425.14870441</v>
      </c>
      <c r="F19" s="683">
        <v>14490300.640419552</v>
      </c>
      <c r="G19" s="687">
        <v>5892684.8234799132</v>
      </c>
      <c r="H19" s="685">
        <f t="shared" ref="H19:H21" si="4">F19+G19</f>
        <v>20382985.463899463</v>
      </c>
      <c r="I19" s="686">
        <v>30316555.046501599</v>
      </c>
      <c r="J19" s="687">
        <v>41959019.135396644</v>
      </c>
      <c r="K19" s="685">
        <f t="shared" ref="K19:K21" si="5">I19+J19</f>
        <v>72275574.181898236</v>
      </c>
    </row>
    <row r="20" spans="1:11">
      <c r="A20" s="218">
        <v>11</v>
      </c>
      <c r="B20" s="219" t="s">
        <v>263</v>
      </c>
      <c r="C20" s="688">
        <v>11728952.402814258</v>
      </c>
      <c r="D20" s="696">
        <v>17529815.729434371</v>
      </c>
      <c r="E20" s="685">
        <f t="shared" si="3"/>
        <v>29258768.132248629</v>
      </c>
      <c r="F20" s="688">
        <v>472973.72167940461</v>
      </c>
      <c r="G20" s="696">
        <v>133709.2170502746</v>
      </c>
      <c r="H20" s="685">
        <f t="shared" si="4"/>
        <v>606682.93872967921</v>
      </c>
      <c r="I20" s="697">
        <v>472973.72167940461</v>
      </c>
      <c r="J20" s="696">
        <v>133709.2170502746</v>
      </c>
      <c r="K20" s="685">
        <f t="shared" si="5"/>
        <v>606682.93872967921</v>
      </c>
    </row>
    <row r="21" spans="1:11" ht="13.5" thickBot="1">
      <c r="A21" s="221">
        <v>12</v>
      </c>
      <c r="B21" s="222" t="s">
        <v>262</v>
      </c>
      <c r="C21" s="698">
        <f>SUM(C18:C20)</f>
        <v>133280369.28654397</v>
      </c>
      <c r="D21" s="699">
        <f>SUM(D18:D20)</f>
        <v>174593823.99440908</v>
      </c>
      <c r="E21" s="700">
        <f t="shared" si="3"/>
        <v>307874193.28095305</v>
      </c>
      <c r="F21" s="701">
        <f>SUM(F18:F20)</f>
        <v>14963274.362098956</v>
      </c>
      <c r="G21" s="702">
        <f>SUM(G18:G20)</f>
        <v>6026394.040530188</v>
      </c>
      <c r="H21" s="700">
        <f t="shared" si="4"/>
        <v>20989668.402629144</v>
      </c>
      <c r="I21" s="699">
        <f>SUM(I18:I20)</f>
        <v>30789528.768181004</v>
      </c>
      <c r="J21" s="702">
        <f>SUM(J18:J20)</f>
        <v>42092728.352446921</v>
      </c>
      <c r="K21" s="700">
        <f t="shared" si="5"/>
        <v>72882257.120627925</v>
      </c>
    </row>
    <row r="22" spans="1:11" ht="38.25" customHeight="1" thickBot="1">
      <c r="A22" s="223"/>
      <c r="B22" s="224"/>
      <c r="C22" s="224"/>
      <c r="D22" s="224"/>
      <c r="E22" s="224"/>
      <c r="F22" s="853" t="s">
        <v>304</v>
      </c>
      <c r="G22" s="851"/>
      <c r="H22" s="851"/>
      <c r="I22" s="853" t="s">
        <v>269</v>
      </c>
      <c r="J22" s="851"/>
      <c r="K22" s="852"/>
    </row>
    <row r="23" spans="1:11">
      <c r="A23" s="225">
        <v>13</v>
      </c>
      <c r="B23" s="226" t="s">
        <v>254</v>
      </c>
      <c r="C23" s="227"/>
      <c r="D23" s="227"/>
      <c r="E23" s="227"/>
      <c r="F23" s="703">
        <f>F8</f>
        <v>58026150.646503501</v>
      </c>
      <c r="G23" s="704">
        <f>G8</f>
        <v>72096148.376063839</v>
      </c>
      <c r="H23" s="705">
        <f>F23+G23</f>
        <v>130122299.02256733</v>
      </c>
      <c r="I23" s="703">
        <f>I8</f>
        <v>42199896.240421467</v>
      </c>
      <c r="J23" s="704">
        <f>J8</f>
        <v>36956105.053629622</v>
      </c>
      <c r="K23" s="705">
        <f>I23+J23</f>
        <v>79156001.294051081</v>
      </c>
    </row>
    <row r="24" spans="1:11" ht="13.5" thickBot="1">
      <c r="A24" s="228">
        <v>14</v>
      </c>
      <c r="B24" s="229" t="s">
        <v>266</v>
      </c>
      <c r="C24" s="230"/>
      <c r="D24" s="231"/>
      <c r="E24" s="232"/>
      <c r="F24" s="707">
        <f>F16-MIN(F16*75%,F21)</f>
        <v>13270796.873939509</v>
      </c>
      <c r="G24" s="708">
        <f>G16-MIN(G16*75%,G21)</f>
        <v>60655374.264003351</v>
      </c>
      <c r="H24" s="706">
        <f>F24+G24</f>
        <v>73926171.137942865</v>
      </c>
      <c r="I24" s="707">
        <f>I16-MIN(I16*75%,I21)</f>
        <v>5027562.3557637371</v>
      </c>
      <c r="J24" s="708">
        <f>J16-MIN(J16*75%,J21)</f>
        <v>20458618.610800326</v>
      </c>
      <c r="K24" s="706">
        <f t="shared" ref="K24" si="6">I24+J24</f>
        <v>25486180.966564063</v>
      </c>
    </row>
    <row r="25" spans="1:11" ht="13.5" thickBot="1">
      <c r="A25" s="233">
        <v>15</v>
      </c>
      <c r="B25" s="234" t="s">
        <v>267</v>
      </c>
      <c r="C25" s="235"/>
      <c r="D25" s="235"/>
      <c r="E25" s="235"/>
      <c r="F25" s="709">
        <f t="shared" ref="F25:G25" si="7">F23/F24</f>
        <v>4.3724692042007058</v>
      </c>
      <c r="G25" s="710">
        <f t="shared" si="7"/>
        <v>1.1886192979745598</v>
      </c>
      <c r="H25" s="711">
        <f>H23/H24</f>
        <v>1.7601655411013382</v>
      </c>
      <c r="I25" s="709">
        <f t="shared" ref="I25:J25" si="8">I23/I24</f>
        <v>8.3937091684287779</v>
      </c>
      <c r="J25" s="710">
        <f t="shared" si="8"/>
        <v>1.806383204881687</v>
      </c>
      <c r="K25" s="711">
        <f>K23/K24</f>
        <v>3.1058400392706051</v>
      </c>
    </row>
    <row r="27" spans="1:11" ht="25.5">
      <c r="B27" s="208"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30</v>
      </c>
      <c r="B1" s="537" t="str">
        <f>'1. key ratios '!B1</f>
        <v>JSC Isbank Georgia</v>
      </c>
    </row>
    <row r="2" spans="1:14" ht="14.25" customHeight="1">
      <c r="A2" s="4" t="s">
        <v>31</v>
      </c>
      <c r="B2" s="538">
        <f>'1. key ratios '!B2</f>
        <v>45382</v>
      </c>
    </row>
    <row r="3" spans="1:14" ht="14.25" customHeight="1"/>
    <row r="4" spans="1:14" ht="13.5" thickBot="1">
      <c r="A4" s="4" t="s">
        <v>162</v>
      </c>
      <c r="B4" s="163" t="s">
        <v>28</v>
      </c>
    </row>
    <row r="5" spans="1:14" s="117" customFormat="1">
      <c r="A5" s="113"/>
      <c r="B5" s="114"/>
      <c r="C5" s="115" t="s">
        <v>0</v>
      </c>
      <c r="D5" s="115" t="s">
        <v>1</v>
      </c>
      <c r="E5" s="115" t="s">
        <v>2</v>
      </c>
      <c r="F5" s="115" t="s">
        <v>3</v>
      </c>
      <c r="G5" s="115" t="s">
        <v>4</v>
      </c>
      <c r="H5" s="115" t="s">
        <v>5</v>
      </c>
      <c r="I5" s="115" t="s">
        <v>8</v>
      </c>
      <c r="J5" s="115" t="s">
        <v>9</v>
      </c>
      <c r="K5" s="115" t="s">
        <v>10</v>
      </c>
      <c r="L5" s="115" t="s">
        <v>11</v>
      </c>
      <c r="M5" s="115" t="s">
        <v>12</v>
      </c>
      <c r="N5" s="116" t="s">
        <v>13</v>
      </c>
    </row>
    <row r="6" spans="1:14" ht="25.5">
      <c r="A6" s="118"/>
      <c r="B6" s="119"/>
      <c r="C6" s="120" t="s">
        <v>161</v>
      </c>
      <c r="D6" s="121" t="s">
        <v>160</v>
      </c>
      <c r="E6" s="122" t="s">
        <v>159</v>
      </c>
      <c r="F6" s="123">
        <v>0</v>
      </c>
      <c r="G6" s="123">
        <v>0.2</v>
      </c>
      <c r="H6" s="123">
        <v>0.35</v>
      </c>
      <c r="I6" s="123">
        <v>0.5</v>
      </c>
      <c r="J6" s="123">
        <v>0.75</v>
      </c>
      <c r="K6" s="123">
        <v>1</v>
      </c>
      <c r="L6" s="123">
        <v>1.5</v>
      </c>
      <c r="M6" s="123">
        <v>2.5</v>
      </c>
      <c r="N6" s="162" t="s">
        <v>168</v>
      </c>
    </row>
    <row r="7" spans="1:14" ht="15">
      <c r="A7" s="124">
        <v>1</v>
      </c>
      <c r="B7" s="125" t="s">
        <v>158</v>
      </c>
      <c r="C7" s="126">
        <f>SUM(C8:C13)</f>
        <v>0</v>
      </c>
      <c r="D7" s="119"/>
      <c r="E7" s="127">
        <f t="shared" ref="E7:M7" si="0">SUM(E8:E13)</f>
        <v>0</v>
      </c>
      <c r="F7" s="128">
        <f>SUM(F8:F13)</f>
        <v>0</v>
      </c>
      <c r="G7" s="128">
        <f t="shared" si="0"/>
        <v>0</v>
      </c>
      <c r="H7" s="128">
        <f t="shared" si="0"/>
        <v>0</v>
      </c>
      <c r="I7" s="128">
        <f t="shared" si="0"/>
        <v>0</v>
      </c>
      <c r="J7" s="128">
        <f t="shared" si="0"/>
        <v>0</v>
      </c>
      <c r="K7" s="128">
        <f t="shared" si="0"/>
        <v>0</v>
      </c>
      <c r="L7" s="128">
        <f t="shared" si="0"/>
        <v>0</v>
      </c>
      <c r="M7" s="128">
        <f t="shared" si="0"/>
        <v>0</v>
      </c>
      <c r="N7" s="129">
        <f>SUM(N8:N13)</f>
        <v>0</v>
      </c>
    </row>
    <row r="8" spans="1:14" ht="14.25">
      <c r="A8" s="124">
        <v>1.1000000000000001</v>
      </c>
      <c r="B8" s="130" t="s">
        <v>156</v>
      </c>
      <c r="C8" s="128">
        <v>0</v>
      </c>
      <c r="D8" s="131">
        <v>0.02</v>
      </c>
      <c r="E8" s="127">
        <f>C8*D8</f>
        <v>0</v>
      </c>
      <c r="F8" s="128"/>
      <c r="G8" s="128"/>
      <c r="H8" s="128"/>
      <c r="I8" s="128"/>
      <c r="J8" s="128"/>
      <c r="K8" s="128"/>
      <c r="L8" s="128"/>
      <c r="M8" s="128"/>
      <c r="N8" s="129">
        <f>SUMPRODUCT($F$6:$M$6,F8:M8)</f>
        <v>0</v>
      </c>
    </row>
    <row r="9" spans="1:14" ht="14.25">
      <c r="A9" s="124">
        <v>1.2</v>
      </c>
      <c r="B9" s="130" t="s">
        <v>155</v>
      </c>
      <c r="C9" s="128">
        <v>0</v>
      </c>
      <c r="D9" s="131">
        <v>0.05</v>
      </c>
      <c r="E9" s="127">
        <f>C9*D9</f>
        <v>0</v>
      </c>
      <c r="F9" s="128"/>
      <c r="G9" s="128"/>
      <c r="H9" s="128"/>
      <c r="I9" s="128"/>
      <c r="J9" s="128"/>
      <c r="K9" s="128"/>
      <c r="L9" s="128"/>
      <c r="M9" s="128"/>
      <c r="N9" s="129">
        <f t="shared" ref="N9:N12" si="1">SUMPRODUCT($F$6:$M$6,F9:M9)</f>
        <v>0</v>
      </c>
    </row>
    <row r="10" spans="1:14" ht="14.25">
      <c r="A10" s="124">
        <v>1.3</v>
      </c>
      <c r="B10" s="130" t="s">
        <v>154</v>
      </c>
      <c r="C10" s="128">
        <v>0</v>
      </c>
      <c r="D10" s="131">
        <v>0.08</v>
      </c>
      <c r="E10" s="127">
        <f>C10*D10</f>
        <v>0</v>
      </c>
      <c r="F10" s="128"/>
      <c r="G10" s="128"/>
      <c r="H10" s="128"/>
      <c r="I10" s="128"/>
      <c r="J10" s="128"/>
      <c r="K10" s="128"/>
      <c r="L10" s="128"/>
      <c r="M10" s="128"/>
      <c r="N10" s="129">
        <f>SUMPRODUCT($F$6:$M$6,F10:M10)</f>
        <v>0</v>
      </c>
    </row>
    <row r="11" spans="1:14" ht="14.25">
      <c r="A11" s="124">
        <v>1.4</v>
      </c>
      <c r="B11" s="130" t="s">
        <v>153</v>
      </c>
      <c r="C11" s="128">
        <v>0</v>
      </c>
      <c r="D11" s="131">
        <v>0.11</v>
      </c>
      <c r="E11" s="127">
        <f>C11*D11</f>
        <v>0</v>
      </c>
      <c r="F11" s="128"/>
      <c r="G11" s="128"/>
      <c r="H11" s="128"/>
      <c r="I11" s="128"/>
      <c r="J11" s="128"/>
      <c r="K11" s="128"/>
      <c r="L11" s="128"/>
      <c r="M11" s="128"/>
      <c r="N11" s="129">
        <f t="shared" si="1"/>
        <v>0</v>
      </c>
    </row>
    <row r="12" spans="1:14" ht="14.25">
      <c r="A12" s="124">
        <v>1.5</v>
      </c>
      <c r="B12" s="130" t="s">
        <v>152</v>
      </c>
      <c r="C12" s="128">
        <v>0</v>
      </c>
      <c r="D12" s="131">
        <v>0.14000000000000001</v>
      </c>
      <c r="E12" s="127">
        <f>C12*D12</f>
        <v>0</v>
      </c>
      <c r="F12" s="128"/>
      <c r="G12" s="128"/>
      <c r="H12" s="128"/>
      <c r="I12" s="128"/>
      <c r="J12" s="128"/>
      <c r="K12" s="128"/>
      <c r="L12" s="128"/>
      <c r="M12" s="128"/>
      <c r="N12" s="129">
        <f t="shared" si="1"/>
        <v>0</v>
      </c>
    </row>
    <row r="13" spans="1:14" ht="14.25">
      <c r="A13" s="124">
        <v>1.6</v>
      </c>
      <c r="B13" s="132" t="s">
        <v>151</v>
      </c>
      <c r="C13" s="128">
        <v>0</v>
      </c>
      <c r="D13" s="133"/>
      <c r="E13" s="128"/>
      <c r="F13" s="128"/>
      <c r="G13" s="128"/>
      <c r="H13" s="128"/>
      <c r="I13" s="128"/>
      <c r="J13" s="128"/>
      <c r="K13" s="128"/>
      <c r="L13" s="128"/>
      <c r="M13" s="128"/>
      <c r="N13" s="129">
        <f>SUMPRODUCT($F$6:$M$6,F13:M13)</f>
        <v>0</v>
      </c>
    </row>
    <row r="14" spans="1:14" ht="15">
      <c r="A14" s="124">
        <v>2</v>
      </c>
      <c r="B14" s="134" t="s">
        <v>157</v>
      </c>
      <c r="C14" s="126">
        <f>SUM(C15:C20)</f>
        <v>0</v>
      </c>
      <c r="D14" s="119"/>
      <c r="E14" s="127">
        <f t="shared" ref="E14:M14" si="2">SUM(E15:E20)</f>
        <v>0</v>
      </c>
      <c r="F14" s="128">
        <f t="shared" si="2"/>
        <v>0</v>
      </c>
      <c r="G14" s="128">
        <f t="shared" si="2"/>
        <v>0</v>
      </c>
      <c r="H14" s="128">
        <f t="shared" si="2"/>
        <v>0</v>
      </c>
      <c r="I14" s="128">
        <f t="shared" si="2"/>
        <v>0</v>
      </c>
      <c r="J14" s="128">
        <f t="shared" si="2"/>
        <v>0</v>
      </c>
      <c r="K14" s="128">
        <f t="shared" si="2"/>
        <v>0</v>
      </c>
      <c r="L14" s="128">
        <f t="shared" si="2"/>
        <v>0</v>
      </c>
      <c r="M14" s="128">
        <f t="shared" si="2"/>
        <v>0</v>
      </c>
      <c r="N14" s="129">
        <f>SUM(N15:N20)</f>
        <v>0</v>
      </c>
    </row>
    <row r="15" spans="1:14" ht="14.25">
      <c r="A15" s="124">
        <v>2.1</v>
      </c>
      <c r="B15" s="132" t="s">
        <v>156</v>
      </c>
      <c r="C15" s="128"/>
      <c r="D15" s="131">
        <v>5.0000000000000001E-3</v>
      </c>
      <c r="E15" s="127">
        <f>C15*D15</f>
        <v>0</v>
      </c>
      <c r="F15" s="128"/>
      <c r="G15" s="128"/>
      <c r="H15" s="128"/>
      <c r="I15" s="128"/>
      <c r="J15" s="128"/>
      <c r="K15" s="128"/>
      <c r="L15" s="128"/>
      <c r="M15" s="128"/>
      <c r="N15" s="129">
        <f>SUMPRODUCT($F$6:$M$6,F15:M15)</f>
        <v>0</v>
      </c>
    </row>
    <row r="16" spans="1:14" ht="14.25">
      <c r="A16" s="124">
        <v>2.2000000000000002</v>
      </c>
      <c r="B16" s="132" t="s">
        <v>155</v>
      </c>
      <c r="C16" s="128"/>
      <c r="D16" s="131">
        <v>0.01</v>
      </c>
      <c r="E16" s="127">
        <f>C16*D16</f>
        <v>0</v>
      </c>
      <c r="F16" s="128"/>
      <c r="G16" s="128"/>
      <c r="H16" s="128"/>
      <c r="I16" s="128"/>
      <c r="J16" s="128"/>
      <c r="K16" s="128"/>
      <c r="L16" s="128"/>
      <c r="M16" s="128"/>
      <c r="N16" s="129">
        <f t="shared" ref="N16:N20" si="3">SUMPRODUCT($F$6:$M$6,F16:M16)</f>
        <v>0</v>
      </c>
    </row>
    <row r="17" spans="1:14" ht="14.25">
      <c r="A17" s="124">
        <v>2.2999999999999998</v>
      </c>
      <c r="B17" s="132" t="s">
        <v>154</v>
      </c>
      <c r="C17" s="128"/>
      <c r="D17" s="131">
        <v>0.02</v>
      </c>
      <c r="E17" s="127">
        <f>C17*D17</f>
        <v>0</v>
      </c>
      <c r="F17" s="128"/>
      <c r="G17" s="128"/>
      <c r="H17" s="128"/>
      <c r="I17" s="128"/>
      <c r="J17" s="128"/>
      <c r="K17" s="128"/>
      <c r="L17" s="128"/>
      <c r="M17" s="128"/>
      <c r="N17" s="129">
        <f t="shared" si="3"/>
        <v>0</v>
      </c>
    </row>
    <row r="18" spans="1:14" ht="14.25">
      <c r="A18" s="124">
        <v>2.4</v>
      </c>
      <c r="B18" s="132" t="s">
        <v>153</v>
      </c>
      <c r="C18" s="128"/>
      <c r="D18" s="131">
        <v>0.03</v>
      </c>
      <c r="E18" s="127">
        <f>C18*D18</f>
        <v>0</v>
      </c>
      <c r="F18" s="128"/>
      <c r="G18" s="128"/>
      <c r="H18" s="128"/>
      <c r="I18" s="128"/>
      <c r="J18" s="128"/>
      <c r="K18" s="128"/>
      <c r="L18" s="128"/>
      <c r="M18" s="128"/>
      <c r="N18" s="129">
        <f t="shared" si="3"/>
        <v>0</v>
      </c>
    </row>
    <row r="19" spans="1:14" ht="14.25">
      <c r="A19" s="124">
        <v>2.5</v>
      </c>
      <c r="B19" s="132" t="s">
        <v>152</v>
      </c>
      <c r="C19" s="128"/>
      <c r="D19" s="131">
        <v>0.04</v>
      </c>
      <c r="E19" s="127">
        <f>C19*D19</f>
        <v>0</v>
      </c>
      <c r="F19" s="128"/>
      <c r="G19" s="128"/>
      <c r="H19" s="128"/>
      <c r="I19" s="128"/>
      <c r="J19" s="128"/>
      <c r="K19" s="128"/>
      <c r="L19" s="128"/>
      <c r="M19" s="128"/>
      <c r="N19" s="129">
        <f t="shared" si="3"/>
        <v>0</v>
      </c>
    </row>
    <row r="20" spans="1:14" ht="14.25">
      <c r="A20" s="124">
        <v>2.6</v>
      </c>
      <c r="B20" s="132" t="s">
        <v>151</v>
      </c>
      <c r="C20" s="128"/>
      <c r="D20" s="133"/>
      <c r="E20" s="135"/>
      <c r="F20" s="128"/>
      <c r="G20" s="128"/>
      <c r="H20" s="128"/>
      <c r="I20" s="128"/>
      <c r="J20" s="128"/>
      <c r="K20" s="128"/>
      <c r="L20" s="128"/>
      <c r="M20" s="128"/>
      <c r="N20" s="129">
        <f t="shared" si="3"/>
        <v>0</v>
      </c>
    </row>
    <row r="21" spans="1:14" ht="15.75" thickBot="1">
      <c r="A21" s="136"/>
      <c r="B21" s="137" t="s">
        <v>64</v>
      </c>
      <c r="C21" s="112">
        <f>C14+C7</f>
        <v>0</v>
      </c>
      <c r="D21" s="138"/>
      <c r="E21" s="139">
        <f>E14+E7</f>
        <v>0</v>
      </c>
      <c r="F21" s="140">
        <f>F7+F14</f>
        <v>0</v>
      </c>
      <c r="G21" s="140">
        <f t="shared" ref="G21:L21" si="4">G7+G14</f>
        <v>0</v>
      </c>
      <c r="H21" s="140">
        <f t="shared" si="4"/>
        <v>0</v>
      </c>
      <c r="I21" s="140">
        <f t="shared" si="4"/>
        <v>0</v>
      </c>
      <c r="J21" s="140">
        <f t="shared" si="4"/>
        <v>0</v>
      </c>
      <c r="K21" s="140">
        <f t="shared" si="4"/>
        <v>0</v>
      </c>
      <c r="L21" s="140">
        <f t="shared" si="4"/>
        <v>0</v>
      </c>
      <c r="M21" s="140">
        <f>M7+M14</f>
        <v>0</v>
      </c>
      <c r="N21" s="141">
        <f>N14+N7</f>
        <v>0</v>
      </c>
    </row>
    <row r="22" spans="1:14">
      <c r="E22" s="142"/>
      <c r="F22" s="142"/>
      <c r="G22" s="142"/>
      <c r="H22" s="142"/>
      <c r="I22" s="142"/>
      <c r="J22" s="142"/>
      <c r="K22" s="142"/>
      <c r="L22" s="142"/>
      <c r="M22" s="142"/>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zoomScale="90" zoomScaleNormal="90" workbookViewId="0">
      <selection activeCell="B4" sqref="B4"/>
    </sheetView>
  </sheetViews>
  <sheetFormatPr defaultRowHeight="15"/>
  <cols>
    <col min="1" max="1" width="11.42578125" customWidth="1"/>
    <col min="2" max="2" width="76.85546875" style="258" customWidth="1"/>
    <col min="3" max="3" width="22.85546875" customWidth="1"/>
  </cols>
  <sheetData>
    <row r="1" spans="1:3">
      <c r="A1" s="2" t="s">
        <v>30</v>
      </c>
      <c r="B1" s="537" t="str">
        <f>'1. key ratios '!B1</f>
        <v>JSC Isbank Georgia</v>
      </c>
    </row>
    <row r="2" spans="1:3">
      <c r="A2" s="2" t="s">
        <v>31</v>
      </c>
      <c r="B2" s="538">
        <f>'1. key ratios '!B2</f>
        <v>45382</v>
      </c>
    </row>
    <row r="3" spans="1:3">
      <c r="A3" s="4"/>
      <c r="B3"/>
    </row>
    <row r="4" spans="1:3">
      <c r="A4" s="4" t="s">
        <v>308</v>
      </c>
      <c r="B4" t="s">
        <v>309</v>
      </c>
    </row>
    <row r="5" spans="1:3">
      <c r="A5" s="259" t="s">
        <v>310</v>
      </c>
      <c r="B5" s="260"/>
      <c r="C5" s="261"/>
    </row>
    <row r="6" spans="1:3" ht="24">
      <c r="A6" s="262">
        <v>1</v>
      </c>
      <c r="B6" s="263" t="s">
        <v>357</v>
      </c>
      <c r="C6" s="264">
        <v>484734281.03708011</v>
      </c>
    </row>
    <row r="7" spans="1:3">
      <c r="A7" s="262">
        <v>2</v>
      </c>
      <c r="B7" s="263" t="s">
        <v>311</v>
      </c>
      <c r="C7" s="264">
        <v>-154882.46323972591</v>
      </c>
    </row>
    <row r="8" spans="1:3" ht="24">
      <c r="A8" s="265">
        <v>3</v>
      </c>
      <c r="B8" s="266" t="s">
        <v>312</v>
      </c>
      <c r="C8" s="264">
        <f>C6+C7</f>
        <v>484579398.57384038</v>
      </c>
    </row>
    <row r="9" spans="1:3">
      <c r="A9" s="259" t="s">
        <v>313</v>
      </c>
      <c r="B9" s="260"/>
      <c r="C9" s="267"/>
    </row>
    <row r="10" spans="1:3" ht="24">
      <c r="A10" s="268">
        <v>4</v>
      </c>
      <c r="B10" s="269" t="s">
        <v>314</v>
      </c>
      <c r="C10" s="264"/>
    </row>
    <row r="11" spans="1:3">
      <c r="A11" s="268">
        <v>5</v>
      </c>
      <c r="B11" s="270" t="s">
        <v>315</v>
      </c>
      <c r="C11" s="264"/>
    </row>
    <row r="12" spans="1:3">
      <c r="A12" s="268" t="s">
        <v>316</v>
      </c>
      <c r="B12" s="270" t="s">
        <v>317</v>
      </c>
      <c r="C12" s="264"/>
    </row>
    <row r="13" spans="1:3" ht="24">
      <c r="A13" s="271">
        <v>6</v>
      </c>
      <c r="B13" s="269" t="s">
        <v>318</v>
      </c>
      <c r="C13" s="264"/>
    </row>
    <row r="14" spans="1:3">
      <c r="A14" s="271">
        <v>7</v>
      </c>
      <c r="B14" s="272" t="s">
        <v>319</v>
      </c>
      <c r="C14" s="264"/>
    </row>
    <row r="15" spans="1:3">
      <c r="A15" s="273">
        <v>8</v>
      </c>
      <c r="B15" s="274" t="s">
        <v>320</v>
      </c>
      <c r="C15" s="264"/>
    </row>
    <row r="16" spans="1:3">
      <c r="A16" s="271">
        <v>9</v>
      </c>
      <c r="B16" s="272" t="s">
        <v>321</v>
      </c>
      <c r="C16" s="264"/>
    </row>
    <row r="17" spans="1:3">
      <c r="A17" s="271">
        <v>10</v>
      </c>
      <c r="B17" s="272" t="s">
        <v>322</v>
      </c>
      <c r="C17" s="264"/>
    </row>
    <row r="18" spans="1:3">
      <c r="A18" s="275">
        <v>11</v>
      </c>
      <c r="B18" s="276" t="s">
        <v>323</v>
      </c>
      <c r="C18" s="277">
        <f>SUM(C10:C17)</f>
        <v>0</v>
      </c>
    </row>
    <row r="19" spans="1:3">
      <c r="A19" s="278" t="s">
        <v>324</v>
      </c>
      <c r="B19" s="279"/>
      <c r="C19" s="280"/>
    </row>
    <row r="20" spans="1:3" ht="24">
      <c r="A20" s="281">
        <v>12</v>
      </c>
      <c r="B20" s="269" t="s">
        <v>325</v>
      </c>
      <c r="C20" s="264"/>
    </row>
    <row r="21" spans="1:3">
      <c r="A21" s="281">
        <v>13</v>
      </c>
      <c r="B21" s="269" t="s">
        <v>326</v>
      </c>
      <c r="C21" s="264"/>
    </row>
    <row r="22" spans="1:3">
      <c r="A22" s="281">
        <v>14</v>
      </c>
      <c r="B22" s="269" t="s">
        <v>327</v>
      </c>
      <c r="C22" s="264"/>
    </row>
    <row r="23" spans="1:3" ht="24">
      <c r="A23" s="281" t="s">
        <v>328</v>
      </c>
      <c r="B23" s="269" t="s">
        <v>329</v>
      </c>
      <c r="C23" s="264"/>
    </row>
    <row r="24" spans="1:3">
      <c r="A24" s="281">
        <v>15</v>
      </c>
      <c r="B24" s="269" t="s">
        <v>330</v>
      </c>
      <c r="C24" s="264"/>
    </row>
    <row r="25" spans="1:3">
      <c r="A25" s="281" t="s">
        <v>331</v>
      </c>
      <c r="B25" s="269" t="s">
        <v>332</v>
      </c>
      <c r="C25" s="264"/>
    </row>
    <row r="26" spans="1:3">
      <c r="A26" s="282">
        <v>16</v>
      </c>
      <c r="B26" s="283" t="s">
        <v>333</v>
      </c>
      <c r="C26" s="277">
        <f>SUM(C20:C25)</f>
        <v>0</v>
      </c>
    </row>
    <row r="27" spans="1:3">
      <c r="A27" s="259" t="s">
        <v>334</v>
      </c>
      <c r="B27" s="260"/>
      <c r="C27" s="267"/>
    </row>
    <row r="28" spans="1:3">
      <c r="A28" s="284">
        <v>17</v>
      </c>
      <c r="B28" s="270" t="s">
        <v>335</v>
      </c>
      <c r="C28" s="264"/>
    </row>
    <row r="29" spans="1:3">
      <c r="A29" s="284">
        <v>18</v>
      </c>
      <c r="B29" s="270" t="s">
        <v>336</v>
      </c>
      <c r="C29" s="264"/>
    </row>
    <row r="30" spans="1:3">
      <c r="A30" s="282">
        <v>19</v>
      </c>
      <c r="B30" s="283" t="s">
        <v>337</v>
      </c>
      <c r="C30" s="277">
        <f>C28+C29</f>
        <v>0</v>
      </c>
    </row>
    <row r="31" spans="1:3">
      <c r="A31" s="259" t="s">
        <v>338</v>
      </c>
      <c r="B31" s="260"/>
      <c r="C31" s="267"/>
    </row>
    <row r="32" spans="1:3" ht="24">
      <c r="A32" s="284" t="s">
        <v>339</v>
      </c>
      <c r="B32" s="269" t="s">
        <v>340</v>
      </c>
      <c r="C32" s="285"/>
    </row>
    <row r="33" spans="1:3">
      <c r="A33" s="284" t="s">
        <v>341</v>
      </c>
      <c r="B33" s="270" t="s">
        <v>342</v>
      </c>
      <c r="C33" s="285"/>
    </row>
    <row r="34" spans="1:3">
      <c r="A34" s="259" t="s">
        <v>343</v>
      </c>
      <c r="B34" s="260"/>
      <c r="C34" s="267"/>
    </row>
    <row r="35" spans="1:3">
      <c r="A35" s="286">
        <v>20</v>
      </c>
      <c r="B35" s="287" t="s">
        <v>344</v>
      </c>
      <c r="C35" s="277">
        <f>'9.Capital'!C29</f>
        <v>138164000.08336854</v>
      </c>
    </row>
    <row r="36" spans="1:3">
      <c r="A36" s="282">
        <v>21</v>
      </c>
      <c r="B36" s="283" t="s">
        <v>345</v>
      </c>
      <c r="C36" s="277">
        <f>C8+C18+C26+C30</f>
        <v>484579398.57384038</v>
      </c>
    </row>
    <row r="37" spans="1:3">
      <c r="A37" s="259" t="s">
        <v>346</v>
      </c>
      <c r="B37" s="260"/>
      <c r="C37" s="267"/>
    </row>
    <row r="38" spans="1:3">
      <c r="A38" s="282">
        <v>22</v>
      </c>
      <c r="B38" s="283" t="s">
        <v>346</v>
      </c>
      <c r="C38" s="712">
        <f t="shared" ref="C38" si="0">C35/C36</f>
        <v>0.28512148987348057</v>
      </c>
    </row>
    <row r="39" spans="1:3">
      <c r="A39" s="259" t="s">
        <v>347</v>
      </c>
      <c r="B39" s="260"/>
      <c r="C39" s="267"/>
    </row>
    <row r="40" spans="1:3">
      <c r="A40" s="288" t="s">
        <v>348</v>
      </c>
      <c r="B40" s="269" t="s">
        <v>349</v>
      </c>
      <c r="C40" s="285"/>
    </row>
    <row r="41" spans="1:3" ht="24">
      <c r="A41" s="289" t="s">
        <v>350</v>
      </c>
      <c r="B41" s="263" t="s">
        <v>351</v>
      </c>
      <c r="C41" s="28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110" zoomScaleNormal="11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192"/>
    <col min="2" max="2" width="82.5703125" style="325" customWidth="1"/>
    <col min="3" max="4" width="12" style="192" bestFit="1" customWidth="1"/>
    <col min="5" max="5" width="13.7109375" style="192" bestFit="1" customWidth="1"/>
    <col min="6" max="6" width="12" style="192" bestFit="1" customWidth="1"/>
    <col min="7" max="7" width="13.140625" style="192" bestFit="1" customWidth="1"/>
  </cols>
  <sheetData>
    <row r="1" spans="1:7">
      <c r="A1" s="713" t="s">
        <v>30</v>
      </c>
      <c r="B1" s="537" t="str">
        <f>'1. key ratios '!B1</f>
        <v>JSC Isbank Georgia</v>
      </c>
    </row>
    <row r="2" spans="1:7">
      <c r="A2" s="713" t="s">
        <v>31</v>
      </c>
      <c r="B2" s="538">
        <f>'1. key ratios '!B2</f>
        <v>45382</v>
      </c>
    </row>
    <row r="4" spans="1:7" ht="15.75" thickBot="1">
      <c r="A4" s="192" t="s">
        <v>407</v>
      </c>
      <c r="B4" s="326" t="s">
        <v>368</v>
      </c>
    </row>
    <row r="5" spans="1:7">
      <c r="A5" s="327"/>
      <c r="B5" s="328"/>
      <c r="C5" s="854" t="s">
        <v>369</v>
      </c>
      <c r="D5" s="854"/>
      <c r="E5" s="854"/>
      <c r="F5" s="854"/>
      <c r="G5" s="855" t="s">
        <v>370</v>
      </c>
    </row>
    <row r="6" spans="1:7">
      <c r="A6" s="329"/>
      <c r="B6" s="330"/>
      <c r="C6" s="331" t="s">
        <v>371</v>
      </c>
      <c r="D6" s="332" t="s">
        <v>372</v>
      </c>
      <c r="E6" s="332" t="s">
        <v>373</v>
      </c>
      <c r="F6" s="332" t="s">
        <v>374</v>
      </c>
      <c r="G6" s="856"/>
    </row>
    <row r="7" spans="1:7">
      <c r="A7" s="333"/>
      <c r="B7" s="334" t="s">
        <v>375</v>
      </c>
      <c r="C7" s="335"/>
      <c r="D7" s="335"/>
      <c r="E7" s="335"/>
      <c r="F7" s="335"/>
      <c r="G7" s="336"/>
    </row>
    <row r="8" spans="1:7">
      <c r="A8" s="337">
        <v>1</v>
      </c>
      <c r="B8" s="338" t="s">
        <v>376</v>
      </c>
      <c r="C8" s="714">
        <f>SUM(C9:C10)</f>
        <v>138164000.08336854</v>
      </c>
      <c r="D8" s="714">
        <f>SUM(D9:D10)</f>
        <v>0</v>
      </c>
      <c r="E8" s="714">
        <f>SUM(E9:E10)</f>
        <v>0</v>
      </c>
      <c r="F8" s="714">
        <f>SUM(F9:F10)</f>
        <v>20823222.390000001</v>
      </c>
      <c r="G8" s="715">
        <f>SUM(G9:G10)</f>
        <v>158987222.47336853</v>
      </c>
    </row>
    <row r="9" spans="1:7">
      <c r="A9" s="337">
        <v>2</v>
      </c>
      <c r="B9" s="341" t="s">
        <v>377</v>
      </c>
      <c r="C9" s="339">
        <v>138164000.08336854</v>
      </c>
      <c r="D9" s="339"/>
      <c r="E9" s="339"/>
      <c r="F9" s="339"/>
      <c r="G9" s="340">
        <v>138164000.08336854</v>
      </c>
    </row>
    <row r="10" spans="1:7">
      <c r="A10" s="337">
        <v>3</v>
      </c>
      <c r="B10" s="341" t="s">
        <v>378</v>
      </c>
      <c r="C10" s="342"/>
      <c r="D10" s="342"/>
      <c r="E10" s="342"/>
      <c r="F10" s="339">
        <v>20823222.390000001</v>
      </c>
      <c r="G10" s="340">
        <v>20823222.390000001</v>
      </c>
    </row>
    <row r="11" spans="1:7" ht="14.45" customHeight="1">
      <c r="A11" s="337">
        <v>4</v>
      </c>
      <c r="B11" s="338" t="s">
        <v>379</v>
      </c>
      <c r="C11" s="714">
        <f t="shared" ref="C11:F11" si="0">SUM(C12:C13)</f>
        <v>3430533.2499999958</v>
      </c>
      <c r="D11" s="714">
        <f t="shared" si="0"/>
        <v>8584348.870000001</v>
      </c>
      <c r="E11" s="714">
        <f t="shared" si="0"/>
        <v>13063235.989999998</v>
      </c>
      <c r="F11" s="714">
        <f t="shared" si="0"/>
        <v>1787863.66</v>
      </c>
      <c r="G11" s="715">
        <f>SUM(G12:G13)</f>
        <v>17564023.203999996</v>
      </c>
    </row>
    <row r="12" spans="1:7">
      <c r="A12" s="337">
        <v>5</v>
      </c>
      <c r="B12" s="341" t="s">
        <v>380</v>
      </c>
      <c r="C12" s="339">
        <v>437739.52999999997</v>
      </c>
      <c r="D12" s="343">
        <v>1280620.25</v>
      </c>
      <c r="E12" s="339">
        <v>6116672.839999998</v>
      </c>
      <c r="F12" s="339">
        <v>1345039.2</v>
      </c>
      <c r="G12" s="340">
        <v>8721068.2289999984</v>
      </c>
    </row>
    <row r="13" spans="1:7">
      <c r="A13" s="337">
        <v>6</v>
      </c>
      <c r="B13" s="341" t="s">
        <v>381</v>
      </c>
      <c r="C13" s="339">
        <v>2992793.719999996</v>
      </c>
      <c r="D13" s="343">
        <v>7303728.620000001</v>
      </c>
      <c r="E13" s="339">
        <v>6946563.1500000004</v>
      </c>
      <c r="F13" s="339">
        <v>442824.46</v>
      </c>
      <c r="G13" s="340">
        <v>8842954.9749999996</v>
      </c>
    </row>
    <row r="14" spans="1:7">
      <c r="A14" s="337">
        <v>7</v>
      </c>
      <c r="B14" s="338" t="s">
        <v>382</v>
      </c>
      <c r="C14" s="714">
        <f t="shared" ref="C14:F14" si="1">SUM(C15:C16)</f>
        <v>74457829.270000011</v>
      </c>
      <c r="D14" s="714">
        <f t="shared" si="1"/>
        <v>161343416.46000007</v>
      </c>
      <c r="E14" s="714">
        <f t="shared" si="1"/>
        <v>49086980.440000005</v>
      </c>
      <c r="F14" s="714">
        <f t="shared" si="1"/>
        <v>2745325.55</v>
      </c>
      <c r="G14" s="715">
        <f>SUM(G15:G16)</f>
        <v>47765536.45000001</v>
      </c>
    </row>
    <row r="15" spans="1:7" ht="39">
      <c r="A15" s="337">
        <v>8</v>
      </c>
      <c r="B15" s="341" t="s">
        <v>383</v>
      </c>
      <c r="C15" s="339">
        <v>58684817.280000009</v>
      </c>
      <c r="D15" s="343">
        <v>22233042.589999996</v>
      </c>
      <c r="E15" s="339">
        <v>8367638.3199999994</v>
      </c>
      <c r="F15" s="339">
        <v>1392506.48</v>
      </c>
      <c r="G15" s="340">
        <v>45339002.335000008</v>
      </c>
    </row>
    <row r="16" spans="1:7" ht="26.25">
      <c r="A16" s="337">
        <v>9</v>
      </c>
      <c r="B16" s="341" t="s">
        <v>384</v>
      </c>
      <c r="C16" s="339">
        <v>15773011.99</v>
      </c>
      <c r="D16" s="343">
        <v>139110373.87000006</v>
      </c>
      <c r="E16" s="339">
        <v>40719342.120000005</v>
      </c>
      <c r="F16" s="339">
        <v>1352819.07</v>
      </c>
      <c r="G16" s="340">
        <v>2426534.1150000002</v>
      </c>
    </row>
    <row r="17" spans="1:7">
      <c r="A17" s="337">
        <v>10</v>
      </c>
      <c r="B17" s="338" t="s">
        <v>385</v>
      </c>
      <c r="C17" s="339"/>
      <c r="D17" s="343"/>
      <c r="E17" s="339"/>
      <c r="F17" s="339"/>
      <c r="G17" s="340">
        <v>0</v>
      </c>
    </row>
    <row r="18" spans="1:7">
      <c r="A18" s="337">
        <v>11</v>
      </c>
      <c r="B18" s="338" t="s">
        <v>386</v>
      </c>
      <c r="C18" s="714">
        <f>SUM(C19:C20)</f>
        <v>11092642.6204718</v>
      </c>
      <c r="D18" s="716">
        <f t="shared" ref="D18:G18" si="2">SUM(D19:D20)</f>
        <v>0</v>
      </c>
      <c r="E18" s="714">
        <f t="shared" si="2"/>
        <v>0</v>
      </c>
      <c r="F18" s="714">
        <f t="shared" si="2"/>
        <v>0</v>
      </c>
      <c r="G18" s="715">
        <f t="shared" si="2"/>
        <v>0</v>
      </c>
    </row>
    <row r="19" spans="1:7">
      <c r="A19" s="337">
        <v>12</v>
      </c>
      <c r="B19" s="341" t="s">
        <v>387</v>
      </c>
      <c r="C19" s="342"/>
      <c r="D19" s="343"/>
      <c r="E19" s="339"/>
      <c r="F19" s="339"/>
      <c r="G19" s="340"/>
    </row>
    <row r="20" spans="1:7">
      <c r="A20" s="337">
        <v>13</v>
      </c>
      <c r="B20" s="341" t="s">
        <v>388</v>
      </c>
      <c r="C20" s="339">
        <v>11092642.6204718</v>
      </c>
      <c r="D20" s="339"/>
      <c r="E20" s="339"/>
      <c r="F20" s="339"/>
      <c r="G20" s="340"/>
    </row>
    <row r="21" spans="1:7">
      <c r="A21" s="344">
        <v>14</v>
      </c>
      <c r="B21" s="345" t="s">
        <v>389</v>
      </c>
      <c r="C21" s="342"/>
      <c r="D21" s="342"/>
      <c r="E21" s="342"/>
      <c r="F21" s="342"/>
      <c r="G21" s="346">
        <f>SUM(G8,G11,G14,G17,G18)</f>
        <v>224316782.12736854</v>
      </c>
    </row>
    <row r="22" spans="1:7">
      <c r="A22" s="347"/>
      <c r="B22" s="348" t="s">
        <v>390</v>
      </c>
      <c r="C22" s="349"/>
      <c r="D22" s="350"/>
      <c r="E22" s="349"/>
      <c r="F22" s="349"/>
      <c r="G22" s="351"/>
    </row>
    <row r="23" spans="1:7">
      <c r="A23" s="337">
        <v>15</v>
      </c>
      <c r="B23" s="338" t="s">
        <v>391</v>
      </c>
      <c r="C23" s="352">
        <v>127375709.10703909</v>
      </c>
      <c r="D23" s="353">
        <v>0</v>
      </c>
      <c r="E23" s="352">
        <v>0</v>
      </c>
      <c r="F23" s="352">
        <v>0</v>
      </c>
      <c r="G23" s="340">
        <v>4135129.8356836447</v>
      </c>
    </row>
    <row r="24" spans="1:7">
      <c r="A24" s="337">
        <v>16</v>
      </c>
      <c r="B24" s="338" t="s">
        <v>392</v>
      </c>
      <c r="C24" s="714">
        <f>SUM(C25:C27,C29,C31)</f>
        <v>98871.898078223749</v>
      </c>
      <c r="D24" s="716">
        <f t="shared" ref="D24:G24" si="3">SUM(D25:D27,D29,D31)</f>
        <v>163789185.95010749</v>
      </c>
      <c r="E24" s="714">
        <f t="shared" si="3"/>
        <v>73847314.120314449</v>
      </c>
      <c r="F24" s="714">
        <f t="shared" si="3"/>
        <v>105041922.82568261</v>
      </c>
      <c r="G24" s="715">
        <f t="shared" si="3"/>
        <v>188906645.3728618</v>
      </c>
    </row>
    <row r="25" spans="1:7">
      <c r="A25" s="337">
        <v>17</v>
      </c>
      <c r="B25" s="341" t="s">
        <v>393</v>
      </c>
      <c r="C25" s="339"/>
      <c r="D25" s="343"/>
      <c r="E25" s="339"/>
      <c r="F25" s="339"/>
      <c r="G25" s="340"/>
    </row>
    <row r="26" spans="1:7" ht="26.25">
      <c r="A26" s="337">
        <v>18</v>
      </c>
      <c r="B26" s="341" t="s">
        <v>394</v>
      </c>
      <c r="C26" s="339">
        <v>98871.898078223749</v>
      </c>
      <c r="D26" s="343">
        <v>56745119.246832319</v>
      </c>
      <c r="E26" s="339">
        <v>10754937.948310701</v>
      </c>
      <c r="F26" s="339">
        <v>0</v>
      </c>
      <c r="G26" s="340">
        <v>13904067.645891931</v>
      </c>
    </row>
    <row r="27" spans="1:7">
      <c r="A27" s="337">
        <v>19</v>
      </c>
      <c r="B27" s="341" t="s">
        <v>395</v>
      </c>
      <c r="C27" s="339">
        <v>0</v>
      </c>
      <c r="D27" s="343">
        <v>106837757.01369119</v>
      </c>
      <c r="E27" s="339">
        <v>62908225.762445703</v>
      </c>
      <c r="F27" s="339">
        <v>55899831.179128774</v>
      </c>
      <c r="G27" s="340">
        <v>132962847.89032811</v>
      </c>
    </row>
    <row r="28" spans="1:7">
      <c r="A28" s="337">
        <v>20</v>
      </c>
      <c r="B28" s="354" t="s">
        <v>396</v>
      </c>
      <c r="C28" s="339"/>
      <c r="D28" s="343"/>
      <c r="E28" s="339"/>
      <c r="F28" s="339"/>
      <c r="G28" s="340"/>
    </row>
    <row r="29" spans="1:7">
      <c r="A29" s="337">
        <v>21</v>
      </c>
      <c r="B29" s="341" t="s">
        <v>397</v>
      </c>
      <c r="C29" s="339">
        <v>0</v>
      </c>
      <c r="D29" s="343">
        <v>206309.68958398607</v>
      </c>
      <c r="E29" s="339">
        <v>184150.40955804128</v>
      </c>
      <c r="F29" s="339">
        <v>1968020.5599999987</v>
      </c>
      <c r="G29" s="340">
        <v>1941769.4130710133</v>
      </c>
    </row>
    <row r="30" spans="1:7">
      <c r="A30" s="337">
        <v>22</v>
      </c>
      <c r="B30" s="354" t="s">
        <v>396</v>
      </c>
      <c r="C30" s="339"/>
      <c r="D30" s="343"/>
      <c r="E30" s="339"/>
      <c r="F30" s="339"/>
      <c r="G30" s="340"/>
    </row>
    <row r="31" spans="1:7">
      <c r="A31" s="337">
        <v>23</v>
      </c>
      <c r="B31" s="341" t="s">
        <v>398</v>
      </c>
      <c r="C31" s="339"/>
      <c r="D31" s="343"/>
      <c r="E31" s="339"/>
      <c r="F31" s="339">
        <v>47174071.086553834</v>
      </c>
      <c r="G31" s="340">
        <v>40097960.42357076</v>
      </c>
    </row>
    <row r="32" spans="1:7">
      <c r="A32" s="337">
        <v>24</v>
      </c>
      <c r="B32" s="338" t="s">
        <v>399</v>
      </c>
      <c r="C32" s="339">
        <v>0</v>
      </c>
      <c r="D32" s="343"/>
      <c r="E32" s="339"/>
      <c r="F32" s="339"/>
      <c r="G32" s="340">
        <v>0</v>
      </c>
    </row>
    <row r="33" spans="1:7">
      <c r="A33" s="337">
        <v>25</v>
      </c>
      <c r="B33" s="338" t="s">
        <v>400</v>
      </c>
      <c r="C33" s="714">
        <f>SUM(C34:C35)</f>
        <v>12690068.259999998</v>
      </c>
      <c r="D33" s="714">
        <f>SUM(D34:D35)</f>
        <v>1000000</v>
      </c>
      <c r="E33" s="714">
        <f>SUM(E34:E35)</f>
        <v>150000</v>
      </c>
      <c r="F33" s="714">
        <f>SUM(F34:F35)</f>
        <v>776445.33666810486</v>
      </c>
      <c r="G33" s="715">
        <f>SUM(G34:G35)</f>
        <v>13466513.596668106</v>
      </c>
    </row>
    <row r="34" spans="1:7">
      <c r="A34" s="337">
        <v>26</v>
      </c>
      <c r="B34" s="341" t="s">
        <v>401</v>
      </c>
      <c r="C34" s="342"/>
      <c r="D34" s="343"/>
      <c r="E34" s="339"/>
      <c r="F34" s="339"/>
      <c r="G34" s="340"/>
    </row>
    <row r="35" spans="1:7">
      <c r="A35" s="337">
        <v>27</v>
      </c>
      <c r="B35" s="341" t="s">
        <v>402</v>
      </c>
      <c r="C35" s="339">
        <v>12690068.259999998</v>
      </c>
      <c r="D35" s="343">
        <v>1000000</v>
      </c>
      <c r="E35" s="339">
        <v>150000</v>
      </c>
      <c r="F35" s="339">
        <v>776445.33666810486</v>
      </c>
      <c r="G35" s="340">
        <v>13466513.596668106</v>
      </c>
    </row>
    <row r="36" spans="1:7">
      <c r="A36" s="337">
        <v>28</v>
      </c>
      <c r="B36" s="338" t="s">
        <v>403</v>
      </c>
      <c r="C36" s="339">
        <v>33030.82</v>
      </c>
      <c r="D36" s="343">
        <v>41879879.634935603</v>
      </c>
      <c r="E36" s="339">
        <v>14693114.193511281</v>
      </c>
      <c r="F36" s="339">
        <v>63314056.732814915</v>
      </c>
      <c r="G36" s="340">
        <v>15156059.433766926</v>
      </c>
    </row>
    <row r="37" spans="1:7">
      <c r="A37" s="344">
        <v>29</v>
      </c>
      <c r="B37" s="345" t="s">
        <v>404</v>
      </c>
      <c r="C37" s="342"/>
      <c r="D37" s="342"/>
      <c r="E37" s="342"/>
      <c r="F37" s="342"/>
      <c r="G37" s="346">
        <f>SUM(G23:G24,G32:G33,G36)</f>
        <v>221664348.23898047</v>
      </c>
    </row>
    <row r="38" spans="1:7">
      <c r="A38" s="333"/>
      <c r="B38" s="355"/>
      <c r="C38" s="356"/>
      <c r="D38" s="356"/>
      <c r="E38" s="356"/>
      <c r="F38" s="356"/>
      <c r="G38" s="357"/>
    </row>
    <row r="39" spans="1:7" ht="15.75" thickBot="1">
      <c r="A39" s="358">
        <v>30</v>
      </c>
      <c r="B39" s="359" t="s">
        <v>405</v>
      </c>
      <c r="C39" s="230"/>
      <c r="D39" s="231"/>
      <c r="E39" s="231"/>
      <c r="F39" s="232"/>
      <c r="G39" s="360">
        <f>IFERROR(G21/G37,0)</f>
        <v>1.0119659923188389</v>
      </c>
    </row>
    <row r="42" spans="1:7" ht="39">
      <c r="B42" s="325" t="s">
        <v>406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9" width="6.7109375" style="5" customWidth="1"/>
    <col min="10" max="16384" width="9.140625" style="5"/>
  </cols>
  <sheetData>
    <row r="1" spans="1:8">
      <c r="A1" s="2" t="s">
        <v>30</v>
      </c>
      <c r="B1" s="537" t="s">
        <v>707</v>
      </c>
    </row>
    <row r="2" spans="1:8">
      <c r="A2" s="2" t="s">
        <v>31</v>
      </c>
      <c r="B2" s="538">
        <v>45382</v>
      </c>
      <c r="C2" s="6"/>
      <c r="D2" s="7"/>
      <c r="E2" s="7"/>
      <c r="F2" s="7"/>
      <c r="G2" s="7"/>
      <c r="H2" s="8"/>
    </row>
    <row r="3" spans="1:8" ht="15" thickBot="1">
      <c r="A3" s="2"/>
      <c r="B3" s="6"/>
      <c r="C3" s="6"/>
      <c r="D3" s="7"/>
      <c r="E3" s="7"/>
      <c r="F3" s="7"/>
      <c r="G3" s="7"/>
      <c r="H3" s="8"/>
    </row>
    <row r="4" spans="1:8" ht="15" customHeight="1" thickBot="1">
      <c r="A4" s="9" t="s">
        <v>93</v>
      </c>
      <c r="B4" s="10" t="s">
        <v>92</v>
      </c>
      <c r="C4" s="10"/>
      <c r="D4" s="793" t="s">
        <v>695</v>
      </c>
      <c r="E4" s="794"/>
      <c r="F4" s="794"/>
      <c r="G4" s="795"/>
      <c r="H4" s="8"/>
    </row>
    <row r="5" spans="1:8">
      <c r="A5" s="11" t="s">
        <v>6</v>
      </c>
      <c r="B5" s="12"/>
      <c r="C5" s="539" t="str">
        <f>INT((MONTH($B$2))/3)&amp;"Q"&amp;"-"&amp;YEAR($B$2)</f>
        <v>1Q-2024</v>
      </c>
      <c r="D5" s="534" t="str">
        <f>IF(INT(MONTH($B$2))=3, "4"&amp;"Q"&amp;"-"&amp;YEAR($B$2)-1, IF(INT(MONTH($B$2))=6, "1"&amp;"Q"&amp;"-"&amp;YEAR($B$2), IF(INT(MONTH($B$2))=9, "2"&amp;"Q"&amp;"-"&amp;YEAR($B$2),IF(INT(MONTH($B$2))=12, "3"&amp;"Q"&amp;"-"&amp;YEAR($B$2), 0))))</f>
        <v>4Q-2023</v>
      </c>
      <c r="E5" s="316" t="str">
        <f>IF(INT(MONTH($B$2))=3, "3"&amp;"Q"&amp;"-"&amp;YEAR($B$2)-1, IF(INT(MONTH($B$2))=6, "4"&amp;"Q"&amp;"-"&amp;YEAR($B$2)-1, IF(INT(MONTH($B$2))=9, "1"&amp;"Q"&amp;"-"&amp;YEAR($B$2),IF(INT(MONTH($B$2))=12, "2"&amp;"Q"&amp;"-"&amp;YEAR($B$2), 0))))</f>
        <v>3Q-2023</v>
      </c>
      <c r="F5" s="316" t="str">
        <f>IF(INT(MONTH($B$2))=3, "2"&amp;"Q"&amp;"-"&amp;YEAR($B$2)-1, IF(INT(MONTH($B$2))=6, "3"&amp;"Q"&amp;"-"&amp;YEAR($B$2)-1, IF(INT(MONTH($B$2))=9, "4"&amp;"Q"&amp;"-"&amp;YEAR($B$2)-1,IF(INT(MONTH($B$2))=12, "1"&amp;"Q"&amp;"-"&amp;YEAR($B$2), 0))))</f>
        <v>2Q-2023</v>
      </c>
      <c r="G5" s="317" t="str">
        <f>IF(INT(MONTH($B$2))=3, "1"&amp;"Q"&amp;"-"&amp;YEAR($B$2)-1, IF(INT(MONTH($B$2))=6, "2"&amp;"Q"&amp;"-"&amp;YEAR($B$2)-1, IF(INT(MONTH($B$2))=9, "3"&amp;"Q"&amp;"-"&amp;YEAR($B$2)-1,IF(INT(MONTH($B$2))=12, "4"&amp;"Q"&amp;"-"&amp;YEAR($B$2)-1, 0))))</f>
        <v>1Q-2023</v>
      </c>
    </row>
    <row r="6" spans="1:8">
      <c r="B6" s="148" t="s">
        <v>91</v>
      </c>
      <c r="C6" s="319"/>
      <c r="D6" s="535"/>
      <c r="E6" s="319"/>
      <c r="F6" s="319"/>
      <c r="G6" s="320"/>
    </row>
    <row r="7" spans="1:8">
      <c r="A7" s="13"/>
      <c r="B7" s="149" t="s">
        <v>89</v>
      </c>
      <c r="C7" s="319"/>
      <c r="D7" s="535"/>
      <c r="E7" s="319"/>
      <c r="F7" s="319"/>
      <c r="G7" s="320"/>
    </row>
    <row r="8" spans="1:8">
      <c r="A8" s="321">
        <v>1</v>
      </c>
      <c r="B8" s="14" t="s">
        <v>358</v>
      </c>
      <c r="C8" s="540">
        <v>138164000.08336854</v>
      </c>
      <c r="D8" s="752">
        <v>133880861.71003304</v>
      </c>
      <c r="E8" s="540">
        <v>130788414.68932915</v>
      </c>
      <c r="F8" s="540">
        <v>126320800.54405265</v>
      </c>
      <c r="G8" s="767">
        <v>121473493.88732722</v>
      </c>
    </row>
    <row r="9" spans="1:8">
      <c r="A9" s="321">
        <v>2</v>
      </c>
      <c r="B9" s="14" t="s">
        <v>359</v>
      </c>
      <c r="C9" s="540">
        <v>138164000.08336854</v>
      </c>
      <c r="D9" s="752">
        <v>133880861.71003304</v>
      </c>
      <c r="E9" s="540">
        <v>130788414.68932915</v>
      </c>
      <c r="F9" s="540">
        <v>126320800.54405265</v>
      </c>
      <c r="G9" s="767">
        <v>121473493.88732722</v>
      </c>
    </row>
    <row r="10" spans="1:8">
      <c r="A10" s="321">
        <v>3</v>
      </c>
      <c r="B10" s="14" t="s">
        <v>142</v>
      </c>
      <c r="C10" s="540">
        <v>138164000.08336854</v>
      </c>
      <c r="D10" s="752">
        <v>133880861.71003304</v>
      </c>
      <c r="E10" s="540">
        <v>130788414.68932915</v>
      </c>
      <c r="F10" s="540">
        <v>126320800.54405265</v>
      </c>
      <c r="G10" s="767">
        <v>121473493.88732722</v>
      </c>
    </row>
    <row r="11" spans="1:8">
      <c r="A11" s="321">
        <v>4</v>
      </c>
      <c r="B11" s="14" t="s">
        <v>361</v>
      </c>
      <c r="C11" s="540">
        <v>75250684.796249926</v>
      </c>
      <c r="D11" s="752">
        <v>68227082.957222536</v>
      </c>
      <c r="E11" s="540">
        <v>60223336.252558395</v>
      </c>
      <c r="F11" s="540">
        <v>51911549.389787987</v>
      </c>
      <c r="G11" s="767">
        <v>54619431.984424733</v>
      </c>
    </row>
    <row r="12" spans="1:8">
      <c r="A12" s="321">
        <v>5</v>
      </c>
      <c r="B12" s="14" t="s">
        <v>362</v>
      </c>
      <c r="C12" s="540">
        <v>93776070.572898179</v>
      </c>
      <c r="D12" s="752">
        <v>84997081.306083396</v>
      </c>
      <c r="E12" s="540">
        <v>75025578.477395922</v>
      </c>
      <c r="F12" s="540">
        <v>65637515.155831218</v>
      </c>
      <c r="G12" s="767">
        <v>69963539.948882803</v>
      </c>
    </row>
    <row r="13" spans="1:8">
      <c r="A13" s="321">
        <v>6</v>
      </c>
      <c r="B13" s="14" t="s">
        <v>360</v>
      </c>
      <c r="C13" s="540">
        <v>118287421.4772229</v>
      </c>
      <c r="D13" s="752">
        <v>107196802.76235783</v>
      </c>
      <c r="E13" s="540">
        <v>94627346.934343502</v>
      </c>
      <c r="F13" s="540">
        <v>83812685.330419973</v>
      </c>
      <c r="G13" s="767">
        <v>90275761.752804086</v>
      </c>
    </row>
    <row r="14" spans="1:8">
      <c r="A14" s="13"/>
      <c r="B14" s="148" t="s">
        <v>364</v>
      </c>
      <c r="C14" s="319"/>
      <c r="D14" s="535"/>
      <c r="E14" s="766"/>
      <c r="F14" s="766"/>
      <c r="G14" s="768"/>
    </row>
    <row r="15" spans="1:8" ht="15" customHeight="1">
      <c r="A15" s="321">
        <v>7</v>
      </c>
      <c r="B15" s="14" t="s">
        <v>363</v>
      </c>
      <c r="C15" s="541">
        <v>516204553.19280314</v>
      </c>
      <c r="D15" s="753">
        <v>508949789.538535</v>
      </c>
      <c r="E15" s="541">
        <v>475509012.21298987</v>
      </c>
      <c r="F15" s="541">
        <v>435817833.22109258</v>
      </c>
      <c r="G15" s="769">
        <v>465903032.61048031</v>
      </c>
    </row>
    <row r="16" spans="1:8">
      <c r="A16" s="13"/>
      <c r="B16" s="148" t="s">
        <v>365</v>
      </c>
      <c r="C16" s="319"/>
      <c r="D16" s="535"/>
      <c r="E16" s="766"/>
      <c r="F16" s="766"/>
      <c r="G16" s="768"/>
    </row>
    <row r="17" spans="1:7" s="15" customFormat="1">
      <c r="A17" s="321"/>
      <c r="B17" s="149" t="s">
        <v>354</v>
      </c>
      <c r="C17" s="542"/>
      <c r="D17" s="754"/>
      <c r="E17" s="542"/>
      <c r="F17" s="542"/>
      <c r="G17" s="770"/>
    </row>
    <row r="18" spans="1:7">
      <c r="A18" s="11">
        <v>8</v>
      </c>
      <c r="B18" s="14" t="s">
        <v>358</v>
      </c>
      <c r="C18" s="543">
        <v>0.26305318218408713</v>
      </c>
      <c r="D18" s="755">
        <v>0.26305318218408713</v>
      </c>
      <c r="E18" s="543">
        <v>0.27504928682770463</v>
      </c>
      <c r="F18" s="543">
        <v>0.28984770909998414</v>
      </c>
      <c r="G18" s="771">
        <v>0.26072698691550589</v>
      </c>
    </row>
    <row r="19" spans="1:7" ht="15" customHeight="1">
      <c r="A19" s="11">
        <v>9</v>
      </c>
      <c r="B19" s="14" t="s">
        <v>359</v>
      </c>
      <c r="C19" s="543">
        <v>0.26305318218408713</v>
      </c>
      <c r="D19" s="755">
        <v>0.26305318218408713</v>
      </c>
      <c r="E19" s="543">
        <v>0.27504928682770463</v>
      </c>
      <c r="F19" s="543">
        <v>0.28984770909998414</v>
      </c>
      <c r="G19" s="771">
        <v>0.26072698691550589</v>
      </c>
    </row>
    <row r="20" spans="1:7">
      <c r="A20" s="11">
        <v>10</v>
      </c>
      <c r="B20" s="14" t="s">
        <v>142</v>
      </c>
      <c r="C20" s="543">
        <v>0.26305318218408713</v>
      </c>
      <c r="D20" s="755">
        <v>0.26305318218408713</v>
      </c>
      <c r="E20" s="543">
        <v>0.27504928682770463</v>
      </c>
      <c r="F20" s="543">
        <v>0.28984770909998414</v>
      </c>
      <c r="G20" s="771">
        <v>0.26072698691550589</v>
      </c>
    </row>
    <row r="21" spans="1:7">
      <c r="A21" s="11">
        <v>11</v>
      </c>
      <c r="B21" s="14" t="s">
        <v>361</v>
      </c>
      <c r="C21" s="543">
        <v>0.13405464420976393</v>
      </c>
      <c r="D21" s="755">
        <v>0.13405464420976393</v>
      </c>
      <c r="E21" s="543">
        <v>0.12665025205785832</v>
      </c>
      <c r="F21" s="543">
        <v>0.11911295369928793</v>
      </c>
      <c r="G21" s="771">
        <v>0.11723347598402409</v>
      </c>
    </row>
    <row r="22" spans="1:7">
      <c r="A22" s="11">
        <v>12</v>
      </c>
      <c r="B22" s="14" t="s">
        <v>362</v>
      </c>
      <c r="C22" s="543">
        <v>0.16700484616203554</v>
      </c>
      <c r="D22" s="755">
        <v>0.16700484616203554</v>
      </c>
      <c r="E22" s="543">
        <v>0.15777950901126242</v>
      </c>
      <c r="F22" s="543">
        <v>0.15060768548801667</v>
      </c>
      <c r="G22" s="771">
        <v>0.15016759937550361</v>
      </c>
    </row>
    <row r="23" spans="1:7">
      <c r="A23" s="11">
        <v>13</v>
      </c>
      <c r="B23" s="14" t="s">
        <v>360</v>
      </c>
      <c r="C23" s="543">
        <v>0.21062353294134029</v>
      </c>
      <c r="D23" s="755">
        <v>0.21062353294134029</v>
      </c>
      <c r="E23" s="543">
        <v>0.19900221552889946</v>
      </c>
      <c r="F23" s="543">
        <v>0.19231127994687031</v>
      </c>
      <c r="G23" s="771">
        <v>0.19376513015376617</v>
      </c>
    </row>
    <row r="24" spans="1:7">
      <c r="A24" s="13"/>
      <c r="B24" s="148" t="s">
        <v>88</v>
      </c>
      <c r="C24" s="319"/>
      <c r="D24" s="535"/>
      <c r="E24" s="766"/>
      <c r="F24" s="766"/>
      <c r="G24" s="768"/>
    </row>
    <row r="25" spans="1:7" ht="15" customHeight="1">
      <c r="A25" s="322">
        <v>14</v>
      </c>
      <c r="B25" s="14" t="s">
        <v>87</v>
      </c>
      <c r="C25" s="548">
        <v>8.5663643741226134E-2</v>
      </c>
      <c r="D25" s="756">
        <v>8.7188051493134397E-2</v>
      </c>
      <c r="E25" s="548">
        <v>0.11450614957446809</v>
      </c>
      <c r="F25" s="548">
        <v>8.9407218869426666E-2</v>
      </c>
      <c r="G25" s="772">
        <v>8.6907137750087599E-2</v>
      </c>
    </row>
    <row r="26" spans="1:7">
      <c r="A26" s="322">
        <v>15</v>
      </c>
      <c r="B26" s="14" t="s">
        <v>86</v>
      </c>
      <c r="C26" s="548">
        <v>3.2055734254347039E-2</v>
      </c>
      <c r="D26" s="756">
        <v>2.7337710168309746E-2</v>
      </c>
      <c r="E26" s="548">
        <v>3.3787468919112239E-2</v>
      </c>
      <c r="F26" s="548">
        <v>2.5454959703150391E-2</v>
      </c>
      <c r="G26" s="772">
        <v>2.3558164576950293E-2</v>
      </c>
    </row>
    <row r="27" spans="1:7">
      <c r="A27" s="322">
        <v>16</v>
      </c>
      <c r="B27" s="14" t="s">
        <v>85</v>
      </c>
      <c r="C27" s="548">
        <v>6.4318663007406351E-2</v>
      </c>
      <c r="D27" s="756">
        <v>7.3703294945170375E-2</v>
      </c>
      <c r="E27" s="548">
        <v>0.10178443013930448</v>
      </c>
      <c r="F27" s="548">
        <v>7.5312057573772392E-2</v>
      </c>
      <c r="G27" s="772">
        <v>0.15029367740908631</v>
      </c>
    </row>
    <row r="28" spans="1:7">
      <c r="A28" s="322">
        <v>17</v>
      </c>
      <c r="B28" s="14" t="s">
        <v>84</v>
      </c>
      <c r="C28" s="548">
        <v>5.3607909486879102E-2</v>
      </c>
      <c r="D28" s="756">
        <v>5.9850341324824655E-2</v>
      </c>
      <c r="E28" s="548">
        <v>8.0718680655355854E-2</v>
      </c>
      <c r="F28" s="548">
        <v>6.3952259166276268E-2</v>
      </c>
      <c r="G28" s="772">
        <v>6.3348973173137299E-2</v>
      </c>
    </row>
    <row r="29" spans="1:7">
      <c r="A29" s="322">
        <v>18</v>
      </c>
      <c r="B29" s="14" t="s">
        <v>166</v>
      </c>
      <c r="C29" s="548">
        <v>3.6607503099627008E-2</v>
      </c>
      <c r="D29" s="756">
        <v>3.9805008804659016E-2</v>
      </c>
      <c r="E29" s="548">
        <v>5.7521977813256991E-2</v>
      </c>
      <c r="F29" s="548">
        <v>4.6341016222891239E-2</v>
      </c>
      <c r="G29" s="772">
        <v>4.3874375306807115E-2</v>
      </c>
    </row>
    <row r="30" spans="1:7">
      <c r="A30" s="322">
        <v>19</v>
      </c>
      <c r="B30" s="14" t="s">
        <v>167</v>
      </c>
      <c r="C30" s="548">
        <v>0.12530597158329024</v>
      </c>
      <c r="D30" s="756">
        <v>0.13247715495778842</v>
      </c>
      <c r="E30" s="548">
        <v>0.14636338967610957</v>
      </c>
      <c r="F30" s="548">
        <v>0.15036985067573896</v>
      </c>
      <c r="G30" s="772">
        <v>0.14477048820915991</v>
      </c>
    </row>
    <row r="31" spans="1:7">
      <c r="A31" s="13"/>
      <c r="B31" s="148" t="s">
        <v>229</v>
      </c>
      <c r="C31" s="319"/>
      <c r="D31" s="535"/>
      <c r="E31" s="766"/>
      <c r="F31" s="766"/>
      <c r="G31" s="768"/>
    </row>
    <row r="32" spans="1:7">
      <c r="A32" s="322">
        <v>20</v>
      </c>
      <c r="B32" s="14" t="s">
        <v>83</v>
      </c>
      <c r="C32" s="548">
        <v>4.0994425401888451E-3</v>
      </c>
      <c r="D32" s="756">
        <v>3.7079499061835981E-3</v>
      </c>
      <c r="E32" s="548">
        <v>4.3142874327638768E-3</v>
      </c>
      <c r="F32" s="548">
        <v>5.9703174831710329E-3</v>
      </c>
      <c r="G32" s="772">
        <v>3.9531183805543765E-3</v>
      </c>
    </row>
    <row r="33" spans="1:7" ht="15" customHeight="1">
      <c r="A33" s="322">
        <v>21</v>
      </c>
      <c r="B33" s="14" t="s">
        <v>706</v>
      </c>
      <c r="C33" s="548">
        <v>7.0225439141444407E-3</v>
      </c>
      <c r="D33" s="756">
        <v>7.1333689469710079E-3</v>
      </c>
      <c r="E33" s="548">
        <v>1.0150249312633594E-2</v>
      </c>
      <c r="F33" s="548">
        <v>1.0566230401128422E-2</v>
      </c>
      <c r="G33" s="772">
        <v>8.8829379193323017E-3</v>
      </c>
    </row>
    <row r="34" spans="1:7">
      <c r="A34" s="322">
        <v>22</v>
      </c>
      <c r="B34" s="14" t="s">
        <v>82</v>
      </c>
      <c r="C34" s="548">
        <v>0.56184746206798075</v>
      </c>
      <c r="D34" s="756">
        <v>0.64012868888645968</v>
      </c>
      <c r="E34" s="548">
        <v>0.60091674270158835</v>
      </c>
      <c r="F34" s="548">
        <v>0.52184149092214316</v>
      </c>
      <c r="G34" s="772">
        <v>0.46655326435450678</v>
      </c>
    </row>
    <row r="35" spans="1:7" ht="15" customHeight="1">
      <c r="A35" s="322">
        <v>23</v>
      </c>
      <c r="B35" s="14" t="s">
        <v>81</v>
      </c>
      <c r="C35" s="548">
        <v>0.5632641142257766</v>
      </c>
      <c r="D35" s="756">
        <v>0.58158156519070181</v>
      </c>
      <c r="E35" s="548">
        <v>0.56221702124237438</v>
      </c>
      <c r="F35" s="548">
        <v>0.51887862763436388</v>
      </c>
      <c r="G35" s="772">
        <v>0.59511496228482197</v>
      </c>
    </row>
    <row r="36" spans="1:7">
      <c r="A36" s="322">
        <v>24</v>
      </c>
      <c r="B36" s="14" t="s">
        <v>80</v>
      </c>
      <c r="C36" s="548">
        <v>9.4856262083707038E-2</v>
      </c>
      <c r="D36" s="756">
        <v>2.2020573360810188E-3</v>
      </c>
      <c r="E36" s="548">
        <v>-0.12057188272282891</v>
      </c>
      <c r="F36" s="548">
        <v>-6.8098829979359662E-2</v>
      </c>
      <c r="G36" s="772">
        <v>-2.1318812948108133E-2</v>
      </c>
    </row>
    <row r="37" spans="1:7" ht="15" customHeight="1">
      <c r="A37" s="13"/>
      <c r="B37" s="148" t="s">
        <v>230</v>
      </c>
      <c r="C37" s="319"/>
      <c r="D37" s="535"/>
      <c r="E37" s="766"/>
      <c r="F37" s="766"/>
      <c r="G37" s="768"/>
    </row>
    <row r="38" spans="1:7" ht="15" customHeight="1">
      <c r="A38" s="322">
        <v>25</v>
      </c>
      <c r="B38" s="14" t="s">
        <v>79</v>
      </c>
      <c r="C38" s="548">
        <v>0.27464001376442426</v>
      </c>
      <c r="D38" s="756">
        <v>0.3366351096992744</v>
      </c>
      <c r="E38" s="548">
        <v>0.37206618588690626</v>
      </c>
      <c r="F38" s="548">
        <v>0.27971085774932819</v>
      </c>
      <c r="G38" s="772">
        <v>0.34828522725083516</v>
      </c>
    </row>
    <row r="39" spans="1:7" ht="15" customHeight="1">
      <c r="A39" s="322">
        <v>26</v>
      </c>
      <c r="B39" s="14" t="s">
        <v>78</v>
      </c>
      <c r="C39" s="548">
        <v>0.79530906027371873</v>
      </c>
      <c r="D39" s="756">
        <v>0.82347579852448316</v>
      </c>
      <c r="E39" s="548">
        <v>0.79884201878751415</v>
      </c>
      <c r="F39" s="548">
        <v>0.77471384608442484</v>
      </c>
      <c r="G39" s="772">
        <v>0.82360160676101246</v>
      </c>
    </row>
    <row r="40" spans="1:7" ht="15" customHeight="1">
      <c r="A40" s="322">
        <v>27</v>
      </c>
      <c r="B40" s="14" t="s">
        <v>77</v>
      </c>
      <c r="C40" s="548">
        <v>0.13821062741150575</v>
      </c>
      <c r="D40" s="756">
        <v>0.19233132709059367</v>
      </c>
      <c r="E40" s="548">
        <v>0.2641773544581702</v>
      </c>
      <c r="F40" s="548">
        <v>0.28525357381354538</v>
      </c>
      <c r="G40" s="772">
        <v>0.30967050617691744</v>
      </c>
    </row>
    <row r="41" spans="1:7" ht="15" customHeight="1">
      <c r="A41" s="323"/>
      <c r="B41" s="148" t="s">
        <v>271</v>
      </c>
      <c r="C41" s="319"/>
      <c r="D41" s="535"/>
      <c r="E41" s="766"/>
      <c r="F41" s="766"/>
      <c r="G41" s="768"/>
    </row>
    <row r="42" spans="1:7">
      <c r="A42" s="322">
        <v>28</v>
      </c>
      <c r="B42" s="14" t="s">
        <v>254</v>
      </c>
      <c r="C42" s="544">
        <v>133127429.61611199</v>
      </c>
      <c r="D42" s="757">
        <v>158187110.04355797</v>
      </c>
      <c r="E42" s="544">
        <v>165063970.61018801</v>
      </c>
      <c r="F42" s="544">
        <v>112123703.71373199</v>
      </c>
      <c r="G42" s="773">
        <v>150849444.27000001</v>
      </c>
    </row>
    <row r="43" spans="1:7" ht="15" customHeight="1">
      <c r="A43" s="322">
        <v>29</v>
      </c>
      <c r="B43" s="14" t="s">
        <v>266</v>
      </c>
      <c r="C43" s="544">
        <v>95138892.957092375</v>
      </c>
      <c r="D43" s="757">
        <v>88029335.025407881</v>
      </c>
      <c r="E43" s="544">
        <v>113190971.9703785</v>
      </c>
      <c r="F43" s="544">
        <v>76857633.32321772</v>
      </c>
      <c r="G43" s="773">
        <v>107578065.84092894</v>
      </c>
    </row>
    <row r="44" spans="1:7" ht="15" customHeight="1">
      <c r="A44" s="361">
        <v>30</v>
      </c>
      <c r="B44" s="362" t="s">
        <v>255</v>
      </c>
      <c r="C44" s="546">
        <f>C42/C43</f>
        <v>1.3992955507286851</v>
      </c>
      <c r="D44" s="758">
        <v>1.7969817674744502</v>
      </c>
      <c r="E44" s="546">
        <v>1.4582785865058603</v>
      </c>
      <c r="F44" s="546">
        <v>1.4588492888169748</v>
      </c>
      <c r="G44" s="774">
        <v>1.4022323518351278</v>
      </c>
    </row>
    <row r="45" spans="1:7" ht="15" customHeight="1">
      <c r="A45" s="361"/>
      <c r="B45" s="148" t="s">
        <v>368</v>
      </c>
      <c r="C45" s="545"/>
      <c r="D45" s="759"/>
      <c r="E45" s="545"/>
      <c r="F45" s="545"/>
      <c r="G45" s="775"/>
    </row>
    <row r="46" spans="1:7" ht="15" customHeight="1">
      <c r="A46" s="361">
        <v>31</v>
      </c>
      <c r="B46" s="362" t="s">
        <v>375</v>
      </c>
      <c r="C46" s="765">
        <v>224316782.12736854</v>
      </c>
      <c r="D46" s="759">
        <v>237577668.992533</v>
      </c>
      <c r="E46" s="545">
        <v>264570467.43978399</v>
      </c>
      <c r="F46" s="545">
        <v>248483909.29105264</v>
      </c>
      <c r="G46" s="775">
        <v>256233936.39232719</v>
      </c>
    </row>
    <row r="47" spans="1:7" ht="15" customHeight="1">
      <c r="A47" s="361">
        <v>32</v>
      </c>
      <c r="B47" s="362" t="s">
        <v>390</v>
      </c>
      <c r="C47" s="765">
        <v>221664348.23898047</v>
      </c>
      <c r="D47" s="759">
        <v>198330715.28107914</v>
      </c>
      <c r="E47" s="545">
        <v>182133054.79316208</v>
      </c>
      <c r="F47" s="545">
        <v>185917806.78336489</v>
      </c>
      <c r="G47" s="775">
        <v>179143144.7606785</v>
      </c>
    </row>
    <row r="48" spans="1:7" ht="15" thickBot="1">
      <c r="A48" s="324">
        <v>33</v>
      </c>
      <c r="B48" s="150" t="s">
        <v>408</v>
      </c>
      <c r="C48" s="547">
        <f>C46/C47</f>
        <v>1.0119659923188389</v>
      </c>
      <c r="D48" s="760">
        <v>1.1978864123785975</v>
      </c>
      <c r="E48" s="547">
        <v>1.4526219183016575</v>
      </c>
      <c r="F48" s="547">
        <v>1.3365256055359507</v>
      </c>
      <c r="G48" s="776">
        <v>1.430330681839018</v>
      </c>
    </row>
    <row r="49" spans="1:2">
      <c r="A49" s="16"/>
    </row>
    <row r="50" spans="1:2" ht="38.25">
      <c r="B50" s="208" t="s">
        <v>703</v>
      </c>
    </row>
    <row r="51" spans="1:2" ht="51">
      <c r="B51" s="208" t="s">
        <v>270</v>
      </c>
    </row>
    <row r="53" spans="1:2">
      <c r="B53" s="207"/>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election activeCell="A5" sqref="A5:B7"/>
    </sheetView>
  </sheetViews>
  <sheetFormatPr defaultColWidth="9.140625" defaultRowHeight="12.75"/>
  <cols>
    <col min="1" max="1" width="11.85546875" style="422" bestFit="1" customWidth="1"/>
    <col min="2" max="2" width="66.7109375" style="422" customWidth="1"/>
    <col min="3" max="3" width="11.42578125" style="422" bestFit="1" customWidth="1"/>
    <col min="4" max="4" width="12.42578125" style="422" bestFit="1" customWidth="1"/>
    <col min="5" max="5" width="14.7109375" style="422" bestFit="1" customWidth="1"/>
    <col min="6" max="6" width="11.42578125" style="422" bestFit="1" customWidth="1"/>
    <col min="7" max="7" width="16" style="422" bestFit="1" customWidth="1"/>
    <col min="8" max="8" width="12.42578125" style="422" bestFit="1" customWidth="1"/>
    <col min="9" max="16384" width="9.140625" style="422"/>
  </cols>
  <sheetData>
    <row r="1" spans="1:8" ht="13.5">
      <c r="A1" s="363" t="s">
        <v>30</v>
      </c>
      <c r="B1" s="537" t="str">
        <f>'1. key ratios '!B1</f>
        <v>JSC Isbank Georgia</v>
      </c>
    </row>
    <row r="2" spans="1:8" ht="13.5">
      <c r="A2" s="364" t="s">
        <v>31</v>
      </c>
      <c r="B2" s="538">
        <f>'1. key ratios '!B2</f>
        <v>45382</v>
      </c>
    </row>
    <row r="3" spans="1:8">
      <c r="A3" s="365" t="s">
        <v>411</v>
      </c>
    </row>
    <row r="5" spans="1:8" ht="12" customHeight="1">
      <c r="A5" s="857" t="s">
        <v>412</v>
      </c>
      <c r="B5" s="858"/>
      <c r="C5" s="863" t="s">
        <v>413</v>
      </c>
      <c r="D5" s="864"/>
      <c r="E5" s="864"/>
      <c r="F5" s="864"/>
      <c r="G5" s="864"/>
      <c r="H5" s="865"/>
    </row>
    <row r="6" spans="1:8">
      <c r="A6" s="859"/>
      <c r="B6" s="860"/>
      <c r="C6" s="866"/>
      <c r="D6" s="867"/>
      <c r="E6" s="867"/>
      <c r="F6" s="867"/>
      <c r="G6" s="867"/>
      <c r="H6" s="868"/>
    </row>
    <row r="7" spans="1:8" ht="25.5">
      <c r="A7" s="861"/>
      <c r="B7" s="862"/>
      <c r="C7" s="430" t="s">
        <v>414</v>
      </c>
      <c r="D7" s="430" t="s">
        <v>415</v>
      </c>
      <c r="E7" s="430" t="s">
        <v>416</v>
      </c>
      <c r="F7" s="430" t="s">
        <v>417</v>
      </c>
      <c r="G7" s="430" t="s">
        <v>418</v>
      </c>
      <c r="H7" s="430" t="s">
        <v>64</v>
      </c>
    </row>
    <row r="8" spans="1:8">
      <c r="A8" s="426">
        <v>1</v>
      </c>
      <c r="B8" s="425" t="s">
        <v>51</v>
      </c>
      <c r="C8" s="717">
        <v>42810559.619316176</v>
      </c>
      <c r="D8" s="717">
        <v>13449187.983637758</v>
      </c>
      <c r="E8" s="717">
        <v>0</v>
      </c>
      <c r="F8" s="717">
        <v>0</v>
      </c>
      <c r="G8" s="717"/>
      <c r="H8" s="718">
        <f t="shared" ref="H8:H21" si="0">SUM(C8:G8)</f>
        <v>56259747.602953933</v>
      </c>
    </row>
    <row r="9" spans="1:8">
      <c r="A9" s="426">
        <v>2</v>
      </c>
      <c r="B9" s="425" t="s">
        <v>52</v>
      </c>
      <c r="C9" s="717"/>
      <c r="D9" s="717"/>
      <c r="E9" s="717"/>
      <c r="F9" s="717"/>
      <c r="G9" s="717"/>
      <c r="H9" s="718">
        <f t="shared" si="0"/>
        <v>0</v>
      </c>
    </row>
    <row r="10" spans="1:8">
      <c r="A10" s="426">
        <v>3</v>
      </c>
      <c r="B10" s="425" t="s">
        <v>164</v>
      </c>
      <c r="C10" s="717"/>
      <c r="D10" s="717"/>
      <c r="E10" s="717"/>
      <c r="F10" s="717"/>
      <c r="G10" s="717"/>
      <c r="H10" s="718">
        <f t="shared" si="0"/>
        <v>0</v>
      </c>
    </row>
    <row r="11" spans="1:8">
      <c r="A11" s="426">
        <v>4</v>
      </c>
      <c r="B11" s="425" t="s">
        <v>53</v>
      </c>
      <c r="C11" s="717"/>
      <c r="D11" s="717"/>
      <c r="E11" s="717"/>
      <c r="F11" s="717"/>
      <c r="G11" s="717"/>
      <c r="H11" s="718">
        <f t="shared" si="0"/>
        <v>0</v>
      </c>
    </row>
    <row r="12" spans="1:8">
      <c r="A12" s="426">
        <v>5</v>
      </c>
      <c r="B12" s="425" t="s">
        <v>54</v>
      </c>
      <c r="C12" s="717"/>
      <c r="D12" s="717"/>
      <c r="E12" s="717"/>
      <c r="F12" s="717"/>
      <c r="G12" s="717"/>
      <c r="H12" s="718">
        <f t="shared" si="0"/>
        <v>0</v>
      </c>
    </row>
    <row r="13" spans="1:8">
      <c r="A13" s="426">
        <v>6</v>
      </c>
      <c r="B13" s="425" t="s">
        <v>55</v>
      </c>
      <c r="C13" s="717">
        <v>56775785.507799245</v>
      </c>
      <c r="D13" s="717">
        <v>49761636.878467597</v>
      </c>
      <c r="E13" s="717">
        <v>2694191.4820065177</v>
      </c>
      <c r="F13" s="717">
        <v>0</v>
      </c>
      <c r="G13" s="717"/>
      <c r="H13" s="718">
        <f t="shared" si="0"/>
        <v>109231613.86827336</v>
      </c>
    </row>
    <row r="14" spans="1:8">
      <c r="A14" s="426">
        <v>7</v>
      </c>
      <c r="B14" s="425" t="s">
        <v>56</v>
      </c>
      <c r="C14" s="717"/>
      <c r="D14" s="717">
        <v>171596246.41112053</v>
      </c>
      <c r="E14" s="717">
        <v>119557228.70984817</v>
      </c>
      <c r="F14" s="717">
        <v>6924980.0041951053</v>
      </c>
      <c r="G14" s="717">
        <v>0</v>
      </c>
      <c r="H14" s="718">
        <f t="shared" si="0"/>
        <v>298078455.12516379</v>
      </c>
    </row>
    <row r="15" spans="1:8">
      <c r="A15" s="426">
        <v>8</v>
      </c>
      <c r="B15" s="427" t="s">
        <v>57</v>
      </c>
      <c r="C15" s="717"/>
      <c r="D15" s="717"/>
      <c r="E15" s="717"/>
      <c r="F15" s="717"/>
      <c r="G15" s="717"/>
      <c r="H15" s="718">
        <f t="shared" si="0"/>
        <v>0</v>
      </c>
    </row>
    <row r="16" spans="1:8">
      <c r="A16" s="426">
        <v>9</v>
      </c>
      <c r="B16" s="425" t="s">
        <v>58</v>
      </c>
      <c r="C16" s="717"/>
      <c r="D16" s="717"/>
      <c r="E16" s="717"/>
      <c r="F16" s="717"/>
      <c r="G16" s="717"/>
      <c r="H16" s="718">
        <f t="shared" si="0"/>
        <v>0</v>
      </c>
    </row>
    <row r="17" spans="1:8">
      <c r="A17" s="426">
        <v>10</v>
      </c>
      <c r="B17" s="429" t="s">
        <v>426</v>
      </c>
      <c r="C17" s="717"/>
      <c r="D17" s="717">
        <v>0</v>
      </c>
      <c r="E17" s="717">
        <v>6100.9706612490754</v>
      </c>
      <c r="F17" s="717">
        <v>0</v>
      </c>
      <c r="G17" s="717">
        <v>961.86883352448058</v>
      </c>
      <c r="H17" s="718">
        <f t="shared" si="0"/>
        <v>7062.839494773556</v>
      </c>
    </row>
    <row r="18" spans="1:8">
      <c r="A18" s="426">
        <v>11</v>
      </c>
      <c r="B18" s="425" t="s">
        <v>60</v>
      </c>
      <c r="C18" s="717"/>
      <c r="D18" s="717">
        <v>0</v>
      </c>
      <c r="E18" s="717">
        <v>0</v>
      </c>
      <c r="F18" s="717">
        <v>0</v>
      </c>
      <c r="G18" s="717">
        <v>0</v>
      </c>
      <c r="H18" s="718">
        <f t="shared" si="0"/>
        <v>0</v>
      </c>
    </row>
    <row r="19" spans="1:8">
      <c r="A19" s="426">
        <v>12</v>
      </c>
      <c r="B19" s="425" t="s">
        <v>61</v>
      </c>
      <c r="C19" s="717"/>
      <c r="D19" s="717"/>
      <c r="E19" s="717"/>
      <c r="F19" s="717"/>
      <c r="G19" s="717"/>
      <c r="H19" s="718">
        <f t="shared" si="0"/>
        <v>0</v>
      </c>
    </row>
    <row r="20" spans="1:8">
      <c r="A20" s="428">
        <v>13</v>
      </c>
      <c r="B20" s="427" t="s">
        <v>144</v>
      </c>
      <c r="C20" s="717"/>
      <c r="D20" s="717"/>
      <c r="E20" s="717"/>
      <c r="F20" s="717"/>
      <c r="G20" s="717"/>
      <c r="H20" s="718">
        <f t="shared" si="0"/>
        <v>0</v>
      </c>
    </row>
    <row r="21" spans="1:8">
      <c r="A21" s="426">
        <v>14</v>
      </c>
      <c r="B21" s="425" t="s">
        <v>63</v>
      </c>
      <c r="C21" s="717">
        <v>1672433.9</v>
      </c>
      <c r="D21" s="717">
        <v>735967.01902600972</v>
      </c>
      <c r="E21" s="717">
        <v>4634077.1531604091</v>
      </c>
      <c r="F21" s="717">
        <v>1226861.4439646627</v>
      </c>
      <c r="G21" s="717">
        <v>12740242.461298168</v>
      </c>
      <c r="H21" s="718">
        <f t="shared" si="0"/>
        <v>21009581.977449249</v>
      </c>
    </row>
    <row r="22" spans="1:8">
      <c r="A22" s="424">
        <v>15</v>
      </c>
      <c r="B22" s="423" t="s">
        <v>64</v>
      </c>
      <c r="C22" s="718">
        <f>SUM(C18:C21)+SUM(C8:C16)</f>
        <v>101258779.02711543</v>
      </c>
      <c r="D22" s="718">
        <f t="shared" ref="D22:H22" si="1">SUM(D18:D21)+SUM(D8:D16)</f>
        <v>235543038.29225191</v>
      </c>
      <c r="E22" s="718">
        <f t="shared" si="1"/>
        <v>126885497.34501509</v>
      </c>
      <c r="F22" s="718">
        <f t="shared" si="1"/>
        <v>8151841.4481597682</v>
      </c>
      <c r="G22" s="718">
        <f t="shared" si="1"/>
        <v>12740242.461298168</v>
      </c>
      <c r="H22" s="718">
        <f t="shared" si="1"/>
        <v>484579398.57384032</v>
      </c>
    </row>
    <row r="26" spans="1:8" ht="38.25">
      <c r="B26" s="369" t="s">
        <v>513</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431" bestFit="1" customWidth="1"/>
    <col min="2" max="2" width="86.85546875" style="422" customWidth="1"/>
    <col min="3" max="4" width="29.42578125" style="422" bestFit="1" customWidth="1"/>
    <col min="5" max="5" width="12.42578125" style="366" bestFit="1" customWidth="1"/>
    <col min="6" max="6" width="13.140625" style="366" bestFit="1" customWidth="1"/>
    <col min="7" max="7" width="20.7109375" style="422" bestFit="1" customWidth="1"/>
    <col min="8" max="8" width="12.5703125" style="422" bestFit="1" customWidth="1"/>
    <col min="9" max="16384" width="9.140625" style="422"/>
  </cols>
  <sheetData>
    <row r="1" spans="1:8" ht="13.5">
      <c r="A1" s="363" t="s">
        <v>30</v>
      </c>
      <c r="B1" s="537" t="str">
        <f>'1. key ratios '!B1</f>
        <v>JSC Isbank Georgia</v>
      </c>
      <c r="C1" s="444"/>
      <c r="D1" s="444"/>
      <c r="E1" s="444"/>
      <c r="F1" s="444"/>
      <c r="G1" s="444"/>
      <c r="H1" s="444"/>
    </row>
    <row r="2" spans="1:8" ht="13.5">
      <c r="A2" s="364" t="s">
        <v>31</v>
      </c>
      <c r="B2" s="538">
        <f>'1. key ratios '!B2</f>
        <v>45382</v>
      </c>
      <c r="C2" s="444"/>
      <c r="D2" s="444"/>
      <c r="E2" s="444"/>
      <c r="F2" s="444"/>
      <c r="G2" s="444"/>
      <c r="H2" s="444"/>
    </row>
    <row r="3" spans="1:8">
      <c r="A3" s="365" t="s">
        <v>419</v>
      </c>
      <c r="B3" s="444"/>
      <c r="C3" s="444"/>
      <c r="D3" s="444"/>
      <c r="E3" s="444"/>
      <c r="F3" s="444"/>
      <c r="G3" s="444"/>
      <c r="H3" s="444"/>
    </row>
    <row r="4" spans="1:8">
      <c r="A4" s="445"/>
      <c r="B4" s="444"/>
      <c r="C4" s="443" t="s">
        <v>0</v>
      </c>
      <c r="D4" s="443" t="s">
        <v>1</v>
      </c>
      <c r="E4" s="443" t="s">
        <v>2</v>
      </c>
      <c r="F4" s="443" t="s">
        <v>3</v>
      </c>
      <c r="G4" s="443" t="s">
        <v>4</v>
      </c>
      <c r="H4" s="443" t="s">
        <v>5</v>
      </c>
    </row>
    <row r="5" spans="1:8" ht="33.950000000000003" customHeight="1">
      <c r="A5" s="857" t="s">
        <v>420</v>
      </c>
      <c r="B5" s="858"/>
      <c r="C5" s="871" t="s">
        <v>421</v>
      </c>
      <c r="D5" s="871"/>
      <c r="E5" s="871" t="s">
        <v>658</v>
      </c>
      <c r="F5" s="869" t="s">
        <v>422</v>
      </c>
      <c r="G5" s="869" t="s">
        <v>423</v>
      </c>
      <c r="H5" s="441" t="s">
        <v>657</v>
      </c>
    </row>
    <row r="6" spans="1:8" ht="25.5">
      <c r="A6" s="861"/>
      <c r="B6" s="862"/>
      <c r="C6" s="442" t="s">
        <v>424</v>
      </c>
      <c r="D6" s="442" t="s">
        <v>425</v>
      </c>
      <c r="E6" s="871"/>
      <c r="F6" s="870"/>
      <c r="G6" s="870"/>
      <c r="H6" s="441" t="s">
        <v>656</v>
      </c>
    </row>
    <row r="7" spans="1:8">
      <c r="A7" s="439">
        <v>1</v>
      </c>
      <c r="B7" s="425" t="s">
        <v>51</v>
      </c>
      <c r="C7" s="719">
        <v>0</v>
      </c>
      <c r="D7" s="719">
        <v>56432018.829999998</v>
      </c>
      <c r="E7" s="720">
        <v>172271.22704606873</v>
      </c>
      <c r="F7" s="720"/>
      <c r="G7" s="719"/>
      <c r="H7" s="722">
        <f>C7+D7-E7-F7</f>
        <v>56259747.602953933</v>
      </c>
    </row>
    <row r="8" spans="1:8">
      <c r="A8" s="439">
        <v>2</v>
      </c>
      <c r="B8" s="425" t="s">
        <v>52</v>
      </c>
      <c r="C8" s="719"/>
      <c r="D8" s="719"/>
      <c r="E8" s="720"/>
      <c r="F8" s="720"/>
      <c r="G8" s="719"/>
      <c r="H8" s="722">
        <f t="shared" ref="H8:H20" si="0">C8+D8-E8-F8</f>
        <v>0</v>
      </c>
    </row>
    <row r="9" spans="1:8">
      <c r="A9" s="439">
        <v>3</v>
      </c>
      <c r="B9" s="425" t="s">
        <v>164</v>
      </c>
      <c r="C9" s="719"/>
      <c r="D9" s="719"/>
      <c r="E9" s="720"/>
      <c r="F9" s="720"/>
      <c r="G9" s="719"/>
      <c r="H9" s="722">
        <f t="shared" si="0"/>
        <v>0</v>
      </c>
    </row>
    <row r="10" spans="1:8">
      <c r="A10" s="439">
        <v>4</v>
      </c>
      <c r="B10" s="425" t="s">
        <v>53</v>
      </c>
      <c r="C10" s="719"/>
      <c r="D10" s="719"/>
      <c r="E10" s="720"/>
      <c r="F10" s="720"/>
      <c r="G10" s="719"/>
      <c r="H10" s="722">
        <f t="shared" si="0"/>
        <v>0</v>
      </c>
    </row>
    <row r="11" spans="1:8">
      <c r="A11" s="439">
        <v>5</v>
      </c>
      <c r="B11" s="425" t="s">
        <v>54</v>
      </c>
      <c r="C11" s="719">
        <v>0</v>
      </c>
      <c r="D11" s="719"/>
      <c r="E11" s="720"/>
      <c r="F11" s="720"/>
      <c r="G11" s="719"/>
      <c r="H11" s="722">
        <f t="shared" si="0"/>
        <v>0</v>
      </c>
    </row>
    <row r="12" spans="1:8">
      <c r="A12" s="439">
        <v>6</v>
      </c>
      <c r="B12" s="425" t="s">
        <v>55</v>
      </c>
      <c r="C12" s="719">
        <v>0</v>
      </c>
      <c r="D12" s="719">
        <v>109633329.21082215</v>
      </c>
      <c r="E12" s="720">
        <v>401715.34254877438</v>
      </c>
      <c r="F12" s="720"/>
      <c r="G12" s="719"/>
      <c r="H12" s="722">
        <f t="shared" si="0"/>
        <v>109231613.86827338</v>
      </c>
    </row>
    <row r="13" spans="1:8">
      <c r="A13" s="439">
        <v>7</v>
      </c>
      <c r="B13" s="425" t="s">
        <v>56</v>
      </c>
      <c r="C13" s="719">
        <v>422434.60000000003</v>
      </c>
      <c r="D13" s="719">
        <v>299418009.33588731</v>
      </c>
      <c r="E13" s="720">
        <v>1761988.8107234996</v>
      </c>
      <c r="F13" s="720"/>
      <c r="G13" s="719"/>
      <c r="H13" s="722">
        <f t="shared" si="0"/>
        <v>298078455.12516385</v>
      </c>
    </row>
    <row r="14" spans="1:8">
      <c r="A14" s="439">
        <v>8</v>
      </c>
      <c r="B14" s="427" t="s">
        <v>57</v>
      </c>
      <c r="C14" s="719"/>
      <c r="D14" s="719"/>
      <c r="E14" s="720"/>
      <c r="F14" s="720"/>
      <c r="G14" s="719"/>
      <c r="H14" s="722">
        <f t="shared" si="0"/>
        <v>0</v>
      </c>
    </row>
    <row r="15" spans="1:8">
      <c r="A15" s="439">
        <v>9</v>
      </c>
      <c r="B15" s="425" t="s">
        <v>58</v>
      </c>
      <c r="C15" s="719"/>
      <c r="D15" s="719"/>
      <c r="E15" s="720"/>
      <c r="F15" s="720"/>
      <c r="G15" s="719"/>
      <c r="H15" s="722">
        <f t="shared" si="0"/>
        <v>0</v>
      </c>
    </row>
    <row r="16" spans="1:8">
      <c r="A16" s="439">
        <v>10</v>
      </c>
      <c r="B16" s="429" t="s">
        <v>426</v>
      </c>
      <c r="C16" s="719">
        <v>134535.55000000002</v>
      </c>
      <c r="D16" s="719">
        <v>0</v>
      </c>
      <c r="E16" s="720">
        <v>127472.71050522645</v>
      </c>
      <c r="F16" s="720"/>
      <c r="G16" s="719"/>
      <c r="H16" s="722">
        <f t="shared" si="0"/>
        <v>7062.8394947735651</v>
      </c>
    </row>
    <row r="17" spans="1:8">
      <c r="A17" s="439">
        <v>11</v>
      </c>
      <c r="B17" s="425" t="s">
        <v>60</v>
      </c>
      <c r="C17" s="719">
        <v>0</v>
      </c>
      <c r="D17" s="719">
        <v>0</v>
      </c>
      <c r="E17" s="720">
        <v>0</v>
      </c>
      <c r="F17" s="720"/>
      <c r="G17" s="719"/>
      <c r="H17" s="722">
        <f t="shared" si="0"/>
        <v>0</v>
      </c>
    </row>
    <row r="18" spans="1:8">
      <c r="A18" s="439">
        <v>12</v>
      </c>
      <c r="B18" s="425" t="s">
        <v>61</v>
      </c>
      <c r="C18" s="719"/>
      <c r="D18" s="719"/>
      <c r="E18" s="720"/>
      <c r="F18" s="720"/>
      <c r="G18" s="719"/>
      <c r="H18" s="722">
        <f t="shared" si="0"/>
        <v>0</v>
      </c>
    </row>
    <row r="19" spans="1:8">
      <c r="A19" s="440">
        <v>13</v>
      </c>
      <c r="B19" s="427" t="s">
        <v>144</v>
      </c>
      <c r="C19" s="719"/>
      <c r="D19" s="719"/>
      <c r="E19" s="720"/>
      <c r="F19" s="720"/>
      <c r="G19" s="719"/>
      <c r="H19" s="722">
        <f t="shared" si="0"/>
        <v>0</v>
      </c>
    </row>
    <row r="20" spans="1:8">
      <c r="A20" s="439">
        <v>14</v>
      </c>
      <c r="B20" s="425" t="s">
        <v>63</v>
      </c>
      <c r="C20" s="719">
        <v>2149834.4899999998</v>
      </c>
      <c r="D20" s="719">
        <v>19344752.963239726</v>
      </c>
      <c r="E20" s="720">
        <v>330123.01255075133</v>
      </c>
      <c r="F20" s="720"/>
      <c r="G20" s="719"/>
      <c r="H20" s="722">
        <f t="shared" si="0"/>
        <v>21164464.440688971</v>
      </c>
    </row>
    <row r="21" spans="1:8" s="436" customFormat="1">
      <c r="A21" s="438">
        <v>15</v>
      </c>
      <c r="B21" s="437" t="s">
        <v>64</v>
      </c>
      <c r="C21" s="721">
        <f t="shared" ref="C21:H21" si="1">SUM(C7:C15)+SUM(C17:C20)</f>
        <v>2572269.09</v>
      </c>
      <c r="D21" s="721">
        <f t="shared" si="1"/>
        <v>484828110.33994919</v>
      </c>
      <c r="E21" s="721">
        <f t="shared" ref="E21" si="2">SUM(E7:E15)+SUM(E17:E20)</f>
        <v>2666098.3928690939</v>
      </c>
      <c r="F21" s="721"/>
      <c r="G21" s="721">
        <f t="shared" si="1"/>
        <v>0</v>
      </c>
      <c r="H21" s="722">
        <f t="shared" si="1"/>
        <v>484734281.03708017</v>
      </c>
    </row>
    <row r="22" spans="1:8">
      <c r="A22" s="435">
        <v>16</v>
      </c>
      <c r="B22" s="434" t="s">
        <v>427</v>
      </c>
      <c r="C22" s="719">
        <v>1223175.9099999997</v>
      </c>
      <c r="D22" s="719">
        <v>297152980.84999996</v>
      </c>
      <c r="E22" s="720">
        <v>2095359.6637807474</v>
      </c>
      <c r="F22" s="720"/>
      <c r="G22" s="719"/>
      <c r="H22" s="722">
        <f>C22+D22-E22-F22</f>
        <v>296280797.09621924</v>
      </c>
    </row>
    <row r="23" spans="1:8">
      <c r="A23" s="435">
        <v>17</v>
      </c>
      <c r="B23" s="434" t="s">
        <v>428</v>
      </c>
      <c r="C23" s="719">
        <v>0</v>
      </c>
      <c r="D23" s="719">
        <v>71954743.104712486</v>
      </c>
      <c r="E23" s="720">
        <v>285652.70416577911</v>
      </c>
      <c r="F23" s="720"/>
      <c r="G23" s="719"/>
      <c r="H23" s="722">
        <f>C23+D23-E23-F23</f>
        <v>71669090.4005467</v>
      </c>
    </row>
    <row r="25" spans="1:8">
      <c r="E25" s="422"/>
      <c r="F25" s="422"/>
    </row>
    <row r="26" spans="1:8" ht="42.6" customHeight="1">
      <c r="B26" s="369" t="s">
        <v>513</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422" bestFit="1" customWidth="1"/>
    <col min="2" max="2" width="55.7109375" style="422" bestFit="1" customWidth="1"/>
    <col min="3" max="3" width="29.42578125" style="422" bestFit="1" customWidth="1"/>
    <col min="4" max="4" width="32.7109375" style="422" bestFit="1" customWidth="1"/>
    <col min="5" max="5" width="12.42578125" style="422" bestFit="1" customWidth="1"/>
    <col min="6" max="6" width="6.85546875" style="422" bestFit="1" customWidth="1"/>
    <col min="7" max="7" width="20.7109375" style="422" bestFit="1" customWidth="1"/>
    <col min="8" max="8" width="12.5703125" style="422" bestFit="1" customWidth="1"/>
    <col min="9" max="16384" width="9.140625" style="422"/>
  </cols>
  <sheetData>
    <row r="1" spans="1:8" ht="13.5">
      <c r="A1" s="363" t="s">
        <v>30</v>
      </c>
      <c r="B1" s="537" t="str">
        <f>'1. key ratios '!B1</f>
        <v>JSC Isbank Georgia</v>
      </c>
      <c r="C1" s="444"/>
      <c r="D1" s="444"/>
      <c r="E1" s="444"/>
      <c r="F1" s="444"/>
      <c r="G1" s="444"/>
      <c r="H1" s="444"/>
    </row>
    <row r="2" spans="1:8" ht="13.5">
      <c r="A2" s="364" t="s">
        <v>31</v>
      </c>
      <c r="B2" s="538">
        <f>'1. key ratios '!B2</f>
        <v>45382</v>
      </c>
      <c r="C2" s="444"/>
      <c r="D2" s="444"/>
      <c r="E2" s="444"/>
      <c r="F2" s="444"/>
      <c r="G2" s="444"/>
      <c r="H2" s="444"/>
    </row>
    <row r="3" spans="1:8">
      <c r="A3" s="365" t="s">
        <v>429</v>
      </c>
      <c r="B3" s="444"/>
      <c r="C3" s="444"/>
      <c r="D3" s="444"/>
      <c r="E3" s="444"/>
      <c r="F3" s="444"/>
      <c r="G3" s="444"/>
      <c r="H3" s="444"/>
    </row>
    <row r="4" spans="1:8">
      <c r="A4" s="445"/>
      <c r="B4" s="444"/>
      <c r="C4" s="443" t="s">
        <v>0</v>
      </c>
      <c r="D4" s="443" t="s">
        <v>1</v>
      </c>
      <c r="E4" s="443" t="s">
        <v>2</v>
      </c>
      <c r="F4" s="443" t="s">
        <v>3</v>
      </c>
      <c r="G4" s="443" t="s">
        <v>4</v>
      </c>
      <c r="H4" s="443" t="s">
        <v>5</v>
      </c>
    </row>
    <row r="5" spans="1:8" ht="41.45" customHeight="1">
      <c r="A5" s="857" t="s">
        <v>420</v>
      </c>
      <c r="B5" s="858"/>
      <c r="C5" s="871" t="s">
        <v>421</v>
      </c>
      <c r="D5" s="871"/>
      <c r="E5" s="871" t="s">
        <v>658</v>
      </c>
      <c r="F5" s="869" t="s">
        <v>422</v>
      </c>
      <c r="G5" s="869" t="s">
        <v>423</v>
      </c>
      <c r="H5" s="441" t="s">
        <v>657</v>
      </c>
    </row>
    <row r="6" spans="1:8" ht="25.5">
      <c r="A6" s="861"/>
      <c r="B6" s="862"/>
      <c r="C6" s="442" t="s">
        <v>424</v>
      </c>
      <c r="D6" s="442" t="s">
        <v>425</v>
      </c>
      <c r="E6" s="871"/>
      <c r="F6" s="870"/>
      <c r="G6" s="870"/>
      <c r="H6" s="441" t="s">
        <v>656</v>
      </c>
    </row>
    <row r="7" spans="1:8">
      <c r="A7" s="432">
        <v>1</v>
      </c>
      <c r="B7" s="450" t="s">
        <v>517</v>
      </c>
      <c r="C7" s="719">
        <v>3324.96</v>
      </c>
      <c r="D7" s="719">
        <v>59434886.119999997</v>
      </c>
      <c r="E7" s="719">
        <v>175409.30648381219</v>
      </c>
      <c r="F7" s="719"/>
      <c r="G7" s="719"/>
      <c r="H7" s="722">
        <f t="shared" ref="H7:H34" si="0">C7+D7-E7-F7</f>
        <v>59262801.773516186</v>
      </c>
    </row>
    <row r="8" spans="1:8">
      <c r="A8" s="432">
        <v>2</v>
      </c>
      <c r="B8" s="450" t="s">
        <v>430</v>
      </c>
      <c r="C8" s="719">
        <v>0</v>
      </c>
      <c r="D8" s="719">
        <v>168325826.23106951</v>
      </c>
      <c r="E8" s="719">
        <v>697608.69832528045</v>
      </c>
      <c r="F8" s="719"/>
      <c r="G8" s="719"/>
      <c r="H8" s="722">
        <f t="shared" si="0"/>
        <v>167628217.53274423</v>
      </c>
    </row>
    <row r="9" spans="1:8">
      <c r="A9" s="432">
        <v>3</v>
      </c>
      <c r="B9" s="450" t="s">
        <v>431</v>
      </c>
      <c r="C9" s="719"/>
      <c r="D9" s="719"/>
      <c r="E9" s="719"/>
      <c r="F9" s="719"/>
      <c r="G9" s="719"/>
      <c r="H9" s="722">
        <f t="shared" si="0"/>
        <v>0</v>
      </c>
    </row>
    <row r="10" spans="1:8">
      <c r="A10" s="432">
        <v>4</v>
      </c>
      <c r="B10" s="450" t="s">
        <v>518</v>
      </c>
      <c r="C10" s="719">
        <v>344506.78</v>
      </c>
      <c r="D10" s="719">
        <v>12066020.92</v>
      </c>
      <c r="E10" s="719">
        <v>39957.280669705237</v>
      </c>
      <c r="F10" s="719"/>
      <c r="G10" s="719"/>
      <c r="H10" s="722">
        <f t="shared" si="0"/>
        <v>12370570.419330293</v>
      </c>
    </row>
    <row r="11" spans="1:8">
      <c r="A11" s="432">
        <v>5</v>
      </c>
      <c r="B11" s="450" t="s">
        <v>432</v>
      </c>
      <c r="C11" s="719">
        <v>0</v>
      </c>
      <c r="D11" s="719">
        <v>6499008.4778021136</v>
      </c>
      <c r="E11" s="719">
        <v>13031.658498995679</v>
      </c>
      <c r="F11" s="719"/>
      <c r="G11" s="719"/>
      <c r="H11" s="722">
        <f t="shared" si="0"/>
        <v>6485976.8193031177</v>
      </c>
    </row>
    <row r="12" spans="1:8">
      <c r="A12" s="432">
        <v>6</v>
      </c>
      <c r="B12" s="450" t="s">
        <v>433</v>
      </c>
      <c r="C12" s="719">
        <v>16913.090000000004</v>
      </c>
      <c r="D12" s="719">
        <v>6100735.9999999981</v>
      </c>
      <c r="E12" s="719">
        <v>44431.834575441506</v>
      </c>
      <c r="F12" s="719"/>
      <c r="G12" s="719"/>
      <c r="H12" s="722">
        <f t="shared" si="0"/>
        <v>6073217.2554245563</v>
      </c>
    </row>
    <row r="13" spans="1:8">
      <c r="A13" s="432">
        <v>7</v>
      </c>
      <c r="B13" s="450" t="s">
        <v>434</v>
      </c>
      <c r="C13" s="719">
        <v>0</v>
      </c>
      <c r="D13" s="719">
        <v>53901257.090000004</v>
      </c>
      <c r="E13" s="719">
        <v>216868.42670493844</v>
      </c>
      <c r="F13" s="719"/>
      <c r="G13" s="719"/>
      <c r="H13" s="722">
        <f t="shared" si="0"/>
        <v>53684388.663295068</v>
      </c>
    </row>
    <row r="14" spans="1:8">
      <c r="A14" s="432">
        <v>8</v>
      </c>
      <c r="B14" s="450" t="s">
        <v>435</v>
      </c>
      <c r="C14" s="719">
        <v>286994.44</v>
      </c>
      <c r="D14" s="719">
        <v>592311.46</v>
      </c>
      <c r="E14" s="719">
        <v>287146.11350150203</v>
      </c>
      <c r="F14" s="719"/>
      <c r="G14" s="719"/>
      <c r="H14" s="722">
        <f t="shared" si="0"/>
        <v>592159.78649849794</v>
      </c>
    </row>
    <row r="15" spans="1:8">
      <c r="A15" s="432">
        <v>9</v>
      </c>
      <c r="B15" s="450" t="s">
        <v>436</v>
      </c>
      <c r="C15" s="719">
        <v>0</v>
      </c>
      <c r="D15" s="719">
        <v>791021.77</v>
      </c>
      <c r="E15" s="719">
        <v>3.5262434783325816E-12</v>
      </c>
      <c r="F15" s="719"/>
      <c r="G15" s="719"/>
      <c r="H15" s="722">
        <f t="shared" si="0"/>
        <v>791021.77</v>
      </c>
    </row>
    <row r="16" spans="1:8">
      <c r="A16" s="432">
        <v>10</v>
      </c>
      <c r="B16" s="450" t="s">
        <v>437</v>
      </c>
      <c r="C16" s="719">
        <v>4181.4399999999996</v>
      </c>
      <c r="D16" s="719">
        <v>14916236.859999998</v>
      </c>
      <c r="E16" s="719">
        <v>39619.810513587974</v>
      </c>
      <c r="F16" s="719"/>
      <c r="G16" s="719"/>
      <c r="H16" s="722">
        <f t="shared" si="0"/>
        <v>14880798.489486409</v>
      </c>
    </row>
    <row r="17" spans="1:9">
      <c r="A17" s="432">
        <v>11</v>
      </c>
      <c r="B17" s="450" t="s">
        <v>438</v>
      </c>
      <c r="C17" s="719">
        <v>6261.32</v>
      </c>
      <c r="D17" s="719">
        <v>22601705.09</v>
      </c>
      <c r="E17" s="719">
        <v>7229.5350123760172</v>
      </c>
      <c r="F17" s="719"/>
      <c r="G17" s="719"/>
      <c r="H17" s="722">
        <f t="shared" si="0"/>
        <v>22600736.874987625</v>
      </c>
    </row>
    <row r="18" spans="1:9">
      <c r="A18" s="432">
        <v>12</v>
      </c>
      <c r="B18" s="450" t="s">
        <v>439</v>
      </c>
      <c r="C18" s="719">
        <v>176688.44999999998</v>
      </c>
      <c r="D18" s="719">
        <v>22150489.780544654</v>
      </c>
      <c r="E18" s="719">
        <v>186504.65915699661</v>
      </c>
      <c r="F18" s="719"/>
      <c r="G18" s="719"/>
      <c r="H18" s="722">
        <f t="shared" si="0"/>
        <v>22140673.571387656</v>
      </c>
    </row>
    <row r="19" spans="1:9">
      <c r="A19" s="432">
        <v>13</v>
      </c>
      <c r="B19" s="450" t="s">
        <v>440</v>
      </c>
      <c r="C19" s="719">
        <v>32270.91</v>
      </c>
      <c r="D19" s="719">
        <v>861851.12</v>
      </c>
      <c r="E19" s="719">
        <v>26555.978236704752</v>
      </c>
      <c r="F19" s="719"/>
      <c r="G19" s="719"/>
      <c r="H19" s="722">
        <f t="shared" si="0"/>
        <v>867566.05176329531</v>
      </c>
    </row>
    <row r="20" spans="1:9">
      <c r="A20" s="432">
        <v>14</v>
      </c>
      <c r="B20" s="450" t="s">
        <v>441</v>
      </c>
      <c r="C20" s="719">
        <v>47380.93</v>
      </c>
      <c r="D20" s="719">
        <v>1844192.69</v>
      </c>
      <c r="E20" s="719">
        <v>48423.719427107106</v>
      </c>
      <c r="F20" s="719"/>
      <c r="G20" s="719"/>
      <c r="H20" s="722">
        <f t="shared" si="0"/>
        <v>1843149.9005728927</v>
      </c>
    </row>
    <row r="21" spans="1:9">
      <c r="A21" s="432">
        <v>15</v>
      </c>
      <c r="B21" s="450" t="s">
        <v>442</v>
      </c>
      <c r="C21" s="719">
        <v>0</v>
      </c>
      <c r="D21" s="719">
        <v>17750.72</v>
      </c>
      <c r="E21" s="719">
        <v>78.206324683973918</v>
      </c>
      <c r="F21" s="719"/>
      <c r="G21" s="719"/>
      <c r="H21" s="722">
        <f t="shared" si="0"/>
        <v>17672.513675316026</v>
      </c>
    </row>
    <row r="22" spans="1:9">
      <c r="A22" s="432">
        <v>16</v>
      </c>
      <c r="B22" s="450" t="s">
        <v>443</v>
      </c>
      <c r="C22" s="719">
        <v>0</v>
      </c>
      <c r="D22" s="719">
        <v>0</v>
      </c>
      <c r="E22" s="719">
        <v>0</v>
      </c>
      <c r="F22" s="719"/>
      <c r="G22" s="719"/>
      <c r="H22" s="722">
        <f t="shared" si="0"/>
        <v>0</v>
      </c>
    </row>
    <row r="23" spans="1:9">
      <c r="A23" s="432">
        <v>17</v>
      </c>
      <c r="B23" s="450" t="s">
        <v>521</v>
      </c>
      <c r="C23" s="719">
        <v>0</v>
      </c>
      <c r="D23" s="719">
        <v>126068.46</v>
      </c>
      <c r="E23" s="719">
        <v>1446.7320991114811</v>
      </c>
      <c r="F23" s="719"/>
      <c r="G23" s="719"/>
      <c r="H23" s="722">
        <f t="shared" si="0"/>
        <v>124621.72790088852</v>
      </c>
    </row>
    <row r="24" spans="1:9">
      <c r="A24" s="432">
        <v>18</v>
      </c>
      <c r="B24" s="450" t="s">
        <v>444</v>
      </c>
      <c r="C24" s="719">
        <v>0</v>
      </c>
      <c r="D24" s="719">
        <v>47004679.062523782</v>
      </c>
      <c r="E24" s="719">
        <v>320614.77912386233</v>
      </c>
      <c r="F24" s="719"/>
      <c r="G24" s="719"/>
      <c r="H24" s="722">
        <f t="shared" si="0"/>
        <v>46684064.283399917</v>
      </c>
    </row>
    <row r="25" spans="1:9">
      <c r="A25" s="432">
        <v>19</v>
      </c>
      <c r="B25" s="450" t="s">
        <v>445</v>
      </c>
      <c r="C25" s="719">
        <v>0</v>
      </c>
      <c r="D25" s="719">
        <v>15217501.490000002</v>
      </c>
      <c r="E25" s="719">
        <v>129550.93111773214</v>
      </c>
      <c r="F25" s="719"/>
      <c r="G25" s="719"/>
      <c r="H25" s="722">
        <f t="shared" si="0"/>
        <v>15087950.55888227</v>
      </c>
    </row>
    <row r="26" spans="1:9">
      <c r="A26" s="432">
        <v>20</v>
      </c>
      <c r="B26" s="450" t="s">
        <v>520</v>
      </c>
      <c r="C26" s="719">
        <v>35451.43</v>
      </c>
      <c r="D26" s="719">
        <v>13166389.91</v>
      </c>
      <c r="E26" s="719">
        <v>161426.47644509102</v>
      </c>
      <c r="F26" s="719"/>
      <c r="G26" s="719"/>
      <c r="H26" s="722">
        <f t="shared" si="0"/>
        <v>13040414.863554908</v>
      </c>
      <c r="I26" s="447"/>
    </row>
    <row r="27" spans="1:9">
      <c r="A27" s="432">
        <v>21</v>
      </c>
      <c r="B27" s="450" t="s">
        <v>446</v>
      </c>
      <c r="C27" s="719">
        <v>84395.49</v>
      </c>
      <c r="D27" s="719">
        <v>0</v>
      </c>
      <c r="E27" s="719">
        <v>30257.381237259156</v>
      </c>
      <c r="F27" s="719"/>
      <c r="G27" s="719"/>
      <c r="H27" s="722">
        <f t="shared" si="0"/>
        <v>54138.108762740849</v>
      </c>
      <c r="I27" s="447"/>
    </row>
    <row r="28" spans="1:9">
      <c r="A28" s="432">
        <v>22</v>
      </c>
      <c r="B28" s="450" t="s">
        <v>447</v>
      </c>
      <c r="C28" s="719">
        <v>0</v>
      </c>
      <c r="D28" s="719">
        <v>0</v>
      </c>
      <c r="E28" s="719">
        <v>0</v>
      </c>
      <c r="F28" s="719"/>
      <c r="G28" s="719"/>
      <c r="H28" s="722">
        <f t="shared" si="0"/>
        <v>0</v>
      </c>
      <c r="I28" s="447"/>
    </row>
    <row r="29" spans="1:9">
      <c r="A29" s="432">
        <v>23</v>
      </c>
      <c r="B29" s="450" t="s">
        <v>448</v>
      </c>
      <c r="C29" s="719">
        <v>22701.690000000002</v>
      </c>
      <c r="D29" s="719">
        <v>18222627.744769439</v>
      </c>
      <c r="E29" s="719">
        <v>76837.661038623555</v>
      </c>
      <c r="F29" s="719"/>
      <c r="G29" s="719"/>
      <c r="H29" s="722">
        <f t="shared" si="0"/>
        <v>18168491.773730818</v>
      </c>
      <c r="I29" s="447"/>
    </row>
    <row r="30" spans="1:9">
      <c r="A30" s="432">
        <v>24</v>
      </c>
      <c r="B30" s="450" t="s">
        <v>519</v>
      </c>
      <c r="C30" s="719">
        <v>0</v>
      </c>
      <c r="D30" s="719">
        <v>7735256.3200000003</v>
      </c>
      <c r="E30" s="719">
        <v>1216.8215714894623</v>
      </c>
      <c r="F30" s="719"/>
      <c r="G30" s="719"/>
      <c r="H30" s="722">
        <f t="shared" si="0"/>
        <v>7734039.4984285105</v>
      </c>
      <c r="I30" s="447"/>
    </row>
    <row r="31" spans="1:9">
      <c r="A31" s="432">
        <v>25</v>
      </c>
      <c r="B31" s="450" t="s">
        <v>449</v>
      </c>
      <c r="C31" s="719">
        <v>162104.97999999998</v>
      </c>
      <c r="D31" s="719">
        <v>84001.58</v>
      </c>
      <c r="E31" s="719">
        <v>161882.38280479296</v>
      </c>
      <c r="F31" s="719"/>
      <c r="G31" s="719"/>
      <c r="H31" s="722">
        <f t="shared" si="0"/>
        <v>84224.177195207041</v>
      </c>
      <c r="I31" s="447"/>
    </row>
    <row r="32" spans="1:9">
      <c r="A32" s="432">
        <v>26</v>
      </c>
      <c r="B32" s="450" t="s">
        <v>516</v>
      </c>
      <c r="C32" s="719">
        <v>0</v>
      </c>
      <c r="D32" s="719">
        <v>0</v>
      </c>
      <c r="E32" s="719">
        <v>0</v>
      </c>
      <c r="F32" s="719"/>
      <c r="G32" s="719"/>
      <c r="H32" s="722">
        <f t="shared" si="0"/>
        <v>0</v>
      </c>
      <c r="I32" s="447"/>
    </row>
    <row r="33" spans="1:9">
      <c r="A33" s="432">
        <v>27</v>
      </c>
      <c r="B33" s="433" t="s">
        <v>450</v>
      </c>
      <c r="C33" s="719">
        <v>1349093.18</v>
      </c>
      <c r="D33" s="719">
        <v>13168291.443239726</v>
      </c>
      <c r="E33" s="719"/>
      <c r="F33" s="719"/>
      <c r="G33" s="719"/>
      <c r="H33" s="722">
        <f t="shared" si="0"/>
        <v>14517384.623239726</v>
      </c>
      <c r="I33" s="447"/>
    </row>
    <row r="34" spans="1:9">
      <c r="A34" s="432">
        <v>28</v>
      </c>
      <c r="B34" s="449" t="s">
        <v>64</v>
      </c>
      <c r="C34" s="721">
        <f>SUM(C7:C33)</f>
        <v>2572269.09</v>
      </c>
      <c r="D34" s="721">
        <f>SUM(D7:D33)</f>
        <v>484828110.33994919</v>
      </c>
      <c r="E34" s="721">
        <f>SUM(E7:E33)</f>
        <v>2666098.3928690939</v>
      </c>
      <c r="F34" s="721">
        <f>SUM(F7:F33)</f>
        <v>0</v>
      </c>
      <c r="G34" s="721">
        <f>SUM(G7:G33)</f>
        <v>0</v>
      </c>
      <c r="H34" s="722">
        <f t="shared" si="0"/>
        <v>484734281.03708005</v>
      </c>
      <c r="I34" s="447"/>
    </row>
    <row r="35" spans="1:9">
      <c r="A35" s="447"/>
      <c r="B35" s="447"/>
      <c r="C35" s="447"/>
      <c r="D35" s="447"/>
      <c r="E35" s="447"/>
      <c r="F35" s="447"/>
      <c r="G35" s="447"/>
      <c r="H35" s="447"/>
      <c r="I35" s="447"/>
    </row>
    <row r="36" spans="1:9">
      <c r="A36" s="447"/>
      <c r="B36" s="448"/>
      <c r="C36" s="447"/>
      <c r="D36" s="447"/>
      <c r="E36" s="447"/>
      <c r="F36" s="447"/>
      <c r="G36" s="447"/>
      <c r="H36" s="447"/>
      <c r="I36" s="447"/>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422" bestFit="1" customWidth="1"/>
    <col min="2" max="2" width="72" style="422" bestFit="1" customWidth="1"/>
    <col min="3" max="3" width="10.42578125" style="422" bestFit="1" customWidth="1"/>
    <col min="4" max="4" width="21.28515625" style="366" bestFit="1" customWidth="1"/>
    <col min="5" max="16384" width="9.140625" style="422"/>
  </cols>
  <sheetData>
    <row r="1" spans="1:4" ht="13.5">
      <c r="A1" s="363" t="s">
        <v>30</v>
      </c>
      <c r="B1" s="537" t="str">
        <f>'1. key ratios '!B1</f>
        <v>JSC Isbank Georgia</v>
      </c>
      <c r="D1" s="422"/>
    </row>
    <row r="2" spans="1:4" ht="13.5">
      <c r="A2" s="364" t="s">
        <v>31</v>
      </c>
      <c r="B2" s="538">
        <f>'1. key ratios '!B2</f>
        <v>45382</v>
      </c>
      <c r="D2" s="422"/>
    </row>
    <row r="3" spans="1:4">
      <c r="A3" s="365" t="s">
        <v>451</v>
      </c>
      <c r="D3" s="422"/>
    </row>
    <row r="5" spans="1:4" ht="25.5">
      <c r="A5" s="872" t="s">
        <v>665</v>
      </c>
      <c r="B5" s="872"/>
      <c r="C5" s="430" t="s">
        <v>468</v>
      </c>
      <c r="D5" s="430" t="s">
        <v>509</v>
      </c>
    </row>
    <row r="6" spans="1:4">
      <c r="A6" s="457">
        <v>1</v>
      </c>
      <c r="B6" s="451" t="s">
        <v>664</v>
      </c>
      <c r="C6" s="724">
        <v>1944241.315480893</v>
      </c>
      <c r="D6" s="724">
        <v>288590.260572834</v>
      </c>
    </row>
    <row r="7" spans="1:4">
      <c r="A7" s="454">
        <v>2</v>
      </c>
      <c r="B7" s="451" t="s">
        <v>663</v>
      </c>
      <c r="C7" s="724">
        <f>SUM(C8:C9)</f>
        <v>1080757.48157612</v>
      </c>
      <c r="D7" s="724">
        <f>SUM(D8:D9)</f>
        <v>45786.701536262801</v>
      </c>
    </row>
    <row r="8" spans="1:4">
      <c r="A8" s="456">
        <v>2.1</v>
      </c>
      <c r="B8" s="455" t="s">
        <v>524</v>
      </c>
      <c r="C8" s="723">
        <v>1080757.48157612</v>
      </c>
      <c r="D8" s="723">
        <v>45786.701536262801</v>
      </c>
    </row>
    <row r="9" spans="1:4">
      <c r="A9" s="456">
        <v>2.2000000000000002</v>
      </c>
      <c r="B9" s="455" t="s">
        <v>522</v>
      </c>
      <c r="C9" s="723">
        <v>0</v>
      </c>
      <c r="D9" s="723">
        <v>0</v>
      </c>
    </row>
    <row r="10" spans="1:4">
      <c r="A10" s="457">
        <v>3</v>
      </c>
      <c r="B10" s="451" t="s">
        <v>662</v>
      </c>
      <c r="C10" s="724">
        <f>SUM(C11:C13)</f>
        <v>938425.75887309341</v>
      </c>
      <c r="D10" s="724">
        <f>SUM(D11:D13)</f>
        <v>48861.03811351824</v>
      </c>
    </row>
    <row r="11" spans="1:4">
      <c r="A11" s="456">
        <v>3.1</v>
      </c>
      <c r="B11" s="455" t="s">
        <v>453</v>
      </c>
      <c r="C11" s="723"/>
      <c r="D11" s="723"/>
    </row>
    <row r="12" spans="1:4">
      <c r="A12" s="456">
        <v>3.2</v>
      </c>
      <c r="B12" s="455" t="s">
        <v>661</v>
      </c>
      <c r="C12" s="723">
        <v>938425.75887309341</v>
      </c>
      <c r="D12" s="723">
        <v>38905.235593140904</v>
      </c>
    </row>
    <row r="13" spans="1:4">
      <c r="A13" s="456">
        <v>3.3</v>
      </c>
      <c r="B13" s="455" t="s">
        <v>523</v>
      </c>
      <c r="C13" s="723">
        <v>0</v>
      </c>
      <c r="D13" s="723">
        <v>9955.8025203773395</v>
      </c>
    </row>
    <row r="14" spans="1:4">
      <c r="A14" s="454">
        <v>4</v>
      </c>
      <c r="B14" s="453" t="s">
        <v>660</v>
      </c>
      <c r="C14" s="723">
        <v>8786.6167943311902</v>
      </c>
      <c r="D14" s="723">
        <v>136.78017020042626</v>
      </c>
    </row>
    <row r="15" spans="1:4">
      <c r="A15" s="452">
        <v>5</v>
      </c>
      <c r="B15" s="451" t="s">
        <v>659</v>
      </c>
      <c r="C15" s="718">
        <f>C6+C7-C10+C14</f>
        <v>2095359.6549782509</v>
      </c>
      <c r="D15" s="718">
        <f>D6+D7-D10+D14</f>
        <v>285652.704165779</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22" bestFit="1" customWidth="1"/>
    <col min="2" max="2" width="64.42578125" style="422" bestFit="1" customWidth="1"/>
    <col min="3" max="3" width="26.42578125" style="422" customWidth="1"/>
    <col min="4" max="4" width="35.28515625" style="422" customWidth="1"/>
    <col min="5" max="16384" width="9.140625" style="422"/>
  </cols>
  <sheetData>
    <row r="1" spans="1:4" ht="13.5">
      <c r="A1" s="363" t="s">
        <v>30</v>
      </c>
      <c r="B1" s="537" t="str">
        <f>'1. key ratios '!B1</f>
        <v>JSC Isbank Georgia</v>
      </c>
    </row>
    <row r="2" spans="1:4" ht="13.5">
      <c r="A2" s="364" t="s">
        <v>31</v>
      </c>
      <c r="B2" s="538">
        <f>'1. key ratios '!B2</f>
        <v>45382</v>
      </c>
    </row>
    <row r="3" spans="1:4">
      <c r="A3" s="365" t="s">
        <v>455</v>
      </c>
    </row>
    <row r="4" spans="1:4">
      <c r="A4" s="365"/>
    </row>
    <row r="5" spans="1:4" ht="15" customHeight="1">
      <c r="A5" s="873" t="s">
        <v>525</v>
      </c>
      <c r="B5" s="874"/>
      <c r="C5" s="877" t="s">
        <v>456</v>
      </c>
      <c r="D5" s="877" t="s">
        <v>457</v>
      </c>
    </row>
    <row r="6" spans="1:4">
      <c r="A6" s="875"/>
      <c r="B6" s="876"/>
      <c r="C6" s="877"/>
      <c r="D6" s="877"/>
    </row>
    <row r="7" spans="1:4">
      <c r="A7" s="460">
        <v>1</v>
      </c>
      <c r="B7" s="423" t="s">
        <v>452</v>
      </c>
      <c r="C7" s="724">
        <v>1010623.3799999995</v>
      </c>
      <c r="D7" s="458"/>
    </row>
    <row r="8" spans="1:4">
      <c r="A8" s="462">
        <v>2</v>
      </c>
      <c r="B8" s="462" t="s">
        <v>458</v>
      </c>
      <c r="C8" s="724">
        <v>646368.99116085458</v>
      </c>
      <c r="D8" s="458"/>
    </row>
    <row r="9" spans="1:4">
      <c r="A9" s="462">
        <v>3</v>
      </c>
      <c r="B9" s="463" t="s">
        <v>668</v>
      </c>
      <c r="C9" s="724">
        <v>1002.0767401650953</v>
      </c>
      <c r="D9" s="458"/>
    </row>
    <row r="10" spans="1:4">
      <c r="A10" s="462">
        <v>4</v>
      </c>
      <c r="B10" s="462" t="s">
        <v>459</v>
      </c>
      <c r="C10" s="724">
        <f>SUM(C11:C17)</f>
        <v>434818.53790101886</v>
      </c>
      <c r="D10" s="458"/>
    </row>
    <row r="11" spans="1:4">
      <c r="A11" s="462">
        <v>5</v>
      </c>
      <c r="B11" s="461" t="s">
        <v>667</v>
      </c>
      <c r="C11" s="723">
        <v>0</v>
      </c>
      <c r="D11" s="458"/>
    </row>
    <row r="12" spans="1:4">
      <c r="A12" s="462">
        <v>6</v>
      </c>
      <c r="B12" s="461" t="s">
        <v>460</v>
      </c>
      <c r="C12" s="723">
        <v>0</v>
      </c>
      <c r="D12" s="458"/>
    </row>
    <row r="13" spans="1:4">
      <c r="A13" s="462">
        <v>7</v>
      </c>
      <c r="B13" s="461" t="s">
        <v>463</v>
      </c>
      <c r="C13" s="723">
        <v>434818.53790101886</v>
      </c>
      <c r="D13" s="458"/>
    </row>
    <row r="14" spans="1:4">
      <c r="A14" s="462">
        <v>8</v>
      </c>
      <c r="B14" s="461" t="s">
        <v>461</v>
      </c>
      <c r="C14" s="723">
        <v>0</v>
      </c>
      <c r="D14" s="462"/>
    </row>
    <row r="15" spans="1:4">
      <c r="A15" s="462">
        <v>9</v>
      </c>
      <c r="B15" s="461" t="s">
        <v>462</v>
      </c>
      <c r="C15" s="723">
        <v>0</v>
      </c>
      <c r="D15" s="462"/>
    </row>
    <row r="16" spans="1:4">
      <c r="A16" s="462">
        <v>10</v>
      </c>
      <c r="B16" s="461" t="s">
        <v>464</v>
      </c>
      <c r="C16" s="723">
        <v>0</v>
      </c>
      <c r="D16" s="462"/>
    </row>
    <row r="17" spans="1:4">
      <c r="A17" s="462">
        <v>11</v>
      </c>
      <c r="B17" s="461" t="s">
        <v>666</v>
      </c>
      <c r="C17" s="723">
        <v>0</v>
      </c>
      <c r="D17" s="458"/>
    </row>
    <row r="18" spans="1:4">
      <c r="A18" s="460">
        <v>12</v>
      </c>
      <c r="B18" s="459" t="s">
        <v>454</v>
      </c>
      <c r="C18" s="718">
        <f>C7+C8+C9-C10</f>
        <v>1223175.9100000001</v>
      </c>
      <c r="D18" s="458"/>
    </row>
    <row r="21" spans="1:4">
      <c r="B21" s="363"/>
    </row>
    <row r="22" spans="1:4">
      <c r="B22" s="364"/>
    </row>
    <row r="23" spans="1:4">
      <c r="B23" s="36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44" bestFit="1" customWidth="1"/>
    <col min="2" max="2" width="21.28515625" style="444" bestFit="1" customWidth="1"/>
    <col min="3" max="4" width="12.42578125" style="444" bestFit="1" customWidth="1"/>
    <col min="5" max="5" width="14" style="444" bestFit="1" customWidth="1"/>
    <col min="6" max="6" width="21.85546875" style="444" bestFit="1" customWidth="1"/>
    <col min="7" max="7" width="14.85546875" style="444" bestFit="1" customWidth="1"/>
    <col min="8" max="8" width="10.5703125" style="444" bestFit="1" customWidth="1"/>
    <col min="9" max="9" width="14" style="444" bestFit="1" customWidth="1"/>
    <col min="10" max="10" width="21.85546875" style="444" bestFit="1" customWidth="1"/>
    <col min="11" max="11" width="14.85546875" style="444" bestFit="1" customWidth="1"/>
    <col min="12" max="12" width="10.42578125" style="444" bestFit="1" customWidth="1"/>
    <col min="13" max="13" width="14" style="444" bestFit="1" customWidth="1"/>
    <col min="14" max="14" width="21.85546875" style="444" bestFit="1" customWidth="1"/>
    <col min="15" max="15" width="19" style="444" bestFit="1" customWidth="1"/>
    <col min="16" max="16" width="21.7109375" style="444" bestFit="1" customWidth="1"/>
    <col min="17" max="18" width="19.7109375" style="444" bestFit="1" customWidth="1"/>
    <col min="19" max="19" width="13.28515625" style="444" bestFit="1" customWidth="1"/>
    <col min="20" max="26" width="22.28515625" style="444" customWidth="1"/>
    <col min="27" max="27" width="23.28515625" style="444" bestFit="1" customWidth="1"/>
    <col min="28" max="28" width="20" style="444" customWidth="1"/>
    <col min="29" max="16384" width="9.140625" style="444"/>
  </cols>
  <sheetData>
    <row r="1" spans="1:28" ht="13.5">
      <c r="A1" s="363" t="s">
        <v>30</v>
      </c>
      <c r="B1" s="537" t="str">
        <f>'1. key ratios '!B1</f>
        <v>JSC Isbank Georgia</v>
      </c>
    </row>
    <row r="2" spans="1:28" ht="13.5">
      <c r="A2" s="364" t="s">
        <v>31</v>
      </c>
      <c r="B2" s="538">
        <f>'1. key ratios '!B2</f>
        <v>45382</v>
      </c>
      <c r="C2" s="445"/>
    </row>
    <row r="3" spans="1:28">
      <c r="A3" s="365" t="s">
        <v>465</v>
      </c>
    </row>
    <row r="5" spans="1:28" ht="15" customHeight="1">
      <c r="A5" s="879" t="s">
        <v>680</v>
      </c>
      <c r="B5" s="880"/>
      <c r="C5" s="885" t="s">
        <v>466</v>
      </c>
      <c r="D5" s="886"/>
      <c r="E5" s="886"/>
      <c r="F5" s="886"/>
      <c r="G5" s="886"/>
      <c r="H5" s="886"/>
      <c r="I5" s="886"/>
      <c r="J5" s="886"/>
      <c r="K5" s="886"/>
      <c r="L5" s="886"/>
      <c r="M5" s="886"/>
      <c r="N5" s="886"/>
      <c r="O5" s="886"/>
      <c r="P5" s="886"/>
      <c r="Q5" s="886"/>
      <c r="R5" s="886"/>
      <c r="S5" s="886"/>
      <c r="T5" s="476"/>
      <c r="U5" s="476"/>
      <c r="V5" s="476"/>
      <c r="W5" s="476"/>
      <c r="X5" s="476"/>
      <c r="Y5" s="476"/>
      <c r="Z5" s="476"/>
      <c r="AA5" s="475"/>
      <c r="AB5" s="468"/>
    </row>
    <row r="6" spans="1:28" ht="12" customHeight="1">
      <c r="A6" s="881"/>
      <c r="B6" s="882"/>
      <c r="C6" s="887" t="s">
        <v>64</v>
      </c>
      <c r="D6" s="889" t="s">
        <v>679</v>
      </c>
      <c r="E6" s="889"/>
      <c r="F6" s="889"/>
      <c r="G6" s="889"/>
      <c r="H6" s="889" t="s">
        <v>678</v>
      </c>
      <c r="I6" s="889"/>
      <c r="J6" s="889"/>
      <c r="K6" s="889"/>
      <c r="L6" s="474"/>
      <c r="M6" s="890" t="s">
        <v>677</v>
      </c>
      <c r="N6" s="890"/>
      <c r="O6" s="890"/>
      <c r="P6" s="890"/>
      <c r="Q6" s="890"/>
      <c r="R6" s="890"/>
      <c r="S6" s="870"/>
      <c r="T6" s="473"/>
      <c r="U6" s="878" t="s">
        <v>676</v>
      </c>
      <c r="V6" s="878"/>
      <c r="W6" s="878"/>
      <c r="X6" s="878"/>
      <c r="Y6" s="878"/>
      <c r="Z6" s="878"/>
      <c r="AA6" s="871"/>
      <c r="AB6" s="472"/>
    </row>
    <row r="7" spans="1:28" ht="25.5">
      <c r="A7" s="883"/>
      <c r="B7" s="884"/>
      <c r="C7" s="888"/>
      <c r="D7" s="471"/>
      <c r="E7" s="469" t="s">
        <v>467</v>
      </c>
      <c r="F7" s="441" t="s">
        <v>674</v>
      </c>
      <c r="G7" s="443" t="s">
        <v>675</v>
      </c>
      <c r="H7" s="445"/>
      <c r="I7" s="469" t="s">
        <v>467</v>
      </c>
      <c r="J7" s="441" t="s">
        <v>674</v>
      </c>
      <c r="K7" s="443" t="s">
        <v>675</v>
      </c>
      <c r="L7" s="470"/>
      <c r="M7" s="469" t="s">
        <v>467</v>
      </c>
      <c r="N7" s="469" t="s">
        <v>674</v>
      </c>
      <c r="O7" s="469" t="s">
        <v>673</v>
      </c>
      <c r="P7" s="469" t="s">
        <v>672</v>
      </c>
      <c r="Q7" s="469" t="s">
        <v>671</v>
      </c>
      <c r="R7" s="441" t="s">
        <v>670</v>
      </c>
      <c r="S7" s="469" t="s">
        <v>669</v>
      </c>
      <c r="T7" s="470"/>
      <c r="U7" s="469" t="s">
        <v>467</v>
      </c>
      <c r="V7" s="469" t="s">
        <v>674</v>
      </c>
      <c r="W7" s="469" t="s">
        <v>673</v>
      </c>
      <c r="X7" s="469" t="s">
        <v>672</v>
      </c>
      <c r="Y7" s="469" t="s">
        <v>671</v>
      </c>
      <c r="Z7" s="441" t="s">
        <v>670</v>
      </c>
      <c r="AA7" s="469" t="s">
        <v>669</v>
      </c>
      <c r="AB7" s="468"/>
    </row>
    <row r="8" spans="1:28">
      <c r="A8" s="467">
        <v>1</v>
      </c>
      <c r="B8" s="437" t="s">
        <v>468</v>
      </c>
      <c r="C8" s="728">
        <f>SUM(C9:C14)</f>
        <v>298376156.75999999</v>
      </c>
      <c r="D8" s="728">
        <f t="shared" ref="D8:S8" si="0">SUM(D9:D14)</f>
        <v>295561768.71999997</v>
      </c>
      <c r="E8" s="728">
        <f t="shared" si="0"/>
        <v>302489.53999999998</v>
      </c>
      <c r="F8" s="728">
        <f t="shared" si="0"/>
        <v>0</v>
      </c>
      <c r="G8" s="728">
        <f t="shared" si="0"/>
        <v>0</v>
      </c>
      <c r="H8" s="728">
        <f t="shared" si="0"/>
        <v>1591212.1299999997</v>
      </c>
      <c r="I8" s="728">
        <f t="shared" si="0"/>
        <v>698.54000000000008</v>
      </c>
      <c r="J8" s="728">
        <f t="shared" si="0"/>
        <v>1590513.5899999996</v>
      </c>
      <c r="K8" s="728">
        <f t="shared" si="0"/>
        <v>0</v>
      </c>
      <c r="L8" s="728">
        <f t="shared" si="0"/>
        <v>1223175.9099999999</v>
      </c>
      <c r="M8" s="728">
        <f t="shared" si="0"/>
        <v>164352.53000000003</v>
      </c>
      <c r="N8" s="728">
        <f t="shared" si="0"/>
        <v>348074.03</v>
      </c>
      <c r="O8" s="728">
        <f t="shared" si="0"/>
        <v>0</v>
      </c>
      <c r="P8" s="728">
        <f t="shared" si="0"/>
        <v>0</v>
      </c>
      <c r="Q8" s="728">
        <f t="shared" si="0"/>
        <v>16913.090000000004</v>
      </c>
      <c r="R8" s="728">
        <f t="shared" si="0"/>
        <v>0</v>
      </c>
      <c r="S8" s="728">
        <f t="shared" si="0"/>
        <v>117622.46</v>
      </c>
      <c r="T8" s="432"/>
      <c r="U8" s="432"/>
      <c r="V8" s="432"/>
      <c r="W8" s="432"/>
      <c r="X8" s="432"/>
      <c r="Y8" s="432"/>
      <c r="Z8" s="432"/>
      <c r="AA8" s="432"/>
      <c r="AB8" s="464"/>
    </row>
    <row r="9" spans="1:28">
      <c r="A9" s="432">
        <v>1.1000000000000001</v>
      </c>
      <c r="B9" s="466" t="s">
        <v>469</v>
      </c>
      <c r="C9" s="725"/>
      <c r="D9" s="719"/>
      <c r="E9" s="719"/>
      <c r="F9" s="719"/>
      <c r="G9" s="719"/>
      <c r="H9" s="719"/>
      <c r="I9" s="719"/>
      <c r="J9" s="719"/>
      <c r="K9" s="719"/>
      <c r="L9" s="719"/>
      <c r="M9" s="719"/>
      <c r="N9" s="719"/>
      <c r="O9" s="719"/>
      <c r="P9" s="719"/>
      <c r="Q9" s="719"/>
      <c r="R9" s="719"/>
      <c r="S9" s="719"/>
      <c r="T9" s="432"/>
      <c r="U9" s="432"/>
      <c r="V9" s="432"/>
      <c r="W9" s="432"/>
      <c r="X9" s="432"/>
      <c r="Y9" s="432"/>
      <c r="Z9" s="432"/>
      <c r="AA9" s="432"/>
      <c r="AB9" s="464"/>
    </row>
    <row r="10" spans="1:28">
      <c r="A10" s="432">
        <v>1.2</v>
      </c>
      <c r="B10" s="466" t="s">
        <v>470</v>
      </c>
      <c r="C10" s="725"/>
      <c r="D10" s="719"/>
      <c r="E10" s="719"/>
      <c r="F10" s="719"/>
      <c r="G10" s="719"/>
      <c r="H10" s="719"/>
      <c r="I10" s="719"/>
      <c r="J10" s="719"/>
      <c r="K10" s="719"/>
      <c r="L10" s="719"/>
      <c r="M10" s="719"/>
      <c r="N10" s="719"/>
      <c r="O10" s="719"/>
      <c r="P10" s="719"/>
      <c r="Q10" s="719"/>
      <c r="R10" s="719"/>
      <c r="S10" s="719"/>
      <c r="T10" s="432"/>
      <c r="U10" s="432"/>
      <c r="V10" s="432"/>
      <c r="W10" s="432"/>
      <c r="X10" s="432"/>
      <c r="Y10" s="432"/>
      <c r="Z10" s="432"/>
      <c r="AA10" s="432"/>
      <c r="AB10" s="464"/>
    </row>
    <row r="11" spans="1:28">
      <c r="A11" s="432">
        <v>1.3</v>
      </c>
      <c r="B11" s="466" t="s">
        <v>471</v>
      </c>
      <c r="C11" s="725">
        <v>44508007.969999999</v>
      </c>
      <c r="D11" s="719">
        <v>44508007.969999999</v>
      </c>
      <c r="E11" s="719">
        <v>0</v>
      </c>
      <c r="F11" s="719">
        <v>0</v>
      </c>
      <c r="G11" s="719">
        <v>0</v>
      </c>
      <c r="H11" s="719">
        <v>0</v>
      </c>
      <c r="I11" s="719">
        <v>0</v>
      </c>
      <c r="J11" s="719">
        <v>0</v>
      </c>
      <c r="K11" s="719">
        <v>0</v>
      </c>
      <c r="L11" s="719">
        <v>0</v>
      </c>
      <c r="M11" s="719">
        <v>0</v>
      </c>
      <c r="N11" s="719">
        <v>0</v>
      </c>
      <c r="O11" s="719">
        <v>0</v>
      </c>
      <c r="P11" s="719">
        <v>0</v>
      </c>
      <c r="Q11" s="719">
        <v>0</v>
      </c>
      <c r="R11" s="719">
        <v>0</v>
      </c>
      <c r="S11" s="719">
        <v>0</v>
      </c>
      <c r="T11" s="432"/>
      <c r="U11" s="432"/>
      <c r="V11" s="432"/>
      <c r="W11" s="432"/>
      <c r="X11" s="432"/>
      <c r="Y11" s="432"/>
      <c r="Z11" s="432"/>
      <c r="AA11" s="432"/>
      <c r="AB11" s="464"/>
    </row>
    <row r="12" spans="1:28">
      <c r="A12" s="432">
        <v>1.4</v>
      </c>
      <c r="B12" s="466" t="s">
        <v>472</v>
      </c>
      <c r="C12" s="725">
        <v>21773418.079999998</v>
      </c>
      <c r="D12" s="719">
        <v>21773418.079999998</v>
      </c>
      <c r="E12" s="719">
        <v>0</v>
      </c>
      <c r="F12" s="719">
        <v>0</v>
      </c>
      <c r="G12" s="719">
        <v>0</v>
      </c>
      <c r="H12" s="719">
        <v>0</v>
      </c>
      <c r="I12" s="719">
        <v>0</v>
      </c>
      <c r="J12" s="719">
        <v>0</v>
      </c>
      <c r="K12" s="719">
        <v>0</v>
      </c>
      <c r="L12" s="719">
        <v>0</v>
      </c>
      <c r="M12" s="719">
        <v>0</v>
      </c>
      <c r="N12" s="719">
        <v>0</v>
      </c>
      <c r="O12" s="719">
        <v>0</v>
      </c>
      <c r="P12" s="719">
        <v>0</v>
      </c>
      <c r="Q12" s="719">
        <v>0</v>
      </c>
      <c r="R12" s="719">
        <v>0</v>
      </c>
      <c r="S12" s="719">
        <v>0</v>
      </c>
      <c r="T12" s="432"/>
      <c r="U12" s="432"/>
      <c r="V12" s="432"/>
      <c r="W12" s="432"/>
      <c r="X12" s="432"/>
      <c r="Y12" s="432"/>
      <c r="Z12" s="432"/>
      <c r="AA12" s="432"/>
      <c r="AB12" s="464"/>
    </row>
    <row r="13" spans="1:28">
      <c r="A13" s="432">
        <v>1.5</v>
      </c>
      <c r="B13" s="466" t="s">
        <v>473</v>
      </c>
      <c r="C13" s="725">
        <v>225117527.88</v>
      </c>
      <c r="D13" s="719">
        <v>223103881.15000001</v>
      </c>
      <c r="E13" s="719">
        <v>302489.53999999998</v>
      </c>
      <c r="F13" s="719">
        <v>0</v>
      </c>
      <c r="G13" s="719">
        <v>0</v>
      </c>
      <c r="H13" s="719">
        <v>1591212.1299999997</v>
      </c>
      <c r="I13" s="719">
        <v>698.54000000000008</v>
      </c>
      <c r="J13" s="719">
        <v>1590513.5899999996</v>
      </c>
      <c r="K13" s="719">
        <v>0</v>
      </c>
      <c r="L13" s="719">
        <v>422434.60000000003</v>
      </c>
      <c r="M13" s="719">
        <v>0</v>
      </c>
      <c r="N13" s="719">
        <v>0</v>
      </c>
      <c r="O13" s="719">
        <v>0</v>
      </c>
      <c r="P13" s="719">
        <v>0</v>
      </c>
      <c r="Q13" s="719">
        <v>0</v>
      </c>
      <c r="R13" s="719">
        <v>0</v>
      </c>
      <c r="S13" s="719">
        <v>103816.47</v>
      </c>
      <c r="T13" s="432"/>
      <c r="U13" s="432"/>
      <c r="V13" s="432"/>
      <c r="W13" s="432"/>
      <c r="X13" s="432"/>
      <c r="Y13" s="432"/>
      <c r="Z13" s="432"/>
      <c r="AA13" s="432"/>
      <c r="AB13" s="464"/>
    </row>
    <row r="14" spans="1:28">
      <c r="A14" s="432">
        <v>1.6</v>
      </c>
      <c r="B14" s="466" t="s">
        <v>474</v>
      </c>
      <c r="C14" s="725">
        <v>6977202.830000001</v>
      </c>
      <c r="D14" s="719">
        <v>6176461.5199999996</v>
      </c>
      <c r="E14" s="719">
        <v>0</v>
      </c>
      <c r="F14" s="719">
        <v>0</v>
      </c>
      <c r="G14" s="719">
        <v>0</v>
      </c>
      <c r="H14" s="719">
        <v>0</v>
      </c>
      <c r="I14" s="719">
        <v>0</v>
      </c>
      <c r="J14" s="719">
        <v>0</v>
      </c>
      <c r="K14" s="719">
        <v>0</v>
      </c>
      <c r="L14" s="719">
        <v>800741.30999999982</v>
      </c>
      <c r="M14" s="719">
        <v>164352.53000000003</v>
      </c>
      <c r="N14" s="719">
        <v>348074.03</v>
      </c>
      <c r="O14" s="719">
        <v>0</v>
      </c>
      <c r="P14" s="719">
        <v>0</v>
      </c>
      <c r="Q14" s="719">
        <v>16913.090000000004</v>
      </c>
      <c r="R14" s="719">
        <v>0</v>
      </c>
      <c r="S14" s="719">
        <v>13805.990000000002</v>
      </c>
      <c r="T14" s="432"/>
      <c r="U14" s="432"/>
      <c r="V14" s="432"/>
      <c r="W14" s="432"/>
      <c r="X14" s="432"/>
      <c r="Y14" s="432"/>
      <c r="Z14" s="432"/>
      <c r="AA14" s="432"/>
      <c r="AB14" s="464"/>
    </row>
    <row r="15" spans="1:28">
      <c r="A15" s="467">
        <v>2</v>
      </c>
      <c r="B15" s="449" t="s">
        <v>475</v>
      </c>
      <c r="C15" s="728">
        <f>SUM(C16:C21)</f>
        <v>71954743.104712471</v>
      </c>
      <c r="D15" s="728">
        <f t="shared" ref="D15:S15" si="1">SUM(D16:D21)</f>
        <v>71954743.104712471</v>
      </c>
      <c r="E15" s="728">
        <f t="shared" si="1"/>
        <v>0</v>
      </c>
      <c r="F15" s="728">
        <f t="shared" si="1"/>
        <v>0</v>
      </c>
      <c r="G15" s="728">
        <f t="shared" si="1"/>
        <v>0</v>
      </c>
      <c r="H15" s="728">
        <f t="shared" si="1"/>
        <v>0</v>
      </c>
      <c r="I15" s="728">
        <f t="shared" si="1"/>
        <v>0</v>
      </c>
      <c r="J15" s="728">
        <f t="shared" si="1"/>
        <v>0</v>
      </c>
      <c r="K15" s="728">
        <f t="shared" si="1"/>
        <v>0</v>
      </c>
      <c r="L15" s="728">
        <f t="shared" si="1"/>
        <v>0</v>
      </c>
      <c r="M15" s="728">
        <f t="shared" si="1"/>
        <v>0</v>
      </c>
      <c r="N15" s="728">
        <f t="shared" si="1"/>
        <v>0</v>
      </c>
      <c r="O15" s="728">
        <f t="shared" si="1"/>
        <v>0</v>
      </c>
      <c r="P15" s="728">
        <f t="shared" si="1"/>
        <v>0</v>
      </c>
      <c r="Q15" s="728">
        <f t="shared" si="1"/>
        <v>0</v>
      </c>
      <c r="R15" s="728">
        <f t="shared" si="1"/>
        <v>0</v>
      </c>
      <c r="S15" s="728">
        <f t="shared" si="1"/>
        <v>0</v>
      </c>
      <c r="T15" s="432"/>
      <c r="U15" s="432"/>
      <c r="V15" s="432"/>
      <c r="W15" s="432"/>
      <c r="X15" s="432"/>
      <c r="Y15" s="432"/>
      <c r="Z15" s="432"/>
      <c r="AA15" s="432"/>
      <c r="AB15" s="464"/>
    </row>
    <row r="16" spans="1:28">
      <c r="A16" s="432">
        <v>2.1</v>
      </c>
      <c r="B16" s="466" t="s">
        <v>469</v>
      </c>
      <c r="C16" s="725">
        <v>0</v>
      </c>
      <c r="D16" s="719">
        <v>0</v>
      </c>
      <c r="E16" s="719"/>
      <c r="F16" s="719"/>
      <c r="G16" s="719"/>
      <c r="H16" s="719">
        <v>0</v>
      </c>
      <c r="I16" s="719"/>
      <c r="J16" s="719"/>
      <c r="K16" s="719"/>
      <c r="L16" s="719">
        <v>0</v>
      </c>
      <c r="M16" s="719"/>
      <c r="N16" s="719"/>
      <c r="O16" s="719"/>
      <c r="P16" s="719"/>
      <c r="Q16" s="719"/>
      <c r="R16" s="719"/>
      <c r="S16" s="719"/>
      <c r="T16" s="432"/>
      <c r="U16" s="432"/>
      <c r="V16" s="432"/>
      <c r="W16" s="432"/>
      <c r="X16" s="432"/>
      <c r="Y16" s="432"/>
      <c r="Z16" s="432"/>
      <c r="AA16" s="432"/>
      <c r="AB16" s="464"/>
    </row>
    <row r="17" spans="1:28">
      <c r="A17" s="432">
        <v>2.2000000000000002</v>
      </c>
      <c r="B17" s="466" t="s">
        <v>470</v>
      </c>
      <c r="C17" s="725">
        <v>13508600.349999998</v>
      </c>
      <c r="D17" s="719">
        <v>13508600.349999998</v>
      </c>
      <c r="E17" s="719"/>
      <c r="F17" s="719"/>
      <c r="G17" s="719"/>
      <c r="H17" s="719">
        <v>0</v>
      </c>
      <c r="I17" s="719"/>
      <c r="J17" s="719"/>
      <c r="K17" s="719"/>
      <c r="L17" s="719">
        <v>0</v>
      </c>
      <c r="M17" s="719"/>
      <c r="N17" s="719"/>
      <c r="O17" s="719"/>
      <c r="P17" s="719"/>
      <c r="Q17" s="719"/>
      <c r="R17" s="719"/>
      <c r="S17" s="719"/>
      <c r="T17" s="432"/>
      <c r="U17" s="432"/>
      <c r="V17" s="432"/>
      <c r="W17" s="432"/>
      <c r="X17" s="432"/>
      <c r="Y17" s="432"/>
      <c r="Z17" s="432"/>
      <c r="AA17" s="432"/>
      <c r="AB17" s="464"/>
    </row>
    <row r="18" spans="1:28">
      <c r="A18" s="432">
        <v>2.2999999999999998</v>
      </c>
      <c r="B18" s="466" t="s">
        <v>471</v>
      </c>
      <c r="C18" s="725">
        <v>5496644.7788251275</v>
      </c>
      <c r="D18" s="719">
        <v>5496644.7788251275</v>
      </c>
      <c r="E18" s="719"/>
      <c r="F18" s="719"/>
      <c r="G18" s="719"/>
      <c r="H18" s="719"/>
      <c r="I18" s="719"/>
      <c r="J18" s="719"/>
      <c r="K18" s="719"/>
      <c r="L18" s="719"/>
      <c r="M18" s="719"/>
      <c r="N18" s="719"/>
      <c r="O18" s="719"/>
      <c r="P18" s="719"/>
      <c r="Q18" s="719"/>
      <c r="R18" s="719"/>
      <c r="S18" s="719"/>
      <c r="T18" s="432"/>
      <c r="U18" s="432"/>
      <c r="V18" s="432"/>
      <c r="W18" s="432"/>
      <c r="X18" s="432"/>
      <c r="Y18" s="432"/>
      <c r="Z18" s="432"/>
      <c r="AA18" s="432"/>
      <c r="AB18" s="464"/>
    </row>
    <row r="19" spans="1:28">
      <c r="A19" s="432">
        <v>2.4</v>
      </c>
      <c r="B19" s="466" t="s">
        <v>472</v>
      </c>
      <c r="C19" s="725">
        <v>2711344.7166050002</v>
      </c>
      <c r="D19" s="719">
        <v>2711344.7166050002</v>
      </c>
      <c r="E19" s="719"/>
      <c r="F19" s="719"/>
      <c r="G19" s="719"/>
      <c r="H19" s="719"/>
      <c r="I19" s="719"/>
      <c r="J19" s="719"/>
      <c r="K19" s="719"/>
      <c r="L19" s="719"/>
      <c r="M19" s="719"/>
      <c r="N19" s="719"/>
      <c r="O19" s="719"/>
      <c r="P19" s="719"/>
      <c r="Q19" s="719"/>
      <c r="R19" s="719"/>
      <c r="S19" s="719"/>
      <c r="T19" s="432"/>
      <c r="U19" s="432"/>
      <c r="V19" s="432"/>
      <c r="W19" s="432"/>
      <c r="X19" s="432"/>
      <c r="Y19" s="432"/>
      <c r="Z19" s="432"/>
      <c r="AA19" s="432"/>
      <c r="AB19" s="464"/>
    </row>
    <row r="20" spans="1:28">
      <c r="A20" s="432">
        <v>2.5</v>
      </c>
      <c r="B20" s="466" t="s">
        <v>473</v>
      </c>
      <c r="C20" s="725">
        <v>50238153.259282343</v>
      </c>
      <c r="D20" s="719">
        <v>50238153.259282343</v>
      </c>
      <c r="E20" s="719"/>
      <c r="F20" s="719"/>
      <c r="G20" s="719"/>
      <c r="H20" s="719">
        <v>0</v>
      </c>
      <c r="I20" s="719"/>
      <c r="J20" s="719"/>
      <c r="K20" s="719"/>
      <c r="L20" s="719">
        <v>0</v>
      </c>
      <c r="M20" s="719"/>
      <c r="N20" s="719"/>
      <c r="O20" s="719"/>
      <c r="P20" s="719"/>
      <c r="Q20" s="719"/>
      <c r="R20" s="719"/>
      <c r="S20" s="719"/>
      <c r="T20" s="432"/>
      <c r="U20" s="432"/>
      <c r="V20" s="432"/>
      <c r="W20" s="432"/>
      <c r="X20" s="432"/>
      <c r="Y20" s="432"/>
      <c r="Z20" s="432"/>
      <c r="AA20" s="432"/>
      <c r="AB20" s="464"/>
    </row>
    <row r="21" spans="1:28">
      <c r="A21" s="432">
        <v>2.6</v>
      </c>
      <c r="B21" s="466" t="s">
        <v>474</v>
      </c>
      <c r="C21" s="725"/>
      <c r="D21" s="719"/>
      <c r="E21" s="719"/>
      <c r="F21" s="719"/>
      <c r="G21" s="719"/>
      <c r="H21" s="719"/>
      <c r="I21" s="719"/>
      <c r="J21" s="719"/>
      <c r="K21" s="719"/>
      <c r="L21" s="719"/>
      <c r="M21" s="719"/>
      <c r="N21" s="719"/>
      <c r="O21" s="719"/>
      <c r="P21" s="719"/>
      <c r="Q21" s="719"/>
      <c r="R21" s="719"/>
      <c r="S21" s="719"/>
      <c r="T21" s="432"/>
      <c r="U21" s="432"/>
      <c r="V21" s="432"/>
      <c r="W21" s="432"/>
      <c r="X21" s="432"/>
      <c r="Y21" s="432"/>
      <c r="Z21" s="432"/>
      <c r="AA21" s="432"/>
      <c r="AB21" s="464"/>
    </row>
    <row r="22" spans="1:28">
      <c r="A22" s="467">
        <v>3</v>
      </c>
      <c r="B22" s="437" t="s">
        <v>515</v>
      </c>
      <c r="C22" s="721">
        <f>SUM(C23:C28)</f>
        <v>120342546.09999999</v>
      </c>
      <c r="D22" s="721">
        <f t="shared" ref="D22:S22" si="2">SUM(D23:D28)</f>
        <v>120342546.09999999</v>
      </c>
      <c r="E22" s="726">
        <f t="shared" si="2"/>
        <v>0</v>
      </c>
      <c r="F22" s="726">
        <f t="shared" si="2"/>
        <v>0</v>
      </c>
      <c r="G22" s="726">
        <f t="shared" si="2"/>
        <v>0</v>
      </c>
      <c r="H22" s="721">
        <f t="shared" si="2"/>
        <v>0</v>
      </c>
      <c r="I22" s="726">
        <f t="shared" si="2"/>
        <v>0</v>
      </c>
      <c r="J22" s="726">
        <f t="shared" si="2"/>
        <v>0</v>
      </c>
      <c r="K22" s="726">
        <f t="shared" si="2"/>
        <v>0</v>
      </c>
      <c r="L22" s="721">
        <f t="shared" si="2"/>
        <v>0</v>
      </c>
      <c r="M22" s="726">
        <f t="shared" si="2"/>
        <v>0</v>
      </c>
      <c r="N22" s="726">
        <f t="shared" si="2"/>
        <v>0</v>
      </c>
      <c r="O22" s="726">
        <f t="shared" si="2"/>
        <v>0</v>
      </c>
      <c r="P22" s="726">
        <f t="shared" si="2"/>
        <v>0</v>
      </c>
      <c r="Q22" s="726">
        <f t="shared" si="2"/>
        <v>0</v>
      </c>
      <c r="R22" s="726">
        <f t="shared" si="2"/>
        <v>0</v>
      </c>
      <c r="S22" s="726">
        <f t="shared" si="2"/>
        <v>0</v>
      </c>
      <c r="T22" s="437"/>
      <c r="U22" s="465"/>
      <c r="V22" s="465"/>
      <c r="W22" s="465"/>
      <c r="X22" s="465"/>
      <c r="Y22" s="465"/>
      <c r="Z22" s="465"/>
      <c r="AA22" s="465"/>
      <c r="AB22" s="464"/>
    </row>
    <row r="23" spans="1:28">
      <c r="A23" s="432">
        <v>3.1</v>
      </c>
      <c r="B23" s="466" t="s">
        <v>469</v>
      </c>
      <c r="C23" s="725"/>
      <c r="D23" s="721"/>
      <c r="E23" s="726"/>
      <c r="F23" s="726"/>
      <c r="G23" s="726"/>
      <c r="H23" s="721"/>
      <c r="I23" s="726"/>
      <c r="J23" s="726"/>
      <c r="K23" s="726"/>
      <c r="L23" s="721"/>
      <c r="M23" s="726"/>
      <c r="N23" s="726"/>
      <c r="O23" s="726"/>
      <c r="P23" s="726"/>
      <c r="Q23" s="726"/>
      <c r="R23" s="726"/>
      <c r="S23" s="726"/>
      <c r="T23" s="437"/>
      <c r="U23" s="465"/>
      <c r="V23" s="465"/>
      <c r="W23" s="465"/>
      <c r="X23" s="465"/>
      <c r="Y23" s="465"/>
      <c r="Z23" s="465"/>
      <c r="AA23" s="465"/>
      <c r="AB23" s="464"/>
    </row>
    <row r="24" spans="1:28">
      <c r="A24" s="432">
        <v>3.2</v>
      </c>
      <c r="B24" s="466" t="s">
        <v>470</v>
      </c>
      <c r="C24" s="725"/>
      <c r="D24" s="721"/>
      <c r="E24" s="726"/>
      <c r="F24" s="726"/>
      <c r="G24" s="726"/>
      <c r="H24" s="721"/>
      <c r="I24" s="726"/>
      <c r="J24" s="726"/>
      <c r="K24" s="726"/>
      <c r="L24" s="721"/>
      <c r="M24" s="726"/>
      <c r="N24" s="726"/>
      <c r="O24" s="726"/>
      <c r="P24" s="726"/>
      <c r="Q24" s="726"/>
      <c r="R24" s="726"/>
      <c r="S24" s="726"/>
      <c r="T24" s="437"/>
      <c r="U24" s="465"/>
      <c r="V24" s="465"/>
      <c r="W24" s="465"/>
      <c r="X24" s="465"/>
      <c r="Y24" s="465"/>
      <c r="Z24" s="465"/>
      <c r="AA24" s="465"/>
      <c r="AB24" s="464"/>
    </row>
    <row r="25" spans="1:28">
      <c r="A25" s="432">
        <v>3.3</v>
      </c>
      <c r="B25" s="466" t="s">
        <v>471</v>
      </c>
      <c r="C25" s="725">
        <v>86552254.680000007</v>
      </c>
      <c r="D25" s="727">
        <v>86552254.680000007</v>
      </c>
      <c r="E25" s="726"/>
      <c r="F25" s="726"/>
      <c r="G25" s="726"/>
      <c r="H25" s="721">
        <v>0</v>
      </c>
      <c r="I25" s="726"/>
      <c r="J25" s="726"/>
      <c r="K25" s="726"/>
      <c r="L25" s="721">
        <v>0</v>
      </c>
      <c r="M25" s="726"/>
      <c r="N25" s="726"/>
      <c r="O25" s="726"/>
      <c r="P25" s="726"/>
      <c r="Q25" s="726"/>
      <c r="R25" s="726"/>
      <c r="S25" s="726"/>
      <c r="T25" s="437"/>
      <c r="U25" s="465"/>
      <c r="V25" s="465"/>
      <c r="W25" s="465"/>
      <c r="X25" s="465"/>
      <c r="Y25" s="465"/>
      <c r="Z25" s="465"/>
      <c r="AA25" s="465"/>
      <c r="AB25" s="464"/>
    </row>
    <row r="26" spans="1:28">
      <c r="A26" s="432">
        <v>3.4</v>
      </c>
      <c r="B26" s="466" t="s">
        <v>472</v>
      </c>
      <c r="C26" s="725">
        <v>0</v>
      </c>
      <c r="D26" s="727">
        <v>0</v>
      </c>
      <c r="E26" s="726"/>
      <c r="F26" s="726"/>
      <c r="G26" s="726"/>
      <c r="H26" s="721">
        <v>0</v>
      </c>
      <c r="I26" s="726"/>
      <c r="J26" s="726"/>
      <c r="K26" s="726"/>
      <c r="L26" s="721">
        <v>0</v>
      </c>
      <c r="M26" s="726"/>
      <c r="N26" s="726"/>
      <c r="O26" s="726"/>
      <c r="P26" s="726"/>
      <c r="Q26" s="726"/>
      <c r="R26" s="726"/>
      <c r="S26" s="726"/>
      <c r="T26" s="437"/>
      <c r="U26" s="465"/>
      <c r="V26" s="465"/>
      <c r="W26" s="465"/>
      <c r="X26" s="465"/>
      <c r="Y26" s="465"/>
      <c r="Z26" s="465"/>
      <c r="AA26" s="465"/>
      <c r="AB26" s="464"/>
    </row>
    <row r="27" spans="1:28">
      <c r="A27" s="432">
        <v>3.5</v>
      </c>
      <c r="B27" s="466" t="s">
        <v>473</v>
      </c>
      <c r="C27" s="725">
        <v>33757260.600000001</v>
      </c>
      <c r="D27" s="727">
        <v>33757260.600000001</v>
      </c>
      <c r="E27" s="726"/>
      <c r="F27" s="726"/>
      <c r="G27" s="726"/>
      <c r="H27" s="721">
        <v>0</v>
      </c>
      <c r="I27" s="726"/>
      <c r="J27" s="726"/>
      <c r="K27" s="726"/>
      <c r="L27" s="721">
        <v>0</v>
      </c>
      <c r="M27" s="726"/>
      <c r="N27" s="726"/>
      <c r="O27" s="726"/>
      <c r="P27" s="726"/>
      <c r="Q27" s="726"/>
      <c r="R27" s="726"/>
      <c r="S27" s="726"/>
      <c r="T27" s="437"/>
      <c r="U27" s="465"/>
      <c r="V27" s="465"/>
      <c r="W27" s="465"/>
      <c r="X27" s="465"/>
      <c r="Y27" s="465"/>
      <c r="Z27" s="465"/>
      <c r="AA27" s="465"/>
      <c r="AB27" s="464"/>
    </row>
    <row r="28" spans="1:28">
      <c r="A28" s="432">
        <v>3.6</v>
      </c>
      <c r="B28" s="466" t="s">
        <v>474</v>
      </c>
      <c r="C28" s="725">
        <v>33030.82</v>
      </c>
      <c r="D28" s="727">
        <v>33030.82</v>
      </c>
      <c r="E28" s="726"/>
      <c r="F28" s="726"/>
      <c r="G28" s="726"/>
      <c r="H28" s="721">
        <v>0</v>
      </c>
      <c r="I28" s="726"/>
      <c r="J28" s="726"/>
      <c r="K28" s="726"/>
      <c r="L28" s="721">
        <v>0</v>
      </c>
      <c r="M28" s="726"/>
      <c r="N28" s="726"/>
      <c r="O28" s="726"/>
      <c r="P28" s="726"/>
      <c r="Q28" s="726"/>
      <c r="R28" s="726"/>
      <c r="S28" s="726"/>
      <c r="T28" s="437"/>
      <c r="U28" s="465"/>
      <c r="V28" s="465"/>
      <c r="W28" s="465"/>
      <c r="X28" s="465"/>
      <c r="Y28" s="465"/>
      <c r="Z28" s="465"/>
      <c r="AA28" s="465"/>
      <c r="AB28" s="46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3"/>
  <sheetViews>
    <sheetView showGridLines="0" zoomScaleNormal="100" workbookViewId="0">
      <selection activeCell="A5" sqref="A5:B7"/>
    </sheetView>
  </sheetViews>
  <sheetFormatPr defaultColWidth="9.140625" defaultRowHeight="12.75"/>
  <cols>
    <col min="1" max="1" width="11.85546875" style="444" bestFit="1" customWidth="1"/>
    <col min="2" max="2" width="38.5703125" style="444" bestFit="1" customWidth="1"/>
    <col min="3" max="3" width="14.42578125" style="444" bestFit="1" customWidth="1"/>
    <col min="4" max="4" width="12.5703125" style="444" bestFit="1" customWidth="1"/>
    <col min="5" max="5" width="13.85546875" style="444" bestFit="1" customWidth="1"/>
    <col min="6" max="6" width="15.5703125" style="444" bestFit="1" customWidth="1"/>
    <col min="7" max="7" width="17" style="444" customWidth="1"/>
    <col min="8" max="8" width="10.5703125" style="444" bestFit="1" customWidth="1"/>
    <col min="9" max="9" width="13.85546875" style="444" bestFit="1" customWidth="1"/>
    <col min="10" max="10" width="17.140625" style="444" customWidth="1"/>
    <col min="11" max="27" width="22.28515625" style="444" customWidth="1"/>
    <col min="28" max="16384" width="9.140625" style="444"/>
  </cols>
  <sheetData>
    <row r="1" spans="1:27" ht="13.5">
      <c r="A1" s="363" t="s">
        <v>30</v>
      </c>
      <c r="B1" s="537" t="str">
        <f>'1. key ratios '!B1</f>
        <v>JSC Isbank Georgia</v>
      </c>
    </row>
    <row r="2" spans="1:27" ht="13.5">
      <c r="A2" s="364" t="s">
        <v>31</v>
      </c>
      <c r="B2" s="538">
        <f>'1. key ratios '!B2</f>
        <v>45382</v>
      </c>
    </row>
    <row r="3" spans="1:27">
      <c r="A3" s="365" t="s">
        <v>477</v>
      </c>
      <c r="C3" s="446"/>
    </row>
    <row r="4" spans="1:27" ht="13.5" thickBot="1">
      <c r="A4" s="365"/>
      <c r="B4" s="513"/>
      <c r="C4" s="446"/>
    </row>
    <row r="5" spans="1:27" s="477" customFormat="1" ht="13.5" customHeight="1">
      <c r="A5" s="891" t="s">
        <v>683</v>
      </c>
      <c r="B5" s="892"/>
      <c r="C5" s="900" t="s">
        <v>682</v>
      </c>
      <c r="D5" s="901"/>
      <c r="E5" s="901"/>
      <c r="F5" s="901"/>
      <c r="G5" s="901"/>
      <c r="H5" s="901"/>
      <c r="I5" s="901"/>
      <c r="J5" s="901"/>
      <c r="K5" s="901"/>
      <c r="L5" s="901"/>
      <c r="M5" s="901"/>
      <c r="N5" s="901"/>
      <c r="O5" s="901"/>
      <c r="P5" s="901"/>
      <c r="Q5" s="901"/>
      <c r="R5" s="901"/>
      <c r="S5" s="902"/>
      <c r="T5" s="476"/>
      <c r="U5" s="476"/>
      <c r="V5" s="476"/>
      <c r="W5" s="476"/>
      <c r="X5" s="476"/>
      <c r="Y5" s="476"/>
      <c r="Z5" s="476"/>
      <c r="AA5" s="475"/>
    </row>
    <row r="6" spans="1:27" s="477" customFormat="1" ht="12" customHeight="1">
      <c r="A6" s="893"/>
      <c r="B6" s="894"/>
      <c r="C6" s="897" t="s">
        <v>64</v>
      </c>
      <c r="D6" s="889" t="s">
        <v>679</v>
      </c>
      <c r="E6" s="889"/>
      <c r="F6" s="889"/>
      <c r="G6" s="889"/>
      <c r="H6" s="889" t="s">
        <v>678</v>
      </c>
      <c r="I6" s="889"/>
      <c r="J6" s="889"/>
      <c r="K6" s="889"/>
      <c r="L6" s="474"/>
      <c r="M6" s="890" t="s">
        <v>677</v>
      </c>
      <c r="N6" s="890"/>
      <c r="O6" s="890"/>
      <c r="P6" s="890"/>
      <c r="Q6" s="890"/>
      <c r="R6" s="890"/>
      <c r="S6" s="899"/>
      <c r="T6" s="476"/>
      <c r="U6" s="878" t="s">
        <v>676</v>
      </c>
      <c r="V6" s="878"/>
      <c r="W6" s="878"/>
      <c r="X6" s="878"/>
      <c r="Y6" s="878"/>
      <c r="Z6" s="878"/>
      <c r="AA6" s="871"/>
    </row>
    <row r="7" spans="1:27" s="477" customFormat="1" ht="25.5">
      <c r="A7" s="895"/>
      <c r="B7" s="896"/>
      <c r="C7" s="898"/>
      <c r="D7" s="471"/>
      <c r="E7" s="469" t="s">
        <v>467</v>
      </c>
      <c r="F7" s="441" t="s">
        <v>674</v>
      </c>
      <c r="G7" s="443" t="s">
        <v>675</v>
      </c>
      <c r="H7" s="512"/>
      <c r="I7" s="469" t="s">
        <v>467</v>
      </c>
      <c r="J7" s="441" t="s">
        <v>674</v>
      </c>
      <c r="K7" s="443" t="s">
        <v>675</v>
      </c>
      <c r="L7" s="470"/>
      <c r="M7" s="469" t="s">
        <v>467</v>
      </c>
      <c r="N7" s="441" t="s">
        <v>674</v>
      </c>
      <c r="O7" s="441" t="s">
        <v>673</v>
      </c>
      <c r="P7" s="441" t="s">
        <v>672</v>
      </c>
      <c r="Q7" s="441" t="s">
        <v>671</v>
      </c>
      <c r="R7" s="441" t="s">
        <v>670</v>
      </c>
      <c r="S7" s="511" t="s">
        <v>669</v>
      </c>
      <c r="T7" s="510"/>
      <c r="U7" s="469" t="s">
        <v>467</v>
      </c>
      <c r="V7" s="469" t="s">
        <v>674</v>
      </c>
      <c r="W7" s="469" t="s">
        <v>673</v>
      </c>
      <c r="X7" s="469" t="s">
        <v>672</v>
      </c>
      <c r="Y7" s="469" t="s">
        <v>671</v>
      </c>
      <c r="Z7" s="441" t="s">
        <v>670</v>
      </c>
      <c r="AA7" s="469" t="s">
        <v>669</v>
      </c>
    </row>
    <row r="8" spans="1:27">
      <c r="A8" s="509">
        <v>1</v>
      </c>
      <c r="B8" s="508" t="s">
        <v>468</v>
      </c>
      <c r="C8" s="741">
        <v>298376156.75999999</v>
      </c>
      <c r="D8" s="728">
        <v>295561768.71999997</v>
      </c>
      <c r="E8" s="728">
        <v>302489.53999999998</v>
      </c>
      <c r="F8" s="728">
        <v>0</v>
      </c>
      <c r="G8" s="728">
        <v>0</v>
      </c>
      <c r="H8" s="728">
        <v>1591212.1299999997</v>
      </c>
      <c r="I8" s="728">
        <v>698.54000000000008</v>
      </c>
      <c r="J8" s="728">
        <v>1590513.5899999996</v>
      </c>
      <c r="K8" s="728">
        <v>0</v>
      </c>
      <c r="L8" s="728">
        <v>1223175.9099999999</v>
      </c>
      <c r="M8" s="728">
        <v>164352.53000000003</v>
      </c>
      <c r="N8" s="728">
        <v>348074.03</v>
      </c>
      <c r="O8" s="728">
        <v>0</v>
      </c>
      <c r="P8" s="728">
        <v>0</v>
      </c>
      <c r="Q8" s="728">
        <v>16913.090000000004</v>
      </c>
      <c r="R8" s="728">
        <v>0</v>
      </c>
      <c r="S8" s="742">
        <v>117622.46</v>
      </c>
      <c r="T8" s="500"/>
      <c r="U8" s="432"/>
      <c r="V8" s="432"/>
      <c r="W8" s="432"/>
      <c r="X8" s="432"/>
      <c r="Y8" s="432"/>
      <c r="Z8" s="432"/>
      <c r="AA8" s="499"/>
    </row>
    <row r="9" spans="1:27">
      <c r="A9" s="506">
        <v>1.1000000000000001</v>
      </c>
      <c r="B9" s="507" t="s">
        <v>478</v>
      </c>
      <c r="C9" s="730">
        <v>206724806.58000001</v>
      </c>
      <c r="D9" s="719">
        <v>204481234.70999998</v>
      </c>
      <c r="E9" s="719">
        <v>297767.81</v>
      </c>
      <c r="F9" s="719">
        <v>0</v>
      </c>
      <c r="G9" s="719">
        <v>0</v>
      </c>
      <c r="H9" s="719">
        <v>1426246.8800000001</v>
      </c>
      <c r="I9" s="719">
        <v>643.83000000000004</v>
      </c>
      <c r="J9" s="719">
        <v>1425603.05</v>
      </c>
      <c r="K9" s="719">
        <v>0</v>
      </c>
      <c r="L9" s="719">
        <v>817324.99000000011</v>
      </c>
      <c r="M9" s="719">
        <v>161011.33000000002</v>
      </c>
      <c r="N9" s="719">
        <v>330083.58</v>
      </c>
      <c r="O9" s="719">
        <v>0</v>
      </c>
      <c r="P9" s="719">
        <v>0</v>
      </c>
      <c r="Q9" s="719">
        <v>4393.1400000000003</v>
      </c>
      <c r="R9" s="719">
        <v>0</v>
      </c>
      <c r="S9" s="729">
        <v>107698.72</v>
      </c>
      <c r="T9" s="500"/>
      <c r="U9" s="432"/>
      <c r="V9" s="432"/>
      <c r="W9" s="432"/>
      <c r="X9" s="432"/>
      <c r="Y9" s="432"/>
      <c r="Z9" s="432"/>
      <c r="AA9" s="499"/>
    </row>
    <row r="10" spans="1:27">
      <c r="A10" s="504" t="s">
        <v>14</v>
      </c>
      <c r="B10" s="505" t="s">
        <v>479</v>
      </c>
      <c r="C10" s="731">
        <v>118778022.10999995</v>
      </c>
      <c r="D10" s="719">
        <v>116710258.31999999</v>
      </c>
      <c r="E10" s="719">
        <v>297767.81</v>
      </c>
      <c r="F10" s="719">
        <v>0</v>
      </c>
      <c r="G10" s="719">
        <v>0</v>
      </c>
      <c r="H10" s="719">
        <v>1426246.8800000001</v>
      </c>
      <c r="I10" s="719">
        <v>643.83000000000004</v>
      </c>
      <c r="J10" s="719">
        <v>1425603.05</v>
      </c>
      <c r="K10" s="719">
        <v>0</v>
      </c>
      <c r="L10" s="719">
        <v>641516.90999999992</v>
      </c>
      <c r="M10" s="719">
        <v>161011.33000000002</v>
      </c>
      <c r="N10" s="719">
        <v>330083.58</v>
      </c>
      <c r="O10" s="719">
        <v>0</v>
      </c>
      <c r="P10" s="719">
        <v>0</v>
      </c>
      <c r="Q10" s="719">
        <v>0</v>
      </c>
      <c r="R10" s="719">
        <v>0</v>
      </c>
      <c r="S10" s="729">
        <v>0</v>
      </c>
      <c r="T10" s="500"/>
      <c r="U10" s="432"/>
      <c r="V10" s="432"/>
      <c r="W10" s="432"/>
      <c r="X10" s="432"/>
      <c r="Y10" s="432"/>
      <c r="Z10" s="432"/>
      <c r="AA10" s="499"/>
    </row>
    <row r="11" spans="1:27">
      <c r="A11" s="503" t="s">
        <v>480</v>
      </c>
      <c r="B11" s="502" t="s">
        <v>481</v>
      </c>
      <c r="C11" s="732">
        <v>68910045.00999999</v>
      </c>
      <c r="D11" s="719">
        <v>67752675.560000017</v>
      </c>
      <c r="E11" s="719">
        <v>240923.6</v>
      </c>
      <c r="F11" s="719">
        <v>0</v>
      </c>
      <c r="G11" s="719">
        <v>0</v>
      </c>
      <c r="H11" s="719">
        <v>659837.61</v>
      </c>
      <c r="I11" s="719">
        <v>643.83000000000004</v>
      </c>
      <c r="J11" s="719">
        <v>659193.78</v>
      </c>
      <c r="K11" s="719">
        <v>0</v>
      </c>
      <c r="L11" s="719">
        <v>497531.84</v>
      </c>
      <c r="M11" s="719">
        <v>78343.75</v>
      </c>
      <c r="N11" s="719">
        <v>330083.58</v>
      </c>
      <c r="O11" s="719">
        <v>0</v>
      </c>
      <c r="P11" s="719">
        <v>0</v>
      </c>
      <c r="Q11" s="719">
        <v>0</v>
      </c>
      <c r="R11" s="719">
        <v>0</v>
      </c>
      <c r="S11" s="729">
        <v>0</v>
      </c>
      <c r="T11" s="500"/>
      <c r="U11" s="432"/>
      <c r="V11" s="432"/>
      <c r="W11" s="432"/>
      <c r="X11" s="432"/>
      <c r="Y11" s="432"/>
      <c r="Z11" s="432"/>
      <c r="AA11" s="499"/>
    </row>
    <row r="12" spans="1:27">
      <c r="A12" s="503" t="s">
        <v>482</v>
      </c>
      <c r="B12" s="502" t="s">
        <v>483</v>
      </c>
      <c r="C12" s="732">
        <v>10306024.82</v>
      </c>
      <c r="D12" s="719">
        <v>9515744.2999999989</v>
      </c>
      <c r="E12" s="719">
        <v>0</v>
      </c>
      <c r="F12" s="719">
        <v>0</v>
      </c>
      <c r="G12" s="719">
        <v>0</v>
      </c>
      <c r="H12" s="719">
        <v>646295.44999999995</v>
      </c>
      <c r="I12" s="719">
        <v>0</v>
      </c>
      <c r="J12" s="719">
        <v>646295.44999999995</v>
      </c>
      <c r="K12" s="719">
        <v>0</v>
      </c>
      <c r="L12" s="719">
        <v>143985.07</v>
      </c>
      <c r="M12" s="719">
        <v>82667.58</v>
      </c>
      <c r="N12" s="719">
        <v>0</v>
      </c>
      <c r="O12" s="719">
        <v>0</v>
      </c>
      <c r="P12" s="719">
        <v>0</v>
      </c>
      <c r="Q12" s="719">
        <v>0</v>
      </c>
      <c r="R12" s="719">
        <v>0</v>
      </c>
      <c r="S12" s="729">
        <v>0</v>
      </c>
      <c r="T12" s="500"/>
      <c r="U12" s="432"/>
      <c r="V12" s="432"/>
      <c r="W12" s="432"/>
      <c r="X12" s="432"/>
      <c r="Y12" s="432"/>
      <c r="Z12" s="432"/>
      <c r="AA12" s="499"/>
    </row>
    <row r="13" spans="1:27">
      <c r="A13" s="503" t="s">
        <v>484</v>
      </c>
      <c r="B13" s="502" t="s">
        <v>485</v>
      </c>
      <c r="C13" s="732">
        <v>14315639.280000001</v>
      </c>
      <c r="D13" s="719">
        <v>14195525.460000001</v>
      </c>
      <c r="E13" s="719">
        <v>56844.21</v>
      </c>
      <c r="F13" s="719">
        <v>0</v>
      </c>
      <c r="G13" s="719">
        <v>0</v>
      </c>
      <c r="H13" s="719">
        <v>120113.82</v>
      </c>
      <c r="I13" s="719">
        <v>0</v>
      </c>
      <c r="J13" s="719">
        <v>120113.82</v>
      </c>
      <c r="K13" s="719">
        <v>0</v>
      </c>
      <c r="L13" s="719">
        <v>0</v>
      </c>
      <c r="M13" s="719">
        <v>0</v>
      </c>
      <c r="N13" s="719">
        <v>0</v>
      </c>
      <c r="O13" s="719">
        <v>0</v>
      </c>
      <c r="P13" s="719">
        <v>0</v>
      </c>
      <c r="Q13" s="719">
        <v>0</v>
      </c>
      <c r="R13" s="719">
        <v>0</v>
      </c>
      <c r="S13" s="729">
        <v>0</v>
      </c>
      <c r="T13" s="500"/>
      <c r="U13" s="432"/>
      <c r="V13" s="432"/>
      <c r="W13" s="432"/>
      <c r="X13" s="432"/>
      <c r="Y13" s="432"/>
      <c r="Z13" s="432"/>
      <c r="AA13" s="499"/>
    </row>
    <row r="14" spans="1:27">
      <c r="A14" s="503" t="s">
        <v>486</v>
      </c>
      <c r="B14" s="502" t="s">
        <v>487</v>
      </c>
      <c r="C14" s="732">
        <v>25246312.999999996</v>
      </c>
      <c r="D14" s="719">
        <v>25246312.999999996</v>
      </c>
      <c r="E14" s="719">
        <v>0</v>
      </c>
      <c r="F14" s="719">
        <v>0</v>
      </c>
      <c r="G14" s="719">
        <v>0</v>
      </c>
      <c r="H14" s="719">
        <v>0</v>
      </c>
      <c r="I14" s="719">
        <v>0</v>
      </c>
      <c r="J14" s="719">
        <v>0</v>
      </c>
      <c r="K14" s="719">
        <v>0</v>
      </c>
      <c r="L14" s="719">
        <v>0</v>
      </c>
      <c r="M14" s="719">
        <v>0</v>
      </c>
      <c r="N14" s="719">
        <v>0</v>
      </c>
      <c r="O14" s="719">
        <v>0</v>
      </c>
      <c r="P14" s="719">
        <v>0</v>
      </c>
      <c r="Q14" s="719">
        <v>0</v>
      </c>
      <c r="R14" s="719">
        <v>0</v>
      </c>
      <c r="S14" s="729">
        <v>0</v>
      </c>
      <c r="T14" s="500"/>
      <c r="U14" s="432"/>
      <c r="V14" s="432"/>
      <c r="W14" s="432"/>
      <c r="X14" s="432"/>
      <c r="Y14" s="432"/>
      <c r="Z14" s="432"/>
      <c r="AA14" s="499"/>
    </row>
    <row r="15" spans="1:27">
      <c r="A15" s="501">
        <v>1.2</v>
      </c>
      <c r="B15" s="497" t="s">
        <v>681</v>
      </c>
      <c r="C15" s="733">
        <v>1232440.4580125255</v>
      </c>
      <c r="D15" s="719">
        <v>886982.05992276734</v>
      </c>
      <c r="E15" s="719">
        <v>157.91055660905343</v>
      </c>
      <c r="F15" s="719">
        <v>0</v>
      </c>
      <c r="G15" s="719">
        <v>0</v>
      </c>
      <c r="H15" s="719">
        <v>4369.4307769761335</v>
      </c>
      <c r="I15" s="719">
        <v>0.25935801262921931</v>
      </c>
      <c r="J15" s="719">
        <v>4369.171418963504</v>
      </c>
      <c r="K15" s="719">
        <v>0</v>
      </c>
      <c r="L15" s="719">
        <v>341088.96731278201</v>
      </c>
      <c r="M15" s="719">
        <v>46315.601255347938</v>
      </c>
      <c r="N15" s="719">
        <v>5731.0618946547556</v>
      </c>
      <c r="O15" s="719">
        <v>0</v>
      </c>
      <c r="P15" s="719">
        <v>0</v>
      </c>
      <c r="Q15" s="719">
        <v>9850.2505052264532</v>
      </c>
      <c r="R15" s="719">
        <v>0</v>
      </c>
      <c r="S15" s="729">
        <v>107698.72</v>
      </c>
      <c r="T15" s="500"/>
      <c r="U15" s="432"/>
      <c r="V15" s="432"/>
      <c r="W15" s="432"/>
      <c r="X15" s="432"/>
      <c r="Y15" s="432"/>
      <c r="Z15" s="432"/>
      <c r="AA15" s="499"/>
    </row>
    <row r="16" spans="1:27">
      <c r="A16" s="498">
        <v>1.3</v>
      </c>
      <c r="B16" s="497" t="s">
        <v>526</v>
      </c>
      <c r="C16" s="734"/>
      <c r="D16" s="735"/>
      <c r="E16" s="735"/>
      <c r="F16" s="735"/>
      <c r="G16" s="735"/>
      <c r="H16" s="735"/>
      <c r="I16" s="735"/>
      <c r="J16" s="735"/>
      <c r="K16" s="735"/>
      <c r="L16" s="735"/>
      <c r="M16" s="735"/>
      <c r="N16" s="735"/>
      <c r="O16" s="735"/>
      <c r="P16" s="735"/>
      <c r="Q16" s="735"/>
      <c r="R16" s="735"/>
      <c r="S16" s="736"/>
      <c r="T16" s="496"/>
      <c r="U16" s="495"/>
      <c r="V16" s="495"/>
      <c r="W16" s="495"/>
      <c r="X16" s="495"/>
      <c r="Y16" s="495"/>
      <c r="Z16" s="495"/>
      <c r="AA16" s="494"/>
    </row>
    <row r="17" spans="1:27" s="477" customFormat="1">
      <c r="A17" s="492" t="s">
        <v>488</v>
      </c>
      <c r="B17" s="493" t="s">
        <v>489</v>
      </c>
      <c r="C17" s="737">
        <v>201100092.37808284</v>
      </c>
      <c r="D17" s="720">
        <v>198856520.50808281</v>
      </c>
      <c r="E17" s="720">
        <v>297767.81</v>
      </c>
      <c r="F17" s="720">
        <v>0</v>
      </c>
      <c r="G17" s="720">
        <v>0</v>
      </c>
      <c r="H17" s="720">
        <v>1426246.8800000001</v>
      </c>
      <c r="I17" s="720">
        <v>643.83000000000004</v>
      </c>
      <c r="J17" s="720">
        <v>1425603.05</v>
      </c>
      <c r="K17" s="720">
        <v>0</v>
      </c>
      <c r="L17" s="720">
        <v>817324.99000000011</v>
      </c>
      <c r="M17" s="720">
        <v>161011.33000000002</v>
      </c>
      <c r="N17" s="720">
        <v>330083.58</v>
      </c>
      <c r="O17" s="720">
        <v>0</v>
      </c>
      <c r="P17" s="720">
        <v>0</v>
      </c>
      <c r="Q17" s="720">
        <v>4393.1400000000003</v>
      </c>
      <c r="R17" s="720">
        <v>0</v>
      </c>
      <c r="S17" s="738">
        <v>107698.72</v>
      </c>
      <c r="T17" s="485"/>
      <c r="U17" s="433"/>
      <c r="V17" s="433"/>
      <c r="W17" s="433"/>
      <c r="X17" s="433"/>
      <c r="Y17" s="433"/>
      <c r="Z17" s="433"/>
      <c r="AA17" s="484"/>
    </row>
    <row r="18" spans="1:27" s="477" customFormat="1">
      <c r="A18" s="489" t="s">
        <v>490</v>
      </c>
      <c r="B18" s="490" t="s">
        <v>491</v>
      </c>
      <c r="C18" s="739">
        <v>98837243.314925164</v>
      </c>
      <c r="D18" s="720">
        <v>96769479.524925202</v>
      </c>
      <c r="E18" s="720">
        <v>297767.81</v>
      </c>
      <c r="F18" s="720">
        <v>0</v>
      </c>
      <c r="G18" s="720">
        <v>0</v>
      </c>
      <c r="H18" s="720">
        <v>1426246.8800000001</v>
      </c>
      <c r="I18" s="720">
        <v>643.83000000000004</v>
      </c>
      <c r="J18" s="720">
        <v>1425603.05</v>
      </c>
      <c r="K18" s="720">
        <v>0</v>
      </c>
      <c r="L18" s="720">
        <v>641516.90999999992</v>
      </c>
      <c r="M18" s="720">
        <v>161011.33000000002</v>
      </c>
      <c r="N18" s="720">
        <v>330083.58</v>
      </c>
      <c r="O18" s="720">
        <v>0</v>
      </c>
      <c r="P18" s="720">
        <v>0</v>
      </c>
      <c r="Q18" s="720">
        <v>0</v>
      </c>
      <c r="R18" s="720">
        <v>0</v>
      </c>
      <c r="S18" s="738">
        <v>0</v>
      </c>
      <c r="T18" s="485"/>
      <c r="U18" s="433"/>
      <c r="V18" s="433"/>
      <c r="W18" s="433"/>
      <c r="X18" s="433"/>
      <c r="Y18" s="433"/>
      <c r="Z18" s="433"/>
      <c r="AA18" s="484"/>
    </row>
    <row r="19" spans="1:27" s="477" customFormat="1">
      <c r="A19" s="492" t="s">
        <v>492</v>
      </c>
      <c r="B19" s="491" t="s">
        <v>493</v>
      </c>
      <c r="C19" s="740">
        <v>229196524.97594199</v>
      </c>
      <c r="D19" s="720">
        <v>225356857.26127195</v>
      </c>
      <c r="E19" s="720">
        <v>1823332.796659</v>
      </c>
      <c r="F19" s="720">
        <v>0</v>
      </c>
      <c r="G19" s="720">
        <v>0</v>
      </c>
      <c r="H19" s="720">
        <v>3005296.9646700006</v>
      </c>
      <c r="I19" s="720">
        <v>1667.0692400995817</v>
      </c>
      <c r="J19" s="720">
        <v>3003629.8954299008</v>
      </c>
      <c r="K19" s="720">
        <v>0</v>
      </c>
      <c r="L19" s="720">
        <v>834370.75</v>
      </c>
      <c r="M19" s="720">
        <v>115256.91999999995</v>
      </c>
      <c r="N19" s="720">
        <v>315440.76999999996</v>
      </c>
      <c r="O19" s="720">
        <v>0</v>
      </c>
      <c r="P19" s="720">
        <v>0</v>
      </c>
      <c r="Q19" s="720">
        <v>0</v>
      </c>
      <c r="R19" s="720">
        <v>0</v>
      </c>
      <c r="S19" s="738">
        <v>0</v>
      </c>
      <c r="T19" s="485"/>
      <c r="U19" s="433"/>
      <c r="V19" s="433"/>
      <c r="W19" s="433"/>
      <c r="X19" s="433"/>
      <c r="Y19" s="433"/>
      <c r="Z19" s="433"/>
      <c r="AA19" s="484"/>
    </row>
    <row r="20" spans="1:27" s="477" customFormat="1">
      <c r="A20" s="489" t="s">
        <v>494</v>
      </c>
      <c r="B20" s="490" t="s">
        <v>491</v>
      </c>
      <c r="C20" s="739">
        <v>123438894.86510655</v>
      </c>
      <c r="D20" s="720">
        <v>121237682.82043658</v>
      </c>
      <c r="E20" s="720">
        <v>1525564.9866589999</v>
      </c>
      <c r="F20" s="720">
        <v>0</v>
      </c>
      <c r="G20" s="720">
        <v>0</v>
      </c>
      <c r="H20" s="720">
        <v>1398464.9846699999</v>
      </c>
      <c r="I20" s="720">
        <v>1023.2392400995817</v>
      </c>
      <c r="J20" s="720">
        <v>1397441.7454299002</v>
      </c>
      <c r="K20" s="720">
        <v>0</v>
      </c>
      <c r="L20" s="720">
        <v>802747.06</v>
      </c>
      <c r="M20" s="720">
        <v>115256.91999999995</v>
      </c>
      <c r="N20" s="720">
        <v>315440.76999999996</v>
      </c>
      <c r="O20" s="720">
        <v>0</v>
      </c>
      <c r="P20" s="720">
        <v>0</v>
      </c>
      <c r="Q20" s="720">
        <v>0</v>
      </c>
      <c r="R20" s="720">
        <v>0</v>
      </c>
      <c r="S20" s="738">
        <v>0</v>
      </c>
      <c r="T20" s="485"/>
      <c r="U20" s="433"/>
      <c r="V20" s="433"/>
      <c r="W20" s="433"/>
      <c r="X20" s="433"/>
      <c r="Y20" s="433"/>
      <c r="Z20" s="433"/>
      <c r="AA20" s="484"/>
    </row>
    <row r="21" spans="1:27" s="477" customFormat="1">
      <c r="A21" s="488">
        <v>1.4</v>
      </c>
      <c r="B21" s="487" t="s">
        <v>495</v>
      </c>
      <c r="C21" s="486"/>
      <c r="D21" s="433"/>
      <c r="E21" s="433"/>
      <c r="F21" s="433"/>
      <c r="G21" s="433"/>
      <c r="H21" s="433"/>
      <c r="I21" s="433"/>
      <c r="J21" s="433"/>
      <c r="K21" s="433"/>
      <c r="L21" s="433"/>
      <c r="M21" s="433"/>
      <c r="N21" s="433"/>
      <c r="O21" s="433"/>
      <c r="P21" s="433"/>
      <c r="Q21" s="433"/>
      <c r="R21" s="433"/>
      <c r="S21" s="484"/>
      <c r="T21" s="485"/>
      <c r="U21" s="433"/>
      <c r="V21" s="433"/>
      <c r="W21" s="433"/>
      <c r="X21" s="433"/>
      <c r="Y21" s="433"/>
      <c r="Z21" s="433"/>
      <c r="AA21" s="484"/>
    </row>
    <row r="22" spans="1:27" s="477" customFormat="1" ht="13.5" thickBot="1">
      <c r="A22" s="483">
        <v>1.5</v>
      </c>
      <c r="B22" s="482" t="s">
        <v>496</v>
      </c>
      <c r="C22" s="481"/>
      <c r="D22" s="479"/>
      <c r="E22" s="479"/>
      <c r="F22" s="479"/>
      <c r="G22" s="479"/>
      <c r="H22" s="479"/>
      <c r="I22" s="479"/>
      <c r="J22" s="479"/>
      <c r="K22" s="479"/>
      <c r="L22" s="479"/>
      <c r="M22" s="479"/>
      <c r="N22" s="479"/>
      <c r="O22" s="479"/>
      <c r="P22" s="479"/>
      <c r="Q22" s="479"/>
      <c r="R22" s="479"/>
      <c r="S22" s="478"/>
      <c r="T22" s="480"/>
      <c r="U22" s="479"/>
      <c r="V22" s="479"/>
      <c r="W22" s="479"/>
      <c r="X22" s="479"/>
      <c r="Y22" s="479"/>
      <c r="Z22" s="479"/>
      <c r="AA22" s="478"/>
    </row>
    <row r="23" spans="1:27">
      <c r="A23" s="464"/>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44" bestFit="1" customWidth="1"/>
    <col min="2" max="2" width="53.42578125" style="444" bestFit="1" customWidth="1"/>
    <col min="3" max="4" width="12.28515625" style="444" bestFit="1" customWidth="1"/>
    <col min="5" max="5" width="10.28515625" style="444" bestFit="1" customWidth="1"/>
    <col min="6" max="6" width="10.28515625" style="514" bestFit="1" customWidth="1"/>
    <col min="7" max="7" width="4.85546875" style="514" bestFit="1" customWidth="1"/>
    <col min="8" max="8" width="10.28515625" style="444" bestFit="1" customWidth="1"/>
    <col min="9" max="9" width="10.28515625" style="514" bestFit="1" customWidth="1"/>
    <col min="10" max="10" width="7.140625" style="514" bestFit="1" customWidth="1"/>
    <col min="11" max="11" width="8.7109375" style="514" bestFit="1" customWidth="1"/>
    <col min="12" max="12" width="4.85546875" style="514" bestFit="1" customWidth="1"/>
    <col min="13" max="16384" width="9.140625" style="444"/>
  </cols>
  <sheetData>
    <row r="1" spans="1:12" ht="13.5">
      <c r="A1" s="363" t="s">
        <v>30</v>
      </c>
      <c r="B1" s="537" t="str">
        <f>'1. key ratios '!B1</f>
        <v>JSC Isbank Georgia</v>
      </c>
      <c r="F1" s="444"/>
      <c r="G1" s="444"/>
      <c r="I1" s="444"/>
      <c r="J1" s="444"/>
      <c r="K1" s="444"/>
      <c r="L1" s="444"/>
    </row>
    <row r="2" spans="1:12" ht="13.5">
      <c r="A2" s="364" t="s">
        <v>31</v>
      </c>
      <c r="B2" s="538">
        <f>'1. key ratios '!B2</f>
        <v>45382</v>
      </c>
      <c r="F2" s="444"/>
      <c r="G2" s="444"/>
      <c r="I2" s="444"/>
      <c r="J2" s="444"/>
      <c r="K2" s="444"/>
      <c r="L2" s="444"/>
    </row>
    <row r="3" spans="1:12">
      <c r="A3" s="365" t="s">
        <v>497</v>
      </c>
      <c r="F3" s="444"/>
      <c r="G3" s="444"/>
      <c r="I3" s="444"/>
      <c r="J3" s="444"/>
      <c r="K3" s="444"/>
      <c r="L3" s="444"/>
    </row>
    <row r="4" spans="1:12">
      <c r="F4" s="444"/>
      <c r="G4" s="444"/>
      <c r="I4" s="444"/>
      <c r="J4" s="444"/>
      <c r="K4" s="444"/>
      <c r="L4" s="444"/>
    </row>
    <row r="5" spans="1:12" ht="37.5" customHeight="1">
      <c r="A5" s="857" t="s">
        <v>514</v>
      </c>
      <c r="B5" s="858"/>
      <c r="C5" s="903" t="s">
        <v>498</v>
      </c>
      <c r="D5" s="904"/>
      <c r="E5" s="904"/>
      <c r="F5" s="904"/>
      <c r="G5" s="904"/>
      <c r="H5" s="905" t="s">
        <v>658</v>
      </c>
      <c r="I5" s="906"/>
      <c r="J5" s="906"/>
      <c r="K5" s="906"/>
      <c r="L5" s="907"/>
    </row>
    <row r="6" spans="1:12" ht="39.6" customHeight="1">
      <c r="A6" s="861"/>
      <c r="B6" s="862"/>
      <c r="C6" s="367"/>
      <c r="D6" s="442" t="s">
        <v>679</v>
      </c>
      <c r="E6" s="442" t="s">
        <v>678</v>
      </c>
      <c r="F6" s="442" t="s">
        <v>677</v>
      </c>
      <c r="G6" s="442" t="s">
        <v>676</v>
      </c>
      <c r="H6" s="517"/>
      <c r="I6" s="442" t="s">
        <v>679</v>
      </c>
      <c r="J6" s="442" t="s">
        <v>678</v>
      </c>
      <c r="K6" s="442" t="s">
        <v>677</v>
      </c>
      <c r="L6" s="442" t="s">
        <v>676</v>
      </c>
    </row>
    <row r="7" spans="1:12">
      <c r="A7" s="433">
        <v>1</v>
      </c>
      <c r="B7" s="450" t="s">
        <v>517</v>
      </c>
      <c r="C7" s="743">
        <v>3006192.25</v>
      </c>
      <c r="D7" s="743">
        <v>3002867.29</v>
      </c>
      <c r="E7" s="743">
        <v>0</v>
      </c>
      <c r="F7" s="743">
        <v>3324.96</v>
      </c>
      <c r="G7" s="743">
        <v>0</v>
      </c>
      <c r="H7" s="743">
        <v>3138.0794377434372</v>
      </c>
      <c r="I7" s="743">
        <v>1974.0128388015369</v>
      </c>
      <c r="J7" s="743">
        <v>0</v>
      </c>
      <c r="K7" s="743">
        <v>1164.0665989419001</v>
      </c>
      <c r="L7" s="743">
        <v>0</v>
      </c>
    </row>
    <row r="8" spans="1:12">
      <c r="A8" s="433">
        <v>2</v>
      </c>
      <c r="B8" s="450" t="s">
        <v>430</v>
      </c>
      <c r="C8" s="743">
        <v>69362696.189999998</v>
      </c>
      <c r="D8" s="719">
        <v>69362696.189999998</v>
      </c>
      <c r="E8" s="719">
        <v>0</v>
      </c>
      <c r="F8" s="744">
        <v>0</v>
      </c>
      <c r="G8" s="744">
        <v>0</v>
      </c>
      <c r="H8" s="719">
        <v>373789.35571692127</v>
      </c>
      <c r="I8" s="744">
        <v>373789.35571692127</v>
      </c>
      <c r="J8" s="744">
        <v>0</v>
      </c>
      <c r="K8" s="744">
        <v>0</v>
      </c>
      <c r="L8" s="744">
        <v>0</v>
      </c>
    </row>
    <row r="9" spans="1:12">
      <c r="A9" s="433">
        <v>3</v>
      </c>
      <c r="B9" s="450" t="s">
        <v>431</v>
      </c>
      <c r="C9" s="743">
        <v>0</v>
      </c>
      <c r="D9" s="719">
        <v>0</v>
      </c>
      <c r="E9" s="719">
        <v>0</v>
      </c>
      <c r="F9" s="745">
        <v>0</v>
      </c>
      <c r="G9" s="745">
        <v>0</v>
      </c>
      <c r="H9" s="719">
        <v>0</v>
      </c>
      <c r="I9" s="745">
        <v>0</v>
      </c>
      <c r="J9" s="745">
        <v>0</v>
      </c>
      <c r="K9" s="745">
        <v>0</v>
      </c>
      <c r="L9" s="745">
        <v>0</v>
      </c>
    </row>
    <row r="10" spans="1:12" ht="25.5">
      <c r="A10" s="433">
        <v>4</v>
      </c>
      <c r="B10" s="450" t="s">
        <v>518</v>
      </c>
      <c r="C10" s="743">
        <v>12410527.699999999</v>
      </c>
      <c r="D10" s="719">
        <v>12066020.919999998</v>
      </c>
      <c r="E10" s="719">
        <v>0</v>
      </c>
      <c r="F10" s="745">
        <v>344506.78</v>
      </c>
      <c r="G10" s="745">
        <v>0</v>
      </c>
      <c r="H10" s="719">
        <v>39957.280669705237</v>
      </c>
      <c r="I10" s="745">
        <v>34226.218775050482</v>
      </c>
      <c r="J10" s="745">
        <v>0</v>
      </c>
      <c r="K10" s="745">
        <v>5731.0618946547556</v>
      </c>
      <c r="L10" s="745">
        <v>0</v>
      </c>
    </row>
    <row r="11" spans="1:12">
      <c r="A11" s="433">
        <v>5</v>
      </c>
      <c r="B11" s="450" t="s">
        <v>432</v>
      </c>
      <c r="C11" s="743">
        <v>3751661.73</v>
      </c>
      <c r="D11" s="719">
        <v>3751661.73</v>
      </c>
      <c r="E11" s="719">
        <v>0</v>
      </c>
      <c r="F11" s="745">
        <v>0</v>
      </c>
      <c r="G11" s="745">
        <v>0</v>
      </c>
      <c r="H11" s="719">
        <v>423.15977576600312</v>
      </c>
      <c r="I11" s="745">
        <v>423.15977576600312</v>
      </c>
      <c r="J11" s="745">
        <v>0</v>
      </c>
      <c r="K11" s="745">
        <v>0</v>
      </c>
      <c r="L11" s="745">
        <v>0</v>
      </c>
    </row>
    <row r="12" spans="1:12">
      <c r="A12" s="433">
        <v>6</v>
      </c>
      <c r="B12" s="450" t="s">
        <v>433</v>
      </c>
      <c r="C12" s="743">
        <v>6117649.0899999999</v>
      </c>
      <c r="D12" s="719">
        <v>5352687.12</v>
      </c>
      <c r="E12" s="719">
        <v>748048.87999999989</v>
      </c>
      <c r="F12" s="745">
        <v>16913.090000000004</v>
      </c>
      <c r="G12" s="745">
        <v>0</v>
      </c>
      <c r="H12" s="719">
        <v>44431.834575441506</v>
      </c>
      <c r="I12" s="745">
        <v>34328.830781963021</v>
      </c>
      <c r="J12" s="745">
        <v>252.75328825203533</v>
      </c>
      <c r="K12" s="745">
        <v>9850.2505052264532</v>
      </c>
      <c r="L12" s="745">
        <v>0</v>
      </c>
    </row>
    <row r="13" spans="1:12">
      <c r="A13" s="433">
        <v>7</v>
      </c>
      <c r="B13" s="450" t="s">
        <v>434</v>
      </c>
      <c r="C13" s="743">
        <v>53901257.089999996</v>
      </c>
      <c r="D13" s="719">
        <v>53901257.089999996</v>
      </c>
      <c r="E13" s="719">
        <v>0</v>
      </c>
      <c r="F13" s="745">
        <v>0</v>
      </c>
      <c r="G13" s="745">
        <v>0</v>
      </c>
      <c r="H13" s="719">
        <v>216868.42670493844</v>
      </c>
      <c r="I13" s="745">
        <v>216868.42670493844</v>
      </c>
      <c r="J13" s="745">
        <v>0</v>
      </c>
      <c r="K13" s="745">
        <v>0</v>
      </c>
      <c r="L13" s="745">
        <v>0</v>
      </c>
    </row>
    <row r="14" spans="1:12">
      <c r="A14" s="433">
        <v>8</v>
      </c>
      <c r="B14" s="450" t="s">
        <v>435</v>
      </c>
      <c r="C14" s="743">
        <v>879305.9</v>
      </c>
      <c r="D14" s="719">
        <v>592311.46000000008</v>
      </c>
      <c r="E14" s="719">
        <v>0</v>
      </c>
      <c r="F14" s="745">
        <v>286994.44</v>
      </c>
      <c r="G14" s="745">
        <v>0</v>
      </c>
      <c r="H14" s="719">
        <v>287146.11350150203</v>
      </c>
      <c r="I14" s="745">
        <v>151.67350150201079</v>
      </c>
      <c r="J14" s="745">
        <v>0</v>
      </c>
      <c r="K14" s="745">
        <v>286994.44</v>
      </c>
      <c r="L14" s="745">
        <v>0</v>
      </c>
    </row>
    <row r="15" spans="1:12">
      <c r="A15" s="433">
        <v>9</v>
      </c>
      <c r="B15" s="450" t="s">
        <v>436</v>
      </c>
      <c r="C15" s="743">
        <v>791021.77</v>
      </c>
      <c r="D15" s="719">
        <v>791021.77</v>
      </c>
      <c r="E15" s="719">
        <v>0</v>
      </c>
      <c r="F15" s="745">
        <v>0</v>
      </c>
      <c r="G15" s="745">
        <v>0</v>
      </c>
      <c r="H15" s="719">
        <v>3.5262434783325816E-12</v>
      </c>
      <c r="I15" s="745">
        <v>3.5262434783325816E-12</v>
      </c>
      <c r="J15" s="745">
        <v>0</v>
      </c>
      <c r="K15" s="745">
        <v>0</v>
      </c>
      <c r="L15" s="745">
        <v>0</v>
      </c>
    </row>
    <row r="16" spans="1:12">
      <c r="A16" s="433">
        <v>10</v>
      </c>
      <c r="B16" s="450" t="s">
        <v>437</v>
      </c>
      <c r="C16" s="743">
        <v>14920418.299999997</v>
      </c>
      <c r="D16" s="719">
        <v>14916236.859999998</v>
      </c>
      <c r="E16" s="719">
        <v>0</v>
      </c>
      <c r="F16" s="745">
        <v>4181.4399999999996</v>
      </c>
      <c r="G16" s="745">
        <v>0</v>
      </c>
      <c r="H16" s="719">
        <v>39619.810513587974</v>
      </c>
      <c r="I16" s="745">
        <v>38155.890755311295</v>
      </c>
      <c r="J16" s="745">
        <v>0</v>
      </c>
      <c r="K16" s="745">
        <v>1463.9197582766765</v>
      </c>
      <c r="L16" s="745">
        <v>0</v>
      </c>
    </row>
    <row r="17" spans="1:12">
      <c r="A17" s="433">
        <v>11</v>
      </c>
      <c r="B17" s="450" t="s">
        <v>438</v>
      </c>
      <c r="C17" s="743">
        <v>22607966.41</v>
      </c>
      <c r="D17" s="719">
        <v>22601705.09</v>
      </c>
      <c r="E17" s="719">
        <v>0</v>
      </c>
      <c r="F17" s="745">
        <v>6261.32</v>
      </c>
      <c r="G17" s="745">
        <v>0</v>
      </c>
      <c r="H17" s="719">
        <v>7229.5350123760172</v>
      </c>
      <c r="I17" s="745">
        <v>5125.7043922003977</v>
      </c>
      <c r="J17" s="745">
        <v>0</v>
      </c>
      <c r="K17" s="745">
        <v>2103.8306201756191</v>
      </c>
      <c r="L17" s="745">
        <v>0</v>
      </c>
    </row>
    <row r="18" spans="1:12">
      <c r="A18" s="433">
        <v>12</v>
      </c>
      <c r="B18" s="450" t="s">
        <v>439</v>
      </c>
      <c r="C18" s="743">
        <v>15287995.729999999</v>
      </c>
      <c r="D18" s="719">
        <v>15111307.279999997</v>
      </c>
      <c r="E18" s="719">
        <v>0</v>
      </c>
      <c r="F18" s="745">
        <v>176688.44999999998</v>
      </c>
      <c r="G18" s="745">
        <v>0</v>
      </c>
      <c r="H18" s="719">
        <v>154199.48193766634</v>
      </c>
      <c r="I18" s="745">
        <v>73033.541919577561</v>
      </c>
      <c r="J18" s="745">
        <v>0</v>
      </c>
      <c r="K18" s="745">
        <v>81165.940018088775</v>
      </c>
      <c r="L18" s="745">
        <v>0</v>
      </c>
    </row>
    <row r="19" spans="1:12">
      <c r="A19" s="433">
        <v>13</v>
      </c>
      <c r="B19" s="450" t="s">
        <v>440</v>
      </c>
      <c r="C19" s="743">
        <v>894122.02999999991</v>
      </c>
      <c r="D19" s="719">
        <v>861851.12</v>
      </c>
      <c r="E19" s="719">
        <v>0</v>
      </c>
      <c r="F19" s="745">
        <v>32270.91</v>
      </c>
      <c r="G19" s="745">
        <v>0</v>
      </c>
      <c r="H19" s="719">
        <v>26555.978236704752</v>
      </c>
      <c r="I19" s="745">
        <v>6721.4900270072148</v>
      </c>
      <c r="J19" s="745">
        <v>0</v>
      </c>
      <c r="K19" s="745">
        <v>19834.488209697538</v>
      </c>
      <c r="L19" s="745">
        <v>0</v>
      </c>
    </row>
    <row r="20" spans="1:12">
      <c r="A20" s="433">
        <v>14</v>
      </c>
      <c r="B20" s="450" t="s">
        <v>441</v>
      </c>
      <c r="C20" s="743">
        <v>1891573.62</v>
      </c>
      <c r="D20" s="719">
        <v>1844192.6900000002</v>
      </c>
      <c r="E20" s="719">
        <v>0</v>
      </c>
      <c r="F20" s="745">
        <v>47380.93</v>
      </c>
      <c r="G20" s="745">
        <v>0</v>
      </c>
      <c r="H20" s="719">
        <v>48423.719427107106</v>
      </c>
      <c r="I20" s="745">
        <v>2073.804286234039</v>
      </c>
      <c r="J20" s="745">
        <v>0</v>
      </c>
      <c r="K20" s="745">
        <v>46349.915140873069</v>
      </c>
      <c r="L20" s="745">
        <v>0</v>
      </c>
    </row>
    <row r="21" spans="1:12">
      <c r="A21" s="433">
        <v>15</v>
      </c>
      <c r="B21" s="450" t="s">
        <v>442</v>
      </c>
      <c r="C21" s="743">
        <v>17750.72</v>
      </c>
      <c r="D21" s="719">
        <v>17750.72</v>
      </c>
      <c r="E21" s="719">
        <v>0</v>
      </c>
      <c r="F21" s="745">
        <v>0</v>
      </c>
      <c r="G21" s="745">
        <v>0</v>
      </c>
      <c r="H21" s="719">
        <v>78.206324683973918</v>
      </c>
      <c r="I21" s="745">
        <v>78.206324683973918</v>
      </c>
      <c r="J21" s="745">
        <v>0</v>
      </c>
      <c r="K21" s="745">
        <v>0</v>
      </c>
      <c r="L21" s="745">
        <v>0</v>
      </c>
    </row>
    <row r="22" spans="1:12">
      <c r="A22" s="433">
        <v>16</v>
      </c>
      <c r="B22" s="450" t="s">
        <v>443</v>
      </c>
      <c r="C22" s="743">
        <v>0</v>
      </c>
      <c r="D22" s="719">
        <v>0</v>
      </c>
      <c r="E22" s="719">
        <v>0</v>
      </c>
      <c r="F22" s="745">
        <v>0</v>
      </c>
      <c r="G22" s="745">
        <v>0</v>
      </c>
      <c r="H22" s="719">
        <v>0</v>
      </c>
      <c r="I22" s="745">
        <v>0</v>
      </c>
      <c r="J22" s="745">
        <v>0</v>
      </c>
      <c r="K22" s="745">
        <v>0</v>
      </c>
      <c r="L22" s="745">
        <v>0</v>
      </c>
    </row>
    <row r="23" spans="1:12">
      <c r="A23" s="433">
        <v>17</v>
      </c>
      <c r="B23" s="450" t="s">
        <v>521</v>
      </c>
      <c r="C23" s="743">
        <v>126068.46</v>
      </c>
      <c r="D23" s="719">
        <v>0</v>
      </c>
      <c r="E23" s="719">
        <v>126068.46</v>
      </c>
      <c r="F23" s="745">
        <v>0</v>
      </c>
      <c r="G23" s="745">
        <v>0</v>
      </c>
      <c r="H23" s="719">
        <v>1446.7320991114811</v>
      </c>
      <c r="I23" s="745">
        <v>0</v>
      </c>
      <c r="J23" s="745">
        <v>1446.7320991114811</v>
      </c>
      <c r="K23" s="745">
        <v>0</v>
      </c>
      <c r="L23" s="745">
        <v>0</v>
      </c>
    </row>
    <row r="24" spans="1:12">
      <c r="A24" s="433">
        <v>18</v>
      </c>
      <c r="B24" s="450" t="s">
        <v>444</v>
      </c>
      <c r="C24" s="743">
        <v>43072775.279999994</v>
      </c>
      <c r="D24" s="719">
        <v>43072775.279999994</v>
      </c>
      <c r="E24" s="719">
        <v>0</v>
      </c>
      <c r="F24" s="745">
        <v>0</v>
      </c>
      <c r="G24" s="745">
        <v>0</v>
      </c>
      <c r="H24" s="719">
        <v>310276.59551854595</v>
      </c>
      <c r="I24" s="745">
        <v>310276.59551854595</v>
      </c>
      <c r="J24" s="745">
        <v>0</v>
      </c>
      <c r="K24" s="745">
        <v>0</v>
      </c>
      <c r="L24" s="745">
        <v>0</v>
      </c>
    </row>
    <row r="25" spans="1:12">
      <c r="A25" s="433">
        <v>19</v>
      </c>
      <c r="B25" s="450" t="s">
        <v>445</v>
      </c>
      <c r="C25" s="743">
        <v>15217501.490000002</v>
      </c>
      <c r="D25" s="719">
        <v>15217501.490000002</v>
      </c>
      <c r="E25" s="719">
        <v>0</v>
      </c>
      <c r="F25" s="745">
        <v>0</v>
      </c>
      <c r="G25" s="745">
        <v>0</v>
      </c>
      <c r="H25" s="719">
        <v>129550.93111773214</v>
      </c>
      <c r="I25" s="745">
        <v>129550.93111773214</v>
      </c>
      <c r="J25" s="745">
        <v>0</v>
      </c>
      <c r="K25" s="745">
        <v>0</v>
      </c>
      <c r="L25" s="745">
        <v>0</v>
      </c>
    </row>
    <row r="26" spans="1:12">
      <c r="A26" s="433">
        <v>20</v>
      </c>
      <c r="B26" s="450" t="s">
        <v>520</v>
      </c>
      <c r="C26" s="743">
        <v>13201841.34</v>
      </c>
      <c r="D26" s="719">
        <v>13166389.91</v>
      </c>
      <c r="E26" s="719">
        <v>0</v>
      </c>
      <c r="F26" s="745">
        <v>35451.43</v>
      </c>
      <c r="G26" s="745">
        <v>0</v>
      </c>
      <c r="H26" s="719">
        <v>161426.47644509102</v>
      </c>
      <c r="I26" s="745">
        <v>134641.3095065176</v>
      </c>
      <c r="J26" s="745">
        <v>0</v>
      </c>
      <c r="K26" s="745">
        <v>26785.166938573409</v>
      </c>
      <c r="L26" s="745">
        <v>0</v>
      </c>
    </row>
    <row r="27" spans="1:12">
      <c r="A27" s="433">
        <v>21</v>
      </c>
      <c r="B27" s="450" t="s">
        <v>446</v>
      </c>
      <c r="C27" s="743">
        <v>84395.49</v>
      </c>
      <c r="D27" s="719">
        <v>0</v>
      </c>
      <c r="E27" s="719">
        <v>0</v>
      </c>
      <c r="F27" s="745">
        <v>84395.49</v>
      </c>
      <c r="G27" s="745">
        <v>0</v>
      </c>
      <c r="H27" s="719">
        <v>30257.381237259156</v>
      </c>
      <c r="I27" s="745">
        <v>0</v>
      </c>
      <c r="J27" s="745">
        <v>0</v>
      </c>
      <c r="K27" s="745">
        <v>30257.381237259156</v>
      </c>
      <c r="L27" s="745">
        <v>0</v>
      </c>
    </row>
    <row r="28" spans="1:12">
      <c r="A28" s="433">
        <v>22</v>
      </c>
      <c r="B28" s="450" t="s">
        <v>447</v>
      </c>
      <c r="C28" s="743">
        <v>0</v>
      </c>
      <c r="D28" s="719">
        <v>0</v>
      </c>
      <c r="E28" s="719">
        <v>0</v>
      </c>
      <c r="F28" s="745">
        <v>0</v>
      </c>
      <c r="G28" s="745">
        <v>0</v>
      </c>
      <c r="H28" s="719">
        <v>0</v>
      </c>
      <c r="I28" s="745">
        <v>0</v>
      </c>
      <c r="J28" s="745">
        <v>0</v>
      </c>
      <c r="K28" s="745">
        <v>0</v>
      </c>
      <c r="L28" s="745">
        <v>0</v>
      </c>
    </row>
    <row r="29" spans="1:12">
      <c r="A29" s="433">
        <v>23</v>
      </c>
      <c r="B29" s="450" t="s">
        <v>448</v>
      </c>
      <c r="C29" s="743">
        <v>12852073.289999999</v>
      </c>
      <c r="D29" s="719">
        <v>12112276.809999999</v>
      </c>
      <c r="E29" s="719">
        <v>717094.79</v>
      </c>
      <c r="F29" s="745">
        <v>22701.690000000002</v>
      </c>
      <c r="G29" s="745">
        <v>0</v>
      </c>
      <c r="H29" s="719">
        <v>57441.361152580343</v>
      </c>
      <c r="I29" s="745">
        <v>32455.084306275727</v>
      </c>
      <c r="J29" s="745">
        <v>2669.9453896126165</v>
      </c>
      <c r="K29" s="745">
        <v>22316.331456691991</v>
      </c>
      <c r="L29" s="745">
        <v>0</v>
      </c>
    </row>
    <row r="30" spans="1:12">
      <c r="A30" s="433">
        <v>24</v>
      </c>
      <c r="B30" s="450" t="s">
        <v>519</v>
      </c>
      <c r="C30" s="743">
        <v>7735256.3200000003</v>
      </c>
      <c r="D30" s="719">
        <v>7735256.3200000003</v>
      </c>
      <c r="E30" s="719">
        <v>0</v>
      </c>
      <c r="F30" s="745">
        <v>0</v>
      </c>
      <c r="G30" s="745">
        <v>0</v>
      </c>
      <c r="H30" s="719">
        <v>1216.8215714894623</v>
      </c>
      <c r="I30" s="745">
        <v>1216.8215714894623</v>
      </c>
      <c r="J30" s="745">
        <v>0</v>
      </c>
      <c r="K30" s="745">
        <v>0</v>
      </c>
      <c r="L30" s="745">
        <v>0</v>
      </c>
    </row>
    <row r="31" spans="1:12">
      <c r="A31" s="433">
        <v>25</v>
      </c>
      <c r="B31" s="450" t="s">
        <v>449</v>
      </c>
      <c r="C31" s="743">
        <v>246106.56</v>
      </c>
      <c r="D31" s="719">
        <v>84001.58</v>
      </c>
      <c r="E31" s="719">
        <v>0</v>
      </c>
      <c r="F31" s="745">
        <v>162104.98000000001</v>
      </c>
      <c r="G31" s="745">
        <v>0</v>
      </c>
      <c r="H31" s="719">
        <v>161882.38280479296</v>
      </c>
      <c r="I31" s="745">
        <v>0.20114932832921439</v>
      </c>
      <c r="J31" s="745">
        <v>0</v>
      </c>
      <c r="K31" s="745">
        <v>161882.18165546464</v>
      </c>
      <c r="L31" s="745">
        <v>0</v>
      </c>
    </row>
    <row r="32" spans="1:12">
      <c r="A32" s="433">
        <v>26</v>
      </c>
      <c r="B32" s="450" t="s">
        <v>516</v>
      </c>
      <c r="C32" s="743">
        <v>0</v>
      </c>
      <c r="D32" s="719">
        <v>0</v>
      </c>
      <c r="E32" s="719">
        <v>0</v>
      </c>
      <c r="F32" s="745">
        <v>0</v>
      </c>
      <c r="G32" s="745">
        <v>0</v>
      </c>
      <c r="H32" s="719">
        <v>0</v>
      </c>
      <c r="I32" s="745">
        <v>0</v>
      </c>
      <c r="J32" s="745">
        <v>0</v>
      </c>
      <c r="K32" s="745">
        <v>0</v>
      </c>
      <c r="L32" s="745">
        <v>0</v>
      </c>
    </row>
    <row r="33" spans="1:12">
      <c r="A33" s="433">
        <v>27</v>
      </c>
      <c r="B33" s="516" t="s">
        <v>64</v>
      </c>
      <c r="C33" s="746">
        <f>SUM(C7:C32)</f>
        <v>298376156.76000005</v>
      </c>
      <c r="D33" s="746">
        <f t="shared" ref="D33:L33" si="0">SUM(D7:D32)</f>
        <v>295561768.72000003</v>
      </c>
      <c r="E33" s="746">
        <f t="shared" si="0"/>
        <v>1591212.13</v>
      </c>
      <c r="F33" s="746">
        <f t="shared" si="0"/>
        <v>1223175.9099999999</v>
      </c>
      <c r="G33" s="746">
        <f t="shared" si="0"/>
        <v>0</v>
      </c>
      <c r="H33" s="746">
        <f t="shared" si="0"/>
        <v>2095359.6637807465</v>
      </c>
      <c r="I33" s="746">
        <f t="shared" si="0"/>
        <v>1395091.2589698466</v>
      </c>
      <c r="J33" s="746">
        <f t="shared" si="0"/>
        <v>4369.4307769761326</v>
      </c>
      <c r="K33" s="746">
        <f t="shared" si="0"/>
        <v>695898.97403392405</v>
      </c>
      <c r="L33" s="746">
        <f t="shared" si="0"/>
        <v>0</v>
      </c>
    </row>
    <row r="34" spans="1:12">
      <c r="A34" s="464"/>
      <c r="B34" s="464"/>
      <c r="C34" s="464"/>
      <c r="D34" s="464"/>
      <c r="E34" s="464"/>
      <c r="H34" s="464"/>
    </row>
    <row r="35" spans="1:12">
      <c r="A35" s="464"/>
      <c r="B35" s="515"/>
      <c r="C35" s="515"/>
      <c r="D35" s="464"/>
      <c r="E35" s="464"/>
      <c r="H35" s="464"/>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518" bestFit="1" customWidth="1"/>
    <col min="2" max="2" width="39.140625" style="518" bestFit="1" customWidth="1"/>
    <col min="3" max="3" width="16.140625" style="518" bestFit="1" customWidth="1"/>
    <col min="4" max="4" width="25.28515625" style="518" bestFit="1" customWidth="1"/>
    <col min="5" max="5" width="20.42578125" style="518" bestFit="1" customWidth="1"/>
    <col min="6" max="6" width="25.5703125" style="518" bestFit="1" customWidth="1"/>
    <col min="7" max="7" width="26.7109375" style="518" bestFit="1" customWidth="1"/>
    <col min="8" max="8" width="25.7109375" style="518" bestFit="1" customWidth="1"/>
    <col min="9" max="9" width="24.28515625" style="518" bestFit="1" customWidth="1"/>
    <col min="10" max="10" width="27.5703125" style="518" bestFit="1" customWidth="1"/>
    <col min="11" max="11" width="17" style="518" bestFit="1" customWidth="1"/>
    <col min="12" max="16384" width="8.7109375" style="518"/>
  </cols>
  <sheetData>
    <row r="1" spans="1:11" s="444" customFormat="1" ht="13.5">
      <c r="A1" s="363" t="s">
        <v>30</v>
      </c>
      <c r="B1" s="537" t="str">
        <f>'1. key ratios '!B1</f>
        <v>JSC Isbank Georgia</v>
      </c>
    </row>
    <row r="2" spans="1:11" s="444" customFormat="1" ht="13.5">
      <c r="A2" s="364" t="s">
        <v>31</v>
      </c>
      <c r="B2" s="538">
        <f>'1. key ratios '!B2</f>
        <v>45382</v>
      </c>
    </row>
    <row r="3" spans="1:11" s="444" customFormat="1" ht="12.75">
      <c r="A3" s="365" t="s">
        <v>499</v>
      </c>
    </row>
    <row r="4" spans="1:11">
      <c r="C4" s="522" t="s">
        <v>693</v>
      </c>
      <c r="D4" s="522" t="s">
        <v>692</v>
      </c>
      <c r="E4" s="522" t="s">
        <v>691</v>
      </c>
      <c r="F4" s="522" t="s">
        <v>690</v>
      </c>
      <c r="G4" s="522" t="s">
        <v>689</v>
      </c>
      <c r="H4" s="522" t="s">
        <v>688</v>
      </c>
      <c r="I4" s="522" t="s">
        <v>687</v>
      </c>
      <c r="J4" s="522" t="s">
        <v>686</v>
      </c>
      <c r="K4" s="522" t="s">
        <v>685</v>
      </c>
    </row>
    <row r="5" spans="1:11" ht="104.1" customHeight="1">
      <c r="A5" s="908" t="s">
        <v>684</v>
      </c>
      <c r="B5" s="909"/>
      <c r="C5" s="521" t="s">
        <v>500</v>
      </c>
      <c r="D5" s="521" t="s">
        <v>501</v>
      </c>
      <c r="E5" s="521" t="s">
        <v>502</v>
      </c>
      <c r="F5" s="521" t="s">
        <v>503</v>
      </c>
      <c r="G5" s="521" t="s">
        <v>504</v>
      </c>
      <c r="H5" s="521" t="s">
        <v>505</v>
      </c>
      <c r="I5" s="521" t="s">
        <v>506</v>
      </c>
      <c r="J5" s="521" t="s">
        <v>507</v>
      </c>
      <c r="K5" s="521" t="s">
        <v>508</v>
      </c>
    </row>
    <row r="6" spans="1:11" ht="12.75">
      <c r="A6" s="432">
        <v>1</v>
      </c>
      <c r="B6" s="432" t="s">
        <v>468</v>
      </c>
      <c r="C6" s="719">
        <v>6124299.25</v>
      </c>
      <c r="D6" s="719">
        <v>0</v>
      </c>
      <c r="E6" s="719">
        <v>0</v>
      </c>
      <c r="F6" s="719">
        <v>0</v>
      </c>
      <c r="G6" s="719">
        <v>97650981.459763899</v>
      </c>
      <c r="H6" s="719">
        <v>0</v>
      </c>
      <c r="I6" s="719">
        <v>13630919.476727299</v>
      </c>
      <c r="J6" s="719">
        <v>83693892.191591635</v>
      </c>
      <c r="K6" s="719">
        <v>95314976.221917167</v>
      </c>
    </row>
    <row r="7" spans="1:11" ht="12.75">
      <c r="A7" s="432">
        <v>2</v>
      </c>
      <c r="B7" s="433" t="s">
        <v>509</v>
      </c>
      <c r="C7" s="719">
        <v>0</v>
      </c>
      <c r="D7" s="719">
        <v>0</v>
      </c>
      <c r="E7" s="719">
        <v>0</v>
      </c>
      <c r="F7" s="719">
        <v>0</v>
      </c>
      <c r="G7" s="719">
        <v>0</v>
      </c>
      <c r="H7" s="719">
        <v>0</v>
      </c>
      <c r="I7" s="719">
        <v>0</v>
      </c>
      <c r="J7" s="719">
        <v>0</v>
      </c>
      <c r="K7" s="719">
        <v>57843811.588317499</v>
      </c>
    </row>
    <row r="8" spans="1:11" ht="12.75">
      <c r="A8" s="432">
        <v>3</v>
      </c>
      <c r="B8" s="433" t="s">
        <v>476</v>
      </c>
      <c r="C8" s="719">
        <v>3822283.3266500002</v>
      </c>
      <c r="D8" s="719"/>
      <c r="E8" s="719">
        <v>0</v>
      </c>
      <c r="F8" s="719">
        <v>0</v>
      </c>
      <c r="G8" s="719">
        <v>16404686.110000001</v>
      </c>
      <c r="H8" s="719">
        <v>0</v>
      </c>
      <c r="I8" s="719">
        <v>0</v>
      </c>
      <c r="J8" s="719">
        <v>9298718.6000000015</v>
      </c>
      <c r="K8" s="719">
        <v>90816858.063349977</v>
      </c>
    </row>
    <row r="9" spans="1:11" ht="12.75">
      <c r="A9" s="432">
        <v>4</v>
      </c>
      <c r="B9" s="466" t="s">
        <v>510</v>
      </c>
      <c r="C9" s="747">
        <v>0</v>
      </c>
      <c r="D9" s="747"/>
      <c r="E9" s="747">
        <v>0</v>
      </c>
      <c r="F9" s="747">
        <v>0</v>
      </c>
      <c r="G9" s="747">
        <v>641516.90999999992</v>
      </c>
      <c r="H9" s="747">
        <v>0</v>
      </c>
      <c r="I9" s="747">
        <v>0</v>
      </c>
      <c r="J9" s="747">
        <v>175808.08</v>
      </c>
      <c r="K9" s="747">
        <v>374731.77</v>
      </c>
    </row>
    <row r="10" spans="1:11" ht="12.75">
      <c r="A10" s="432">
        <v>5</v>
      </c>
      <c r="B10" s="454" t="s">
        <v>511</v>
      </c>
      <c r="C10" s="747"/>
      <c r="D10" s="747"/>
      <c r="E10" s="747"/>
      <c r="F10" s="747"/>
      <c r="G10" s="747"/>
      <c r="H10" s="747"/>
      <c r="I10" s="747"/>
      <c r="J10" s="747"/>
      <c r="K10" s="747"/>
    </row>
    <row r="11" spans="1:11" ht="12.75">
      <c r="A11" s="432">
        <v>6</v>
      </c>
      <c r="B11" s="454" t="s">
        <v>512</v>
      </c>
      <c r="C11" s="747"/>
      <c r="D11" s="747"/>
      <c r="E11" s="747"/>
      <c r="F11" s="747"/>
      <c r="G11" s="747"/>
      <c r="H11" s="747"/>
      <c r="I11" s="747"/>
      <c r="J11" s="747"/>
      <c r="K11" s="747"/>
    </row>
    <row r="13" spans="1:11" ht="15">
      <c r="B13" s="519"/>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23" bestFit="1" customWidth="1"/>
    <col min="2" max="2" width="71.7109375" style="523" customWidth="1"/>
    <col min="3" max="4" width="9" style="523" bestFit="1" customWidth="1"/>
    <col min="5" max="6" width="7.7109375" style="523" bestFit="1" customWidth="1"/>
    <col min="7" max="7" width="4.85546875" style="523" bestFit="1" customWidth="1"/>
    <col min="8" max="9" width="9" style="523" bestFit="1" customWidth="1"/>
    <col min="10" max="11" width="7.7109375" style="523" bestFit="1" customWidth="1"/>
    <col min="12" max="12" width="4.85546875" style="523" bestFit="1" customWidth="1"/>
    <col min="13" max="14" width="7.7109375" style="523" bestFit="1" customWidth="1"/>
    <col min="15" max="15" width="7.140625" style="523" bestFit="1" customWidth="1"/>
    <col min="16" max="16" width="7.7109375" style="523" bestFit="1" customWidth="1"/>
    <col min="17" max="17" width="4.85546875" style="523" bestFit="1" customWidth="1"/>
    <col min="18" max="18" width="9.5703125" style="523" bestFit="1" customWidth="1"/>
    <col min="19" max="19" width="25.5703125" style="523" bestFit="1" customWidth="1"/>
    <col min="20" max="20" width="29.28515625" style="523" bestFit="1" customWidth="1"/>
    <col min="21" max="21" width="28.7109375" style="523" bestFit="1" customWidth="1"/>
    <col min="22" max="22" width="23.7109375" style="523" customWidth="1"/>
    <col min="23" max="16384" width="8.7109375" style="523"/>
  </cols>
  <sheetData>
    <row r="1" spans="1:22">
      <c r="A1" s="363" t="s">
        <v>30</v>
      </c>
      <c r="B1" s="537" t="str">
        <f>'1. key ratios '!B1</f>
        <v>JSC Isbank Georgia</v>
      </c>
    </row>
    <row r="2" spans="1:22">
      <c r="A2" s="364" t="s">
        <v>31</v>
      </c>
      <c r="B2" s="538">
        <f>'1. key ratios '!B2</f>
        <v>45382</v>
      </c>
    </row>
    <row r="3" spans="1:22">
      <c r="A3" s="365" t="s">
        <v>527</v>
      </c>
      <c r="B3" s="444"/>
    </row>
    <row r="4" spans="1:22">
      <c r="A4" s="365"/>
      <c r="B4" s="444"/>
    </row>
    <row r="5" spans="1:22" ht="24" customHeight="1">
      <c r="A5" s="910" t="s">
        <v>528</v>
      </c>
      <c r="B5" s="911"/>
      <c r="C5" s="915" t="s">
        <v>694</v>
      </c>
      <c r="D5" s="915"/>
      <c r="E5" s="915"/>
      <c r="F5" s="915"/>
      <c r="G5" s="915"/>
      <c r="H5" s="915" t="s">
        <v>546</v>
      </c>
      <c r="I5" s="915"/>
      <c r="J5" s="915"/>
      <c r="K5" s="915"/>
      <c r="L5" s="915"/>
      <c r="M5" s="915" t="s">
        <v>658</v>
      </c>
      <c r="N5" s="915"/>
      <c r="O5" s="915"/>
      <c r="P5" s="915"/>
      <c r="Q5" s="915"/>
      <c r="R5" s="914" t="s">
        <v>529</v>
      </c>
      <c r="S5" s="914" t="s">
        <v>543</v>
      </c>
      <c r="T5" s="914" t="s">
        <v>544</v>
      </c>
      <c r="U5" s="914" t="s">
        <v>704</v>
      </c>
      <c r="V5" s="914" t="s">
        <v>705</v>
      </c>
    </row>
    <row r="6" spans="1:22" ht="36" customHeight="1">
      <c r="A6" s="912"/>
      <c r="B6" s="913"/>
      <c r="C6" s="533"/>
      <c r="D6" s="442" t="s">
        <v>679</v>
      </c>
      <c r="E6" s="442" t="s">
        <v>678</v>
      </c>
      <c r="F6" s="442" t="s">
        <v>677</v>
      </c>
      <c r="G6" s="442" t="s">
        <v>676</v>
      </c>
      <c r="H6" s="533"/>
      <c r="I6" s="442" t="s">
        <v>679</v>
      </c>
      <c r="J6" s="442" t="s">
        <v>678</v>
      </c>
      <c r="K6" s="442" t="s">
        <v>677</v>
      </c>
      <c r="L6" s="442" t="s">
        <v>676</v>
      </c>
      <c r="M6" s="533"/>
      <c r="N6" s="442" t="s">
        <v>679</v>
      </c>
      <c r="O6" s="442" t="s">
        <v>678</v>
      </c>
      <c r="P6" s="442" t="s">
        <v>677</v>
      </c>
      <c r="Q6" s="442" t="s">
        <v>676</v>
      </c>
      <c r="R6" s="914"/>
      <c r="S6" s="914"/>
      <c r="T6" s="914"/>
      <c r="U6" s="914"/>
      <c r="V6" s="914"/>
    </row>
    <row r="7" spans="1:22">
      <c r="A7" s="531">
        <v>1</v>
      </c>
      <c r="B7" s="532" t="s">
        <v>537</v>
      </c>
      <c r="C7" s="747">
        <v>94424.4</v>
      </c>
      <c r="D7" s="747">
        <v>94424.4</v>
      </c>
      <c r="E7" s="747">
        <v>0</v>
      </c>
      <c r="F7" s="747">
        <v>0</v>
      </c>
      <c r="G7" s="747">
        <v>0</v>
      </c>
      <c r="H7" s="747">
        <v>95433.31</v>
      </c>
      <c r="I7" s="747">
        <v>95433.31</v>
      </c>
      <c r="J7" s="747">
        <v>0</v>
      </c>
      <c r="K7" s="747">
        <v>0</v>
      </c>
      <c r="L7" s="747">
        <v>0</v>
      </c>
      <c r="M7" s="747">
        <v>604.81287620768171</v>
      </c>
      <c r="N7" s="747">
        <v>604.81287620768171</v>
      </c>
      <c r="O7" s="747">
        <v>0</v>
      </c>
      <c r="P7" s="747">
        <v>0</v>
      </c>
      <c r="Q7" s="747">
        <v>0</v>
      </c>
      <c r="R7" s="747">
        <v>1</v>
      </c>
      <c r="S7" s="750">
        <v>0.12821917999999999</v>
      </c>
      <c r="T7" s="750">
        <v>0.22609999999999997</v>
      </c>
      <c r="U7" s="750">
        <v>0.12821917999999999</v>
      </c>
      <c r="V7" s="747">
        <v>53.56666666666667</v>
      </c>
    </row>
    <row r="8" spans="1:22">
      <c r="A8" s="531">
        <v>2</v>
      </c>
      <c r="B8" s="530" t="s">
        <v>536</v>
      </c>
      <c r="C8" s="747">
        <v>4274136.22</v>
      </c>
      <c r="D8" s="747">
        <v>4122195.43</v>
      </c>
      <c r="E8" s="747">
        <v>0</v>
      </c>
      <c r="F8" s="747">
        <v>151940.79</v>
      </c>
      <c r="G8" s="747">
        <v>0</v>
      </c>
      <c r="H8" s="747">
        <v>4307770.01</v>
      </c>
      <c r="I8" s="747">
        <v>4143151.1100000003</v>
      </c>
      <c r="J8" s="747">
        <v>0</v>
      </c>
      <c r="K8" s="747">
        <v>164618.9</v>
      </c>
      <c r="L8" s="747">
        <v>0</v>
      </c>
      <c r="M8" s="747">
        <v>149114.32504715939</v>
      </c>
      <c r="N8" s="747">
        <v>16965.668378519309</v>
      </c>
      <c r="O8" s="747">
        <v>0</v>
      </c>
      <c r="P8" s="747">
        <v>132148.65666864012</v>
      </c>
      <c r="Q8" s="747">
        <v>0</v>
      </c>
      <c r="R8" s="747">
        <v>106</v>
      </c>
      <c r="S8" s="750">
        <v>0.12342348840404864</v>
      </c>
      <c r="T8" s="750">
        <v>0.13438455094659596</v>
      </c>
      <c r="U8" s="750">
        <v>0.12196084823841462</v>
      </c>
      <c r="V8" s="747">
        <v>30.578089500775604</v>
      </c>
    </row>
    <row r="9" spans="1:22">
      <c r="A9" s="531">
        <v>3</v>
      </c>
      <c r="B9" s="530" t="s">
        <v>535</v>
      </c>
      <c r="C9" s="747">
        <v>0</v>
      </c>
      <c r="D9" s="747">
        <v>0</v>
      </c>
      <c r="E9" s="747">
        <v>0</v>
      </c>
      <c r="F9" s="747">
        <v>0</v>
      </c>
      <c r="G9" s="747">
        <v>0</v>
      </c>
      <c r="H9" s="747">
        <v>0</v>
      </c>
      <c r="I9" s="747">
        <v>0</v>
      </c>
      <c r="J9" s="747">
        <v>0</v>
      </c>
      <c r="K9" s="747">
        <v>0</v>
      </c>
      <c r="L9" s="747">
        <v>0</v>
      </c>
      <c r="M9" s="747">
        <v>0</v>
      </c>
      <c r="N9" s="747">
        <v>0</v>
      </c>
      <c r="O9" s="747">
        <v>0</v>
      </c>
      <c r="P9" s="747">
        <v>0</v>
      </c>
      <c r="Q9" s="747">
        <v>0</v>
      </c>
      <c r="R9" s="747"/>
      <c r="S9" s="750"/>
      <c r="T9" s="750"/>
      <c r="U9" s="750"/>
      <c r="V9" s="747"/>
    </row>
    <row r="10" spans="1:22">
      <c r="A10" s="531">
        <v>4</v>
      </c>
      <c r="B10" s="530" t="s">
        <v>534</v>
      </c>
      <c r="C10" s="747">
        <v>0</v>
      </c>
      <c r="D10" s="747">
        <v>0</v>
      </c>
      <c r="E10" s="747">
        <v>0</v>
      </c>
      <c r="F10" s="747">
        <v>0</v>
      </c>
      <c r="G10" s="747">
        <v>0</v>
      </c>
      <c r="H10" s="747">
        <v>0</v>
      </c>
      <c r="I10" s="747">
        <v>0</v>
      </c>
      <c r="J10" s="747">
        <v>0</v>
      </c>
      <c r="K10" s="747">
        <v>0</v>
      </c>
      <c r="L10" s="747">
        <v>0</v>
      </c>
      <c r="M10" s="747">
        <v>0</v>
      </c>
      <c r="N10" s="747">
        <v>0</v>
      </c>
      <c r="O10" s="747">
        <v>0</v>
      </c>
      <c r="P10" s="747">
        <v>0</v>
      </c>
      <c r="Q10" s="747">
        <v>0</v>
      </c>
      <c r="R10" s="747"/>
      <c r="S10" s="750"/>
      <c r="T10" s="750"/>
      <c r="U10" s="750"/>
      <c r="V10" s="747"/>
    </row>
    <row r="11" spans="1:22">
      <c r="A11" s="531">
        <v>5</v>
      </c>
      <c r="B11" s="530" t="s">
        <v>533</v>
      </c>
      <c r="C11" s="747">
        <v>40109.180000000008</v>
      </c>
      <c r="D11" s="747">
        <v>28586.049999999996</v>
      </c>
      <c r="E11" s="747">
        <v>0</v>
      </c>
      <c r="F11" s="747">
        <v>11523.130000000001</v>
      </c>
      <c r="G11" s="747">
        <v>0</v>
      </c>
      <c r="H11" s="747">
        <v>40515.270000000004</v>
      </c>
      <c r="I11" s="747">
        <v>28907.989999999994</v>
      </c>
      <c r="J11" s="747">
        <v>0</v>
      </c>
      <c r="K11" s="747">
        <v>11607.28</v>
      </c>
      <c r="L11" s="747">
        <v>0</v>
      </c>
      <c r="M11" s="747">
        <v>5400.2037694113615</v>
      </c>
      <c r="N11" s="747">
        <v>163.27955413019208</v>
      </c>
      <c r="O11" s="747">
        <v>0</v>
      </c>
      <c r="P11" s="747">
        <v>5236.9242152811694</v>
      </c>
      <c r="Q11" s="747">
        <v>0</v>
      </c>
      <c r="R11" s="747">
        <v>28</v>
      </c>
      <c r="S11" s="750"/>
      <c r="T11" s="750" t="s">
        <v>733</v>
      </c>
      <c r="U11" s="750">
        <v>0.12033215588052409</v>
      </c>
      <c r="V11" s="747">
        <v>0</v>
      </c>
    </row>
    <row r="12" spans="1:22">
      <c r="A12" s="531">
        <v>6</v>
      </c>
      <c r="B12" s="530" t="s">
        <v>532</v>
      </c>
      <c r="C12" s="747">
        <v>0</v>
      </c>
      <c r="D12" s="747">
        <v>0</v>
      </c>
      <c r="E12" s="747">
        <v>0</v>
      </c>
      <c r="F12" s="747">
        <v>0</v>
      </c>
      <c r="G12" s="747">
        <v>0</v>
      </c>
      <c r="H12" s="747">
        <v>0</v>
      </c>
      <c r="I12" s="747">
        <v>0</v>
      </c>
      <c r="J12" s="747">
        <v>0</v>
      </c>
      <c r="K12" s="747">
        <v>0</v>
      </c>
      <c r="L12" s="747">
        <v>0</v>
      </c>
      <c r="M12" s="747">
        <v>0</v>
      </c>
      <c r="N12" s="747">
        <v>0</v>
      </c>
      <c r="O12" s="747">
        <v>0</v>
      </c>
      <c r="P12" s="747">
        <v>0</v>
      </c>
      <c r="Q12" s="747">
        <v>0</v>
      </c>
      <c r="R12" s="747"/>
      <c r="S12" s="750"/>
      <c r="T12" s="750"/>
      <c r="U12" s="750"/>
      <c r="V12" s="747"/>
    </row>
    <row r="13" spans="1:22">
      <c r="A13" s="531">
        <v>7</v>
      </c>
      <c r="B13" s="530" t="s">
        <v>531</v>
      </c>
      <c r="C13" s="749">
        <f>SUM(C14:C16)</f>
        <v>2503924.0500000003</v>
      </c>
      <c r="D13" s="749">
        <f t="shared" ref="D13:R13" si="0">SUM(D14:D16)</f>
        <v>1897407.52</v>
      </c>
      <c r="E13" s="749">
        <f t="shared" si="0"/>
        <v>0</v>
      </c>
      <c r="F13" s="749">
        <f t="shared" si="0"/>
        <v>606516.53</v>
      </c>
      <c r="G13" s="749">
        <f t="shared" si="0"/>
        <v>0</v>
      </c>
      <c r="H13" s="749">
        <f t="shared" si="0"/>
        <v>2533484.2399999998</v>
      </c>
      <c r="I13" s="749">
        <f t="shared" si="0"/>
        <v>1908969.1099999999</v>
      </c>
      <c r="J13" s="749">
        <f t="shared" si="0"/>
        <v>0</v>
      </c>
      <c r="K13" s="749">
        <f t="shared" si="0"/>
        <v>624515.13</v>
      </c>
      <c r="L13" s="749">
        <f t="shared" si="0"/>
        <v>0</v>
      </c>
      <c r="M13" s="749">
        <f t="shared" si="0"/>
        <v>175003.67085797264</v>
      </c>
      <c r="N13" s="749">
        <f t="shared" si="0"/>
        <v>7301.1877079699698</v>
      </c>
      <c r="O13" s="749">
        <f t="shared" si="0"/>
        <v>0</v>
      </c>
      <c r="P13" s="749">
        <f t="shared" si="0"/>
        <v>167702.48315000269</v>
      </c>
      <c r="Q13" s="749">
        <f t="shared" si="0"/>
        <v>0</v>
      </c>
      <c r="R13" s="749">
        <f t="shared" si="0"/>
        <v>18</v>
      </c>
      <c r="S13" s="750"/>
      <c r="T13" s="750"/>
      <c r="U13" s="750">
        <v>0.11884467387889985</v>
      </c>
      <c r="V13" s="747">
        <v>76.577873299311946</v>
      </c>
    </row>
    <row r="14" spans="1:22">
      <c r="A14" s="525">
        <v>7.1</v>
      </c>
      <c r="B14" s="524" t="s">
        <v>540</v>
      </c>
      <c r="C14" s="747">
        <v>2113122.89</v>
      </c>
      <c r="D14" s="747">
        <v>1560710.49</v>
      </c>
      <c r="E14" s="747">
        <v>0</v>
      </c>
      <c r="F14" s="747">
        <v>552412.4</v>
      </c>
      <c r="G14" s="747">
        <v>0</v>
      </c>
      <c r="H14" s="747">
        <v>2141345.15</v>
      </c>
      <c r="I14" s="747">
        <v>1570934.15</v>
      </c>
      <c r="J14" s="747">
        <v>0</v>
      </c>
      <c r="K14" s="747">
        <v>570411</v>
      </c>
      <c r="L14" s="747">
        <v>0</v>
      </c>
      <c r="M14" s="747">
        <v>119445.02911971213</v>
      </c>
      <c r="N14" s="747">
        <v>5846.6759697094312</v>
      </c>
      <c r="O14" s="747">
        <v>0</v>
      </c>
      <c r="P14" s="747">
        <v>113598.35315000269</v>
      </c>
      <c r="Q14" s="747">
        <v>0</v>
      </c>
      <c r="R14" s="747">
        <v>13</v>
      </c>
      <c r="S14" s="750">
        <v>0.12290368146470333</v>
      </c>
      <c r="T14" s="750">
        <v>0.14006418414673716</v>
      </c>
      <c r="U14" s="750">
        <v>0.11892332203778527</v>
      </c>
      <c r="V14" s="747">
        <v>72.564126857446183</v>
      </c>
    </row>
    <row r="15" spans="1:22">
      <c r="A15" s="525">
        <v>7.2</v>
      </c>
      <c r="B15" s="524" t="s">
        <v>542</v>
      </c>
      <c r="C15" s="747">
        <v>390801.16000000003</v>
      </c>
      <c r="D15" s="747">
        <v>336697.03</v>
      </c>
      <c r="E15" s="747">
        <v>0</v>
      </c>
      <c r="F15" s="747">
        <v>54104.13</v>
      </c>
      <c r="G15" s="747">
        <v>0</v>
      </c>
      <c r="H15" s="747">
        <v>392139.09</v>
      </c>
      <c r="I15" s="747">
        <v>338034.96</v>
      </c>
      <c r="J15" s="747">
        <v>0</v>
      </c>
      <c r="K15" s="747">
        <v>54104.13</v>
      </c>
      <c r="L15" s="747">
        <v>0</v>
      </c>
      <c r="M15" s="747">
        <v>55558.641738260529</v>
      </c>
      <c r="N15" s="747">
        <v>1454.5117382605381</v>
      </c>
      <c r="O15" s="747">
        <v>0</v>
      </c>
      <c r="P15" s="747">
        <v>54104.13</v>
      </c>
      <c r="Q15" s="747">
        <v>0</v>
      </c>
      <c r="R15" s="747">
        <v>5</v>
      </c>
      <c r="S15" s="750">
        <v>0.1233863</v>
      </c>
      <c r="T15" s="750">
        <v>0.16420000000000001</v>
      </c>
      <c r="U15" s="750">
        <v>0.11841941100404765</v>
      </c>
      <c r="V15" s="747">
        <v>98.280826998227596</v>
      </c>
    </row>
    <row r="16" spans="1:22">
      <c r="A16" s="525">
        <v>7.3</v>
      </c>
      <c r="B16" s="524" t="s">
        <v>539</v>
      </c>
      <c r="C16" s="747">
        <v>0</v>
      </c>
      <c r="D16" s="747">
        <v>0</v>
      </c>
      <c r="E16" s="747">
        <v>0</v>
      </c>
      <c r="F16" s="747">
        <v>0</v>
      </c>
      <c r="G16" s="747">
        <v>0</v>
      </c>
      <c r="H16" s="747">
        <v>0</v>
      </c>
      <c r="I16" s="747">
        <v>0</v>
      </c>
      <c r="J16" s="747">
        <v>0</v>
      </c>
      <c r="K16" s="747">
        <v>0</v>
      </c>
      <c r="L16" s="747">
        <v>0</v>
      </c>
      <c r="M16" s="747">
        <v>0</v>
      </c>
      <c r="N16" s="747">
        <v>0</v>
      </c>
      <c r="O16" s="747">
        <v>0</v>
      </c>
      <c r="P16" s="747">
        <v>0</v>
      </c>
      <c r="Q16" s="747">
        <v>0</v>
      </c>
      <c r="R16" s="747"/>
      <c r="S16" s="750"/>
      <c r="T16" s="750"/>
      <c r="U16" s="750"/>
      <c r="V16" s="747"/>
    </row>
    <row r="17" spans="1:22">
      <c r="A17" s="531">
        <v>8</v>
      </c>
      <c r="B17" s="530" t="s">
        <v>538</v>
      </c>
      <c r="C17" s="747">
        <v>0</v>
      </c>
      <c r="D17" s="747">
        <v>0</v>
      </c>
      <c r="E17" s="747">
        <v>0</v>
      </c>
      <c r="F17" s="747">
        <v>0</v>
      </c>
      <c r="G17" s="747">
        <v>0</v>
      </c>
      <c r="H17" s="747">
        <v>0</v>
      </c>
      <c r="I17" s="747">
        <v>0</v>
      </c>
      <c r="J17" s="747">
        <v>0</v>
      </c>
      <c r="K17" s="747">
        <v>0</v>
      </c>
      <c r="L17" s="747">
        <v>0</v>
      </c>
      <c r="M17" s="747">
        <v>0</v>
      </c>
      <c r="N17" s="747">
        <v>0</v>
      </c>
      <c r="O17" s="747">
        <v>0</v>
      </c>
      <c r="P17" s="747">
        <v>0</v>
      </c>
      <c r="Q17" s="747">
        <v>0</v>
      </c>
      <c r="R17" s="747"/>
      <c r="S17" s="750"/>
      <c r="T17" s="750"/>
      <c r="U17" s="750"/>
      <c r="V17" s="747"/>
    </row>
    <row r="18" spans="1:22">
      <c r="A18" s="529">
        <v>9</v>
      </c>
      <c r="B18" s="528" t="s">
        <v>530</v>
      </c>
      <c r="C18" s="748">
        <v>0</v>
      </c>
      <c r="D18" s="748">
        <v>0</v>
      </c>
      <c r="E18" s="748">
        <v>0</v>
      </c>
      <c r="F18" s="748">
        <v>0</v>
      </c>
      <c r="G18" s="748">
        <v>0</v>
      </c>
      <c r="H18" s="748">
        <v>0</v>
      </c>
      <c r="I18" s="748">
        <v>0</v>
      </c>
      <c r="J18" s="748">
        <v>0</v>
      </c>
      <c r="K18" s="748">
        <v>0</v>
      </c>
      <c r="L18" s="748">
        <v>0</v>
      </c>
      <c r="M18" s="748">
        <v>0</v>
      </c>
      <c r="N18" s="748">
        <v>0</v>
      </c>
      <c r="O18" s="748">
        <v>0</v>
      </c>
      <c r="P18" s="748">
        <v>0</v>
      </c>
      <c r="Q18" s="748">
        <v>0</v>
      </c>
      <c r="R18" s="748"/>
      <c r="S18" s="751"/>
      <c r="T18" s="751"/>
      <c r="U18" s="751"/>
      <c r="V18" s="748"/>
    </row>
    <row r="19" spans="1:22">
      <c r="A19" s="527">
        <v>10</v>
      </c>
      <c r="B19" s="526" t="s">
        <v>541</v>
      </c>
      <c r="C19" s="749">
        <f>SUM(C7:C13)</f>
        <v>6912593.8499999996</v>
      </c>
      <c r="D19" s="749">
        <f t="shared" ref="D19:R19" si="1">SUM(D7:D13)</f>
        <v>6142613.4000000004</v>
      </c>
      <c r="E19" s="749">
        <f>SUM(E7:E13)</f>
        <v>0</v>
      </c>
      <c r="F19" s="749">
        <f t="shared" si="1"/>
        <v>769980.45000000007</v>
      </c>
      <c r="G19" s="749">
        <f t="shared" si="1"/>
        <v>0</v>
      </c>
      <c r="H19" s="749">
        <f t="shared" si="1"/>
        <v>6977202.8299999982</v>
      </c>
      <c r="I19" s="749">
        <f t="shared" si="1"/>
        <v>6176461.5199999996</v>
      </c>
      <c r="J19" s="749">
        <f>SUM(J7:J13)</f>
        <v>0</v>
      </c>
      <c r="K19" s="749">
        <f t="shared" si="1"/>
        <v>800741.31</v>
      </c>
      <c r="L19" s="749">
        <f t="shared" si="1"/>
        <v>0</v>
      </c>
      <c r="M19" s="749">
        <f t="shared" si="1"/>
        <v>330123.0125507511</v>
      </c>
      <c r="N19" s="749">
        <f t="shared" si="1"/>
        <v>25034.948516827153</v>
      </c>
      <c r="O19" s="749">
        <f t="shared" si="1"/>
        <v>0</v>
      </c>
      <c r="P19" s="749">
        <f t="shared" si="1"/>
        <v>305088.06403392402</v>
      </c>
      <c r="Q19" s="749">
        <f t="shared" si="1"/>
        <v>0</v>
      </c>
      <c r="R19" s="749">
        <f t="shared" si="1"/>
        <v>153</v>
      </c>
      <c r="S19" s="750">
        <v>0.12532872538189146</v>
      </c>
      <c r="T19" s="750">
        <v>0.14144920184095558</v>
      </c>
      <c r="U19" s="750">
        <v>0.12090812470596816</v>
      </c>
      <c r="V19" s="747">
        <v>47.377020260732721</v>
      </c>
    </row>
    <row r="20" spans="1:22" ht="25.5">
      <c r="A20" s="525">
        <v>10.1</v>
      </c>
      <c r="B20" s="524" t="s">
        <v>545</v>
      </c>
      <c r="C20" s="520"/>
      <c r="D20" s="520"/>
      <c r="E20" s="520"/>
      <c r="F20" s="520"/>
      <c r="G20" s="520"/>
      <c r="H20" s="520"/>
      <c r="I20" s="520"/>
      <c r="J20" s="520"/>
      <c r="K20" s="520"/>
      <c r="L20" s="520"/>
      <c r="M20" s="520"/>
      <c r="N20" s="520"/>
      <c r="O20" s="520"/>
      <c r="P20" s="520"/>
      <c r="Q20" s="520"/>
      <c r="R20" s="520"/>
      <c r="S20" s="750"/>
      <c r="T20" s="750"/>
      <c r="U20" s="750"/>
      <c r="V20" s="52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Normal="100" workbookViewId="0">
      <selection activeCell="B4" sqref="B4:B5"/>
    </sheetView>
  </sheetViews>
  <sheetFormatPr defaultRowHeight="15"/>
  <cols>
    <col min="1" max="1" width="8.7109375" style="388"/>
    <col min="2" max="2" width="69.28515625" style="389" customWidth="1"/>
    <col min="3" max="3" width="13.5703125" customWidth="1"/>
    <col min="4" max="4" width="14.42578125" customWidth="1"/>
    <col min="5" max="8" width="13.140625"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45382</v>
      </c>
      <c r="C2" s="6"/>
      <c r="D2" s="7"/>
      <c r="E2" s="7"/>
      <c r="F2" s="7"/>
      <c r="G2" s="7"/>
      <c r="H2" s="8"/>
    </row>
    <row r="3" spans="1:8" s="5" customFormat="1" thickBot="1">
      <c r="A3" s="2"/>
      <c r="B3" s="6"/>
      <c r="C3" s="6"/>
      <c r="D3" s="7"/>
      <c r="E3" s="7"/>
      <c r="F3" s="7"/>
      <c r="G3" s="7"/>
      <c r="H3" s="8"/>
    </row>
    <row r="4" spans="1:8" ht="21" customHeight="1">
      <c r="A4" s="799" t="s">
        <v>6</v>
      </c>
      <c r="B4" s="801" t="s">
        <v>552</v>
      </c>
      <c r="C4" s="803" t="s">
        <v>553</v>
      </c>
      <c r="D4" s="804"/>
      <c r="E4" s="804"/>
      <c r="F4" s="804" t="s">
        <v>554</v>
      </c>
      <c r="G4" s="804"/>
      <c r="H4" s="805"/>
    </row>
    <row r="5" spans="1:8" ht="21" customHeight="1">
      <c r="A5" s="800"/>
      <c r="B5" s="802"/>
      <c r="C5" s="587" t="s">
        <v>32</v>
      </c>
      <c r="D5" s="552" t="s">
        <v>33</v>
      </c>
      <c r="E5" s="552" t="s">
        <v>34</v>
      </c>
      <c r="F5" s="552" t="s">
        <v>32</v>
      </c>
      <c r="G5" s="552" t="s">
        <v>33</v>
      </c>
      <c r="H5" s="553" t="s">
        <v>34</v>
      </c>
    </row>
    <row r="6" spans="1:8" ht="26.45" customHeight="1">
      <c r="A6" s="800"/>
      <c r="B6" s="563" t="s">
        <v>555</v>
      </c>
      <c r="C6" s="806"/>
      <c r="D6" s="807"/>
      <c r="E6" s="807"/>
      <c r="F6" s="807"/>
      <c r="G6" s="807"/>
      <c r="H6" s="808"/>
    </row>
    <row r="7" spans="1:8" ht="23.1" customHeight="1">
      <c r="A7" s="554">
        <v>1</v>
      </c>
      <c r="B7" s="564" t="s">
        <v>556</v>
      </c>
      <c r="C7" s="589">
        <f>SUM(C8:C10)</f>
        <v>15096870.609973766</v>
      </c>
      <c r="D7" s="551">
        <f>SUM(D8:D10)</f>
        <v>88842572.207100675</v>
      </c>
      <c r="E7" s="550">
        <f>C7+D7</f>
        <v>103939442.81707445</v>
      </c>
      <c r="F7" s="782">
        <f>SUM(F8:F10)</f>
        <v>3520195.4863833678</v>
      </c>
      <c r="G7" s="551">
        <f>SUM(G8:G10)</f>
        <v>115893830.75512892</v>
      </c>
      <c r="H7" s="786">
        <f>F7+G7</f>
        <v>119414026.24151228</v>
      </c>
    </row>
    <row r="8" spans="1:8">
      <c r="A8" s="554">
        <v>1.1000000000000001</v>
      </c>
      <c r="B8" s="565" t="s">
        <v>557</v>
      </c>
      <c r="C8" s="588">
        <v>331930.2</v>
      </c>
      <c r="D8" s="549">
        <v>1340503.7000000002</v>
      </c>
      <c r="E8" s="550">
        <f t="shared" ref="E8:E36" si="0">C8+D8</f>
        <v>1672433.9000000001</v>
      </c>
      <c r="F8" s="783">
        <v>239701.2</v>
      </c>
      <c r="G8" s="549">
        <v>2641053.62</v>
      </c>
      <c r="H8" s="786">
        <f t="shared" ref="H8:H36" si="1">F8+G8</f>
        <v>2880754.8200000003</v>
      </c>
    </row>
    <row r="9" spans="1:8">
      <c r="A9" s="554">
        <v>1.2</v>
      </c>
      <c r="B9" s="565" t="s">
        <v>558</v>
      </c>
      <c r="C9" s="588">
        <v>6792211.448266943</v>
      </c>
      <c r="D9" s="549">
        <v>36018348.17104923</v>
      </c>
      <c r="E9" s="550">
        <f t="shared" si="0"/>
        <v>42810559.619316176</v>
      </c>
      <c r="F9" s="783">
        <v>1775327.5424643408</v>
      </c>
      <c r="G9" s="549">
        <v>41013610.750145569</v>
      </c>
      <c r="H9" s="786">
        <f t="shared" si="1"/>
        <v>42788938.292609908</v>
      </c>
    </row>
    <row r="10" spans="1:8">
      <c r="A10" s="554">
        <v>1.3</v>
      </c>
      <c r="B10" s="565" t="s">
        <v>559</v>
      </c>
      <c r="C10" s="588">
        <v>7972728.9617068227</v>
      </c>
      <c r="D10" s="549">
        <v>51483720.336051442</v>
      </c>
      <c r="E10" s="550">
        <f t="shared" si="0"/>
        <v>59456449.297758266</v>
      </c>
      <c r="F10" s="783">
        <v>1505166.743919027</v>
      </c>
      <c r="G10" s="549">
        <v>72239166.384983361</v>
      </c>
      <c r="H10" s="786">
        <f t="shared" si="1"/>
        <v>73744333.128902391</v>
      </c>
    </row>
    <row r="11" spans="1:8">
      <c r="A11" s="554">
        <v>2</v>
      </c>
      <c r="B11" s="566" t="s">
        <v>560</v>
      </c>
      <c r="C11" s="588"/>
      <c r="D11" s="549"/>
      <c r="E11" s="550">
        <f t="shared" si="0"/>
        <v>0</v>
      </c>
      <c r="F11" s="783"/>
      <c r="G11" s="549"/>
      <c r="H11" s="786">
        <f t="shared" si="1"/>
        <v>0</v>
      </c>
    </row>
    <row r="12" spans="1:8">
      <c r="A12" s="554">
        <v>2.1</v>
      </c>
      <c r="B12" s="567" t="s">
        <v>561</v>
      </c>
      <c r="C12" s="588"/>
      <c r="D12" s="549"/>
      <c r="E12" s="550">
        <f t="shared" si="0"/>
        <v>0</v>
      </c>
      <c r="F12" s="783"/>
      <c r="G12" s="549"/>
      <c r="H12" s="786">
        <f t="shared" si="1"/>
        <v>0</v>
      </c>
    </row>
    <row r="13" spans="1:8" ht="26.45" customHeight="1">
      <c r="A13" s="554">
        <v>3</v>
      </c>
      <c r="B13" s="568" t="s">
        <v>562</v>
      </c>
      <c r="C13" s="588"/>
      <c r="D13" s="549"/>
      <c r="E13" s="550">
        <f t="shared" si="0"/>
        <v>0</v>
      </c>
      <c r="F13" s="783"/>
      <c r="G13" s="549"/>
      <c r="H13" s="786">
        <f t="shared" si="1"/>
        <v>0</v>
      </c>
    </row>
    <row r="14" spans="1:8" ht="26.45" customHeight="1">
      <c r="A14" s="554">
        <v>4</v>
      </c>
      <c r="B14" s="569" t="s">
        <v>563</v>
      </c>
      <c r="C14" s="588"/>
      <c r="D14" s="549"/>
      <c r="E14" s="550">
        <f t="shared" si="0"/>
        <v>0</v>
      </c>
      <c r="F14" s="783"/>
      <c r="G14" s="549"/>
      <c r="H14" s="786">
        <f t="shared" si="1"/>
        <v>0</v>
      </c>
    </row>
    <row r="15" spans="1:8" ht="24.6" customHeight="1">
      <c r="A15" s="554">
        <v>5</v>
      </c>
      <c r="B15" s="570" t="s">
        <v>564</v>
      </c>
      <c r="C15" s="777">
        <f>SUM(C16:C18)</f>
        <v>0</v>
      </c>
      <c r="D15" s="778">
        <f>SUM(D16:D18)</f>
        <v>0</v>
      </c>
      <c r="E15" s="556">
        <f t="shared" si="0"/>
        <v>0</v>
      </c>
      <c r="F15" s="784">
        <f>SUM(F16:F18)</f>
        <v>0</v>
      </c>
      <c r="G15" s="778">
        <f>SUM(G16:G18)</f>
        <v>1422190.4432785469</v>
      </c>
      <c r="H15" s="787">
        <f t="shared" si="1"/>
        <v>1422190.4432785469</v>
      </c>
    </row>
    <row r="16" spans="1:8">
      <c r="A16" s="554">
        <v>5.0999999999999996</v>
      </c>
      <c r="B16" s="571" t="s">
        <v>565</v>
      </c>
      <c r="C16" s="588"/>
      <c r="D16" s="549"/>
      <c r="E16" s="550">
        <f t="shared" si="0"/>
        <v>0</v>
      </c>
      <c r="F16" s="783"/>
      <c r="G16" s="549"/>
      <c r="H16" s="786">
        <f t="shared" si="1"/>
        <v>0</v>
      </c>
    </row>
    <row r="17" spans="1:8">
      <c r="A17" s="554">
        <v>5.2</v>
      </c>
      <c r="B17" s="571" t="s">
        <v>566</v>
      </c>
      <c r="C17" s="588"/>
      <c r="D17" s="549"/>
      <c r="E17" s="550">
        <f t="shared" si="0"/>
        <v>0</v>
      </c>
      <c r="F17" s="783">
        <v>0</v>
      </c>
      <c r="G17" s="549">
        <v>1422190.4432785469</v>
      </c>
      <c r="H17" s="786">
        <f t="shared" si="1"/>
        <v>1422190.4432785469</v>
      </c>
    </row>
    <row r="18" spans="1:8">
      <c r="A18" s="554">
        <v>5.3</v>
      </c>
      <c r="B18" s="572" t="s">
        <v>567</v>
      </c>
      <c r="C18" s="588"/>
      <c r="D18" s="549"/>
      <c r="E18" s="550">
        <f t="shared" si="0"/>
        <v>0</v>
      </c>
      <c r="F18" s="783"/>
      <c r="G18" s="549"/>
      <c r="H18" s="786">
        <f t="shared" si="1"/>
        <v>0</v>
      </c>
    </row>
    <row r="19" spans="1:8">
      <c r="A19" s="554">
        <v>6</v>
      </c>
      <c r="B19" s="568" t="s">
        <v>568</v>
      </c>
      <c r="C19" s="589">
        <f>SUM(C20:C21)</f>
        <v>183928331.25064701</v>
      </c>
      <c r="D19" s="551">
        <f>SUM(D20:D21)</f>
        <v>184021556.2461189</v>
      </c>
      <c r="E19" s="550">
        <f t="shared" si="0"/>
        <v>367949887.49676591</v>
      </c>
      <c r="F19" s="782">
        <f>SUM(F20:F21)</f>
        <v>160357204.7722483</v>
      </c>
      <c r="G19" s="551">
        <f>SUM(G20:G21)</f>
        <v>140248636.5554885</v>
      </c>
      <c r="H19" s="786">
        <f t="shared" si="1"/>
        <v>300605841.32773679</v>
      </c>
    </row>
    <row r="20" spans="1:8">
      <c r="A20" s="554">
        <v>6.1</v>
      </c>
      <c r="B20" s="571" t="s">
        <v>566</v>
      </c>
      <c r="C20" s="588">
        <v>54112148.062416919</v>
      </c>
      <c r="D20" s="549">
        <v>17556942.338129774</v>
      </c>
      <c r="E20" s="550">
        <f t="shared" si="0"/>
        <v>71669090.4005467</v>
      </c>
      <c r="F20" s="783">
        <v>43066947.240983456</v>
      </c>
      <c r="G20" s="549">
        <v>12941933.24178216</v>
      </c>
      <c r="H20" s="786">
        <f t="shared" si="1"/>
        <v>56008880.482765615</v>
      </c>
    </row>
    <row r="21" spans="1:8">
      <c r="A21" s="554">
        <v>6.2</v>
      </c>
      <c r="B21" s="572" t="s">
        <v>567</v>
      </c>
      <c r="C21" s="588">
        <v>129816183.1882301</v>
      </c>
      <c r="D21" s="549">
        <v>166464613.90798914</v>
      </c>
      <c r="E21" s="550">
        <f t="shared" si="0"/>
        <v>296280797.09621924</v>
      </c>
      <c r="F21" s="783">
        <v>117290257.53126484</v>
      </c>
      <c r="G21" s="549">
        <v>127306703.31370634</v>
      </c>
      <c r="H21" s="786">
        <f t="shared" si="1"/>
        <v>244596960.84497118</v>
      </c>
    </row>
    <row r="22" spans="1:8">
      <c r="A22" s="554">
        <v>7</v>
      </c>
      <c r="B22" s="566" t="s">
        <v>569</v>
      </c>
      <c r="C22" s="588"/>
      <c r="D22" s="549"/>
      <c r="E22" s="550">
        <f t="shared" si="0"/>
        <v>0</v>
      </c>
      <c r="F22" s="783"/>
      <c r="G22" s="549"/>
      <c r="H22" s="786">
        <f t="shared" si="1"/>
        <v>0</v>
      </c>
    </row>
    <row r="23" spans="1:8">
      <c r="A23" s="554">
        <v>8</v>
      </c>
      <c r="B23" s="573" t="s">
        <v>570</v>
      </c>
      <c r="C23" s="588"/>
      <c r="D23" s="549"/>
      <c r="E23" s="550">
        <f t="shared" si="0"/>
        <v>0</v>
      </c>
      <c r="F23" s="783"/>
      <c r="G23" s="549"/>
      <c r="H23" s="786">
        <f t="shared" si="1"/>
        <v>0</v>
      </c>
    </row>
    <row r="24" spans="1:8">
      <c r="A24" s="554">
        <v>9</v>
      </c>
      <c r="B24" s="569" t="s">
        <v>571</v>
      </c>
      <c r="C24" s="589">
        <f>SUM(C25:C26)</f>
        <v>7540987.9099999983</v>
      </c>
      <c r="D24" s="551">
        <f>SUM(D25:D26)</f>
        <v>0</v>
      </c>
      <c r="E24" s="550">
        <f t="shared" si="0"/>
        <v>7540987.9099999983</v>
      </c>
      <c r="F24" s="782">
        <f>SUM(F25:F26)</f>
        <v>6433233.8899999978</v>
      </c>
      <c r="G24" s="551">
        <f>SUM(G25:G26)</f>
        <v>0</v>
      </c>
      <c r="H24" s="786">
        <f t="shared" si="1"/>
        <v>6433233.8899999978</v>
      </c>
    </row>
    <row r="25" spans="1:8">
      <c r="A25" s="554">
        <v>9.1</v>
      </c>
      <c r="B25" s="571" t="s">
        <v>572</v>
      </c>
      <c r="C25" s="588">
        <v>7540987.9099999983</v>
      </c>
      <c r="D25" s="549"/>
      <c r="E25" s="550">
        <f t="shared" si="0"/>
        <v>7540987.9099999983</v>
      </c>
      <c r="F25" s="783">
        <v>6433233.8899999978</v>
      </c>
      <c r="G25" s="549"/>
      <c r="H25" s="786">
        <f t="shared" si="1"/>
        <v>6433233.8899999978</v>
      </c>
    </row>
    <row r="26" spans="1:8">
      <c r="A26" s="554">
        <v>9.1999999999999993</v>
      </c>
      <c r="B26" s="571" t="s">
        <v>573</v>
      </c>
      <c r="C26" s="588"/>
      <c r="D26" s="549"/>
      <c r="E26" s="550">
        <f t="shared" si="0"/>
        <v>0</v>
      </c>
      <c r="F26" s="783"/>
      <c r="G26" s="549"/>
      <c r="H26" s="786">
        <f t="shared" si="1"/>
        <v>0</v>
      </c>
    </row>
    <row r="27" spans="1:8">
      <c r="A27" s="554">
        <v>10</v>
      </c>
      <c r="B27" s="569" t="s">
        <v>574</v>
      </c>
      <c r="C27" s="589">
        <f>SUM(C28:C29)</f>
        <v>154882.46323972591</v>
      </c>
      <c r="D27" s="551">
        <f>SUM(D28:D29)</f>
        <v>0</v>
      </c>
      <c r="E27" s="550">
        <f t="shared" si="0"/>
        <v>154882.46323972591</v>
      </c>
      <c r="F27" s="782">
        <f>SUM(F28:F29)</f>
        <v>200414.37000000002</v>
      </c>
      <c r="G27" s="551">
        <f>SUM(G28:G29)</f>
        <v>0</v>
      </c>
      <c r="H27" s="786">
        <f t="shared" si="1"/>
        <v>200414.37000000002</v>
      </c>
    </row>
    <row r="28" spans="1:8">
      <c r="A28" s="554">
        <v>10.1</v>
      </c>
      <c r="B28" s="571" t="s">
        <v>575</v>
      </c>
      <c r="C28" s="588"/>
      <c r="D28" s="549"/>
      <c r="E28" s="550">
        <f t="shared" si="0"/>
        <v>0</v>
      </c>
      <c r="F28" s="783"/>
      <c r="G28" s="549"/>
      <c r="H28" s="786">
        <f t="shared" si="1"/>
        <v>0</v>
      </c>
    </row>
    <row r="29" spans="1:8">
      <c r="A29" s="554">
        <v>10.199999999999999</v>
      </c>
      <c r="B29" s="571" t="s">
        <v>576</v>
      </c>
      <c r="C29" s="588">
        <v>154882.46323972591</v>
      </c>
      <c r="D29" s="549"/>
      <c r="E29" s="550">
        <f t="shared" si="0"/>
        <v>154882.46323972591</v>
      </c>
      <c r="F29" s="783">
        <v>200414.37000000002</v>
      </c>
      <c r="G29" s="549"/>
      <c r="H29" s="786">
        <f t="shared" si="1"/>
        <v>200414.37000000002</v>
      </c>
    </row>
    <row r="30" spans="1:8">
      <c r="A30" s="554">
        <v>11</v>
      </c>
      <c r="B30" s="569" t="s">
        <v>577</v>
      </c>
      <c r="C30" s="589">
        <f>SUM(C31:C32)</f>
        <v>1748881.72</v>
      </c>
      <c r="D30" s="551">
        <f>SUM(D31:D32)</f>
        <v>0</v>
      </c>
      <c r="E30" s="550">
        <f t="shared" si="0"/>
        <v>1748881.72</v>
      </c>
      <c r="F30" s="782">
        <f>SUM(F31:F32)</f>
        <v>1748352</v>
      </c>
      <c r="G30" s="551">
        <f>SUM(G31:G32)</f>
        <v>0</v>
      </c>
      <c r="H30" s="786">
        <f t="shared" si="1"/>
        <v>1748352</v>
      </c>
    </row>
    <row r="31" spans="1:8">
      <c r="A31" s="554">
        <v>11.1</v>
      </c>
      <c r="B31" s="571" t="s">
        <v>578</v>
      </c>
      <c r="C31" s="588">
        <v>1748881.72</v>
      </c>
      <c r="D31" s="549"/>
      <c r="E31" s="550">
        <f t="shared" si="0"/>
        <v>1748881.72</v>
      </c>
      <c r="F31" s="783">
        <v>1748352</v>
      </c>
      <c r="G31" s="549"/>
      <c r="H31" s="786">
        <f t="shared" si="1"/>
        <v>1748352</v>
      </c>
    </row>
    <row r="32" spans="1:8">
      <c r="A32" s="554">
        <v>11.2</v>
      </c>
      <c r="B32" s="571" t="s">
        <v>579</v>
      </c>
      <c r="C32" s="588"/>
      <c r="D32" s="549"/>
      <c r="E32" s="550">
        <f t="shared" si="0"/>
        <v>0</v>
      </c>
      <c r="F32" s="783"/>
      <c r="G32" s="549"/>
      <c r="H32" s="786">
        <f t="shared" si="1"/>
        <v>0</v>
      </c>
    </row>
    <row r="33" spans="1:8">
      <c r="A33" s="554">
        <v>13</v>
      </c>
      <c r="B33" s="569" t="s">
        <v>580</v>
      </c>
      <c r="C33" s="589">
        <v>3230901.64</v>
      </c>
      <c r="D33" s="551">
        <v>169296.99000000002</v>
      </c>
      <c r="E33" s="550">
        <f t="shared" si="0"/>
        <v>3400198.6300000004</v>
      </c>
      <c r="F33" s="782">
        <v>3104577.4906485197</v>
      </c>
      <c r="G33" s="551">
        <v>191785.28</v>
      </c>
      <c r="H33" s="786">
        <f t="shared" si="1"/>
        <v>3296362.7706485195</v>
      </c>
    </row>
    <row r="34" spans="1:8">
      <c r="A34" s="554">
        <v>13.1</v>
      </c>
      <c r="B34" s="574" t="s">
        <v>581</v>
      </c>
      <c r="C34" s="588">
        <v>1349093.18</v>
      </c>
      <c r="D34" s="549"/>
      <c r="E34" s="550">
        <f t="shared" si="0"/>
        <v>1349093.18</v>
      </c>
      <c r="F34" s="783">
        <v>1349093.18</v>
      </c>
      <c r="G34" s="549"/>
      <c r="H34" s="786">
        <f t="shared" si="1"/>
        <v>1349093.18</v>
      </c>
    </row>
    <row r="35" spans="1:8">
      <c r="A35" s="554">
        <v>13.2</v>
      </c>
      <c r="B35" s="574" t="s">
        <v>582</v>
      </c>
      <c r="C35" s="588"/>
      <c r="D35" s="549"/>
      <c r="E35" s="550">
        <f t="shared" si="0"/>
        <v>0</v>
      </c>
      <c r="F35" s="783"/>
      <c r="G35" s="549"/>
      <c r="H35" s="786">
        <f t="shared" si="1"/>
        <v>0</v>
      </c>
    </row>
    <row r="36" spans="1:8">
      <c r="A36" s="554">
        <v>14</v>
      </c>
      <c r="B36" s="575" t="s">
        <v>583</v>
      </c>
      <c r="C36" s="589">
        <f>SUM(C7,C11,C13,C14,C15,C19,C22,C23,C24,C27,C30,C33)</f>
        <v>211700855.59386048</v>
      </c>
      <c r="D36" s="551">
        <f>SUM(D7,D11,D13,D14,D15,D19,D22,D23,D24,D27,D30,D33)</f>
        <v>273033425.4432196</v>
      </c>
      <c r="E36" s="550">
        <f t="shared" si="0"/>
        <v>484734281.03708005</v>
      </c>
      <c r="F36" s="782">
        <f>SUM(F7,F11,F13,F14,F15,F19,F22,F23,F24,F27,F30,F33)</f>
        <v>175363978.00928017</v>
      </c>
      <c r="G36" s="551">
        <f>SUM(G7,G11,G13,G14,G15,G19,G22,G23,G24,G27,G30,G33)</f>
        <v>257756443.03389597</v>
      </c>
      <c r="H36" s="786">
        <f t="shared" si="1"/>
        <v>433120421.04317617</v>
      </c>
    </row>
    <row r="37" spans="1:8" ht="22.5" customHeight="1">
      <c r="A37" s="554"/>
      <c r="B37" s="576" t="s">
        <v>584</v>
      </c>
      <c r="C37" s="796"/>
      <c r="D37" s="797"/>
      <c r="E37" s="797"/>
      <c r="F37" s="797"/>
      <c r="G37" s="797"/>
      <c r="H37" s="798"/>
    </row>
    <row r="38" spans="1:8">
      <c r="A38" s="554">
        <v>15</v>
      </c>
      <c r="B38" s="577" t="s">
        <v>585</v>
      </c>
      <c r="C38" s="588"/>
      <c r="D38" s="549"/>
      <c r="E38" s="550">
        <f>C38+D38</f>
        <v>0</v>
      </c>
      <c r="F38" s="783"/>
      <c r="G38" s="549"/>
      <c r="H38" s="786">
        <f>F38+G38</f>
        <v>0</v>
      </c>
    </row>
    <row r="39" spans="1:8">
      <c r="A39" s="554">
        <v>15.1</v>
      </c>
      <c r="B39" s="567" t="s">
        <v>561</v>
      </c>
      <c r="C39" s="588"/>
      <c r="D39" s="549"/>
      <c r="E39" s="550">
        <f t="shared" ref="E39:E53" si="2">C39+D39</f>
        <v>0</v>
      </c>
      <c r="F39" s="783"/>
      <c r="G39" s="549"/>
      <c r="H39" s="786">
        <f t="shared" ref="H39:H53" si="3">F39+G39</f>
        <v>0</v>
      </c>
    </row>
    <row r="40" spans="1:8" ht="24" customHeight="1">
      <c r="A40" s="554">
        <v>16</v>
      </c>
      <c r="B40" s="566" t="s">
        <v>586</v>
      </c>
      <c r="C40" s="588"/>
      <c r="D40" s="549"/>
      <c r="E40" s="550">
        <f t="shared" si="2"/>
        <v>0</v>
      </c>
      <c r="F40" s="783"/>
      <c r="G40" s="549"/>
      <c r="H40" s="786">
        <f t="shared" si="3"/>
        <v>0</v>
      </c>
    </row>
    <row r="41" spans="1:8">
      <c r="A41" s="554">
        <v>17</v>
      </c>
      <c r="B41" s="566" t="s">
        <v>587</v>
      </c>
      <c r="C41" s="589">
        <f>SUM(C42:C45)</f>
        <v>67703969.709999993</v>
      </c>
      <c r="D41" s="551">
        <f>SUM(D42:D45)</f>
        <v>273970686.19</v>
      </c>
      <c r="E41" s="550">
        <f t="shared" si="2"/>
        <v>341674655.89999998</v>
      </c>
      <c r="F41" s="782">
        <f>SUM(F42:F45)</f>
        <v>51237542.839999996</v>
      </c>
      <c r="G41" s="551">
        <f>SUM(G42:G45)</f>
        <v>255421302.87999997</v>
      </c>
      <c r="H41" s="786">
        <f t="shared" si="3"/>
        <v>306658845.71999997</v>
      </c>
    </row>
    <row r="42" spans="1:8">
      <c r="A42" s="554">
        <v>17.100000000000001</v>
      </c>
      <c r="B42" s="578" t="s">
        <v>588</v>
      </c>
      <c r="C42" s="588">
        <v>52690197.579999998</v>
      </c>
      <c r="D42" s="549">
        <v>232149983.23000002</v>
      </c>
      <c r="E42" s="550">
        <f t="shared" si="2"/>
        <v>284840180.81</v>
      </c>
      <c r="F42" s="783">
        <v>51237542.839999996</v>
      </c>
      <c r="G42" s="549">
        <v>196780052.23999998</v>
      </c>
      <c r="H42" s="786">
        <f t="shared" si="3"/>
        <v>248017595.07999998</v>
      </c>
    </row>
    <row r="43" spans="1:8">
      <c r="A43" s="554">
        <v>17.2</v>
      </c>
      <c r="B43" s="565" t="s">
        <v>589</v>
      </c>
      <c r="C43" s="588">
        <v>15013772.130000001</v>
      </c>
      <c r="D43" s="549">
        <v>37234027.130000003</v>
      </c>
      <c r="E43" s="550">
        <f t="shared" si="2"/>
        <v>52247799.260000005</v>
      </c>
      <c r="F43" s="783">
        <v>0</v>
      </c>
      <c r="G43" s="549">
        <v>53766384.670000002</v>
      </c>
      <c r="H43" s="786">
        <f t="shared" si="3"/>
        <v>53766384.670000002</v>
      </c>
    </row>
    <row r="44" spans="1:8">
      <c r="A44" s="554">
        <v>17.3</v>
      </c>
      <c r="B44" s="578" t="s">
        <v>590</v>
      </c>
      <c r="C44" s="588"/>
      <c r="D44" s="549"/>
      <c r="E44" s="550">
        <f t="shared" si="2"/>
        <v>0</v>
      </c>
      <c r="F44" s="783"/>
      <c r="G44" s="549"/>
      <c r="H44" s="786">
        <f t="shared" si="3"/>
        <v>0</v>
      </c>
    </row>
    <row r="45" spans="1:8">
      <c r="A45" s="554">
        <v>17.399999999999999</v>
      </c>
      <c r="B45" s="578" t="s">
        <v>591</v>
      </c>
      <c r="C45" s="588">
        <v>0</v>
      </c>
      <c r="D45" s="549">
        <v>4586675.83</v>
      </c>
      <c r="E45" s="550">
        <f t="shared" si="2"/>
        <v>4586675.83</v>
      </c>
      <c r="F45" s="783">
        <v>0</v>
      </c>
      <c r="G45" s="549">
        <v>4874865.97</v>
      </c>
      <c r="H45" s="786">
        <f t="shared" si="3"/>
        <v>4874865.97</v>
      </c>
    </row>
    <row r="46" spans="1:8">
      <c r="A46" s="554">
        <v>18</v>
      </c>
      <c r="B46" s="579" t="s">
        <v>592</v>
      </c>
      <c r="C46" s="589">
        <v>157528.99093532754</v>
      </c>
      <c r="D46" s="551">
        <v>264935.72780285985</v>
      </c>
      <c r="E46" s="550">
        <f t="shared" si="2"/>
        <v>422464.7187381874</v>
      </c>
      <c r="F46" s="782">
        <v>145658.82231973603</v>
      </c>
      <c r="G46" s="551">
        <v>255023.76637135277</v>
      </c>
      <c r="H46" s="786">
        <f t="shared" si="3"/>
        <v>400682.58869108884</v>
      </c>
    </row>
    <row r="47" spans="1:8">
      <c r="A47" s="554">
        <v>19</v>
      </c>
      <c r="B47" s="579" t="s">
        <v>593</v>
      </c>
      <c r="C47" s="589">
        <f>SUM(C48:C49)</f>
        <v>943503</v>
      </c>
      <c r="D47" s="551">
        <f>SUM(D48:D49)</f>
        <v>0</v>
      </c>
      <c r="E47" s="550">
        <f t="shared" si="2"/>
        <v>943503</v>
      </c>
      <c r="F47" s="782">
        <f>SUM(F48:F49)</f>
        <v>2311576.29</v>
      </c>
      <c r="G47" s="551">
        <f>SUM(G48:G49)</f>
        <v>0</v>
      </c>
      <c r="H47" s="786">
        <f t="shared" si="3"/>
        <v>2311576.29</v>
      </c>
    </row>
    <row r="48" spans="1:8">
      <c r="A48" s="554">
        <v>19.100000000000001</v>
      </c>
      <c r="B48" s="580" t="s">
        <v>594</v>
      </c>
      <c r="C48" s="588">
        <v>943503</v>
      </c>
      <c r="D48" s="549">
        <v>0</v>
      </c>
      <c r="E48" s="550">
        <f t="shared" si="2"/>
        <v>943503</v>
      </c>
      <c r="F48" s="783">
        <v>2311576.29</v>
      </c>
      <c r="G48" s="549">
        <v>0</v>
      </c>
      <c r="H48" s="786">
        <f t="shared" si="3"/>
        <v>2311576.29</v>
      </c>
    </row>
    <row r="49" spans="1:8">
      <c r="A49" s="554">
        <v>19.2</v>
      </c>
      <c r="B49" s="581" t="s">
        <v>595</v>
      </c>
      <c r="C49" s="588"/>
      <c r="D49" s="549"/>
      <c r="E49" s="550">
        <f t="shared" si="2"/>
        <v>0</v>
      </c>
      <c r="F49" s="783"/>
      <c r="G49" s="549"/>
      <c r="H49" s="786">
        <f t="shared" si="3"/>
        <v>0</v>
      </c>
    </row>
    <row r="50" spans="1:8">
      <c r="A50" s="554">
        <v>20</v>
      </c>
      <c r="B50" s="582" t="s">
        <v>596</v>
      </c>
      <c r="C50" s="588"/>
      <c r="D50" s="549"/>
      <c r="E50" s="550">
        <f t="shared" si="2"/>
        <v>0</v>
      </c>
      <c r="F50" s="783"/>
      <c r="G50" s="549"/>
      <c r="H50" s="786">
        <f t="shared" si="3"/>
        <v>0</v>
      </c>
    </row>
    <row r="51" spans="1:8">
      <c r="A51" s="554">
        <v>21</v>
      </c>
      <c r="B51" s="573" t="s">
        <v>597</v>
      </c>
      <c r="C51" s="589">
        <v>2103091.7517336132</v>
      </c>
      <c r="D51" s="551">
        <v>1271683.1199999999</v>
      </c>
      <c r="E51" s="550">
        <f t="shared" si="2"/>
        <v>3374774.8717336133</v>
      </c>
      <c r="F51" s="782">
        <v>1243886.3900000001</v>
      </c>
      <c r="G51" s="551">
        <v>831521.27</v>
      </c>
      <c r="H51" s="786">
        <f t="shared" si="3"/>
        <v>2075407.6600000001</v>
      </c>
    </row>
    <row r="52" spans="1:8">
      <c r="A52" s="554">
        <v>21.1</v>
      </c>
      <c r="B52" s="565" t="s">
        <v>598</v>
      </c>
      <c r="C52" s="588"/>
      <c r="D52" s="549"/>
      <c r="E52" s="550">
        <f t="shared" si="2"/>
        <v>0</v>
      </c>
      <c r="F52" s="783"/>
      <c r="G52" s="549"/>
      <c r="H52" s="786">
        <f t="shared" si="3"/>
        <v>0</v>
      </c>
    </row>
    <row r="53" spans="1:8">
      <c r="A53" s="554">
        <v>22</v>
      </c>
      <c r="B53" s="583" t="s">
        <v>599</v>
      </c>
      <c r="C53" s="589">
        <f>SUM(C38,C40,C41,C46,C47,C50,C51)</f>
        <v>70908093.452668935</v>
      </c>
      <c r="D53" s="551">
        <f>SUM(D38,D40,D41,D46,D47,D50,D51)</f>
        <v>275507305.03780288</v>
      </c>
      <c r="E53" s="550">
        <f t="shared" si="2"/>
        <v>346415398.49047184</v>
      </c>
      <c r="F53" s="782">
        <f>SUM(F38,F40,F41,F46,F47,F50,F51)</f>
        <v>54938664.342319734</v>
      </c>
      <c r="G53" s="551">
        <f>SUM(G38,G40,G41,G46,G47,G50,G51)</f>
        <v>256507847.91637132</v>
      </c>
      <c r="H53" s="786">
        <f t="shared" si="3"/>
        <v>311446512.25869107</v>
      </c>
    </row>
    <row r="54" spans="1:8" ht="24" customHeight="1">
      <c r="A54" s="554"/>
      <c r="B54" s="576" t="s">
        <v>600</v>
      </c>
      <c r="C54" s="796"/>
      <c r="D54" s="797"/>
      <c r="E54" s="797"/>
      <c r="F54" s="797"/>
      <c r="G54" s="797"/>
      <c r="H54" s="798"/>
    </row>
    <row r="55" spans="1:8">
      <c r="A55" s="554">
        <v>23</v>
      </c>
      <c r="B55" s="582" t="s">
        <v>601</v>
      </c>
      <c r="C55" s="588">
        <v>69161600</v>
      </c>
      <c r="D55" s="549"/>
      <c r="E55" s="550">
        <f>C55+D55</f>
        <v>69161600</v>
      </c>
      <c r="F55" s="783">
        <v>69161600</v>
      </c>
      <c r="G55" s="549"/>
      <c r="H55" s="786">
        <f>F55+G55</f>
        <v>69161600</v>
      </c>
    </row>
    <row r="56" spans="1:8">
      <c r="A56" s="554">
        <v>24</v>
      </c>
      <c r="B56" s="582" t="s">
        <v>602</v>
      </c>
      <c r="C56" s="588"/>
      <c r="D56" s="549"/>
      <c r="E56" s="550">
        <f t="shared" ref="E56:E69" si="4">C56+D56</f>
        <v>0</v>
      </c>
      <c r="F56" s="783"/>
      <c r="G56" s="549"/>
      <c r="H56" s="786">
        <f t="shared" ref="H56:H69" si="5">F56+G56</f>
        <v>0</v>
      </c>
    </row>
    <row r="57" spans="1:8">
      <c r="A57" s="554">
        <v>25</v>
      </c>
      <c r="B57" s="579" t="s">
        <v>603</v>
      </c>
      <c r="C57" s="588"/>
      <c r="D57" s="549"/>
      <c r="E57" s="550">
        <f t="shared" si="4"/>
        <v>0</v>
      </c>
      <c r="F57" s="783"/>
      <c r="G57" s="549"/>
      <c r="H57" s="786">
        <f t="shared" si="5"/>
        <v>0</v>
      </c>
    </row>
    <row r="58" spans="1:8">
      <c r="A58" s="554">
        <v>26</v>
      </c>
      <c r="B58" s="579" t="s">
        <v>604</v>
      </c>
      <c r="C58" s="588"/>
      <c r="D58" s="549"/>
      <c r="E58" s="550">
        <f t="shared" si="4"/>
        <v>0</v>
      </c>
      <c r="F58" s="783"/>
      <c r="G58" s="549"/>
      <c r="H58" s="786">
        <f t="shared" si="5"/>
        <v>0</v>
      </c>
    </row>
    <row r="59" spans="1:8">
      <c r="A59" s="554">
        <v>27</v>
      </c>
      <c r="B59" s="579" t="s">
        <v>605</v>
      </c>
      <c r="C59" s="588">
        <f>SUM(C60:C61)</f>
        <v>0</v>
      </c>
      <c r="D59" s="549">
        <f>SUM(D60:D61)</f>
        <v>0</v>
      </c>
      <c r="E59" s="550">
        <f t="shared" si="4"/>
        <v>0</v>
      </c>
      <c r="F59" s="783"/>
      <c r="G59" s="549"/>
      <c r="H59" s="786">
        <f t="shared" si="5"/>
        <v>0</v>
      </c>
    </row>
    <row r="60" spans="1:8">
      <c r="A60" s="554">
        <v>27.1</v>
      </c>
      <c r="B60" s="578" t="s">
        <v>606</v>
      </c>
      <c r="C60" s="588"/>
      <c r="D60" s="549"/>
      <c r="E60" s="550">
        <f t="shared" si="4"/>
        <v>0</v>
      </c>
      <c r="F60" s="783"/>
      <c r="G60" s="549"/>
      <c r="H60" s="786">
        <f t="shared" si="5"/>
        <v>0</v>
      </c>
    </row>
    <row r="61" spans="1:8">
      <c r="A61" s="554">
        <v>27.2</v>
      </c>
      <c r="B61" s="578" t="s">
        <v>607</v>
      </c>
      <c r="C61" s="588"/>
      <c r="D61" s="549"/>
      <c r="E61" s="550">
        <f t="shared" si="4"/>
        <v>0</v>
      </c>
      <c r="F61" s="783"/>
      <c r="G61" s="549"/>
      <c r="H61" s="786">
        <f t="shared" si="5"/>
        <v>0</v>
      </c>
    </row>
    <row r="62" spans="1:8">
      <c r="A62" s="554">
        <v>28</v>
      </c>
      <c r="B62" s="584" t="s">
        <v>608</v>
      </c>
      <c r="C62" s="588"/>
      <c r="D62" s="549"/>
      <c r="E62" s="550">
        <f t="shared" si="4"/>
        <v>0</v>
      </c>
      <c r="F62" s="783"/>
      <c r="G62" s="549"/>
      <c r="H62" s="786">
        <f t="shared" si="5"/>
        <v>0</v>
      </c>
    </row>
    <row r="63" spans="1:8">
      <c r="A63" s="554">
        <v>29</v>
      </c>
      <c r="B63" s="579" t="s">
        <v>609</v>
      </c>
      <c r="C63" s="588">
        <f>SUM(C64:C66)</f>
        <v>0</v>
      </c>
      <c r="D63" s="549">
        <f>SUM(D64:D66)</f>
        <v>0</v>
      </c>
      <c r="E63" s="550">
        <f t="shared" si="4"/>
        <v>0</v>
      </c>
      <c r="F63" s="783"/>
      <c r="G63" s="549"/>
      <c r="H63" s="786">
        <f t="shared" si="5"/>
        <v>0</v>
      </c>
    </row>
    <row r="64" spans="1:8">
      <c r="A64" s="554">
        <v>29.1</v>
      </c>
      <c r="B64" s="572" t="s">
        <v>610</v>
      </c>
      <c r="C64" s="588"/>
      <c r="D64" s="549"/>
      <c r="E64" s="550">
        <f t="shared" si="4"/>
        <v>0</v>
      </c>
      <c r="F64" s="783"/>
      <c r="G64" s="549"/>
      <c r="H64" s="786">
        <f t="shared" si="5"/>
        <v>0</v>
      </c>
    </row>
    <row r="65" spans="1:8" ht="24.95" customHeight="1">
      <c r="A65" s="554">
        <v>29.2</v>
      </c>
      <c r="B65" s="585" t="s">
        <v>611</v>
      </c>
      <c r="C65" s="588"/>
      <c r="D65" s="549"/>
      <c r="E65" s="550">
        <f t="shared" si="4"/>
        <v>0</v>
      </c>
      <c r="F65" s="783"/>
      <c r="G65" s="549"/>
      <c r="H65" s="786">
        <f t="shared" si="5"/>
        <v>0</v>
      </c>
    </row>
    <row r="66" spans="1:8" ht="22.5" customHeight="1">
      <c r="A66" s="554">
        <v>29.3</v>
      </c>
      <c r="B66" s="585" t="s">
        <v>612</v>
      </c>
      <c r="C66" s="588"/>
      <c r="D66" s="549"/>
      <c r="E66" s="550">
        <f t="shared" si="4"/>
        <v>0</v>
      </c>
      <c r="F66" s="783"/>
      <c r="G66" s="549"/>
      <c r="H66" s="786">
        <f t="shared" si="5"/>
        <v>0</v>
      </c>
    </row>
    <row r="67" spans="1:8">
      <c r="A67" s="554">
        <v>30</v>
      </c>
      <c r="B67" s="569" t="s">
        <v>613</v>
      </c>
      <c r="C67" s="588">
        <v>69157282.546608284</v>
      </c>
      <c r="D67" s="549"/>
      <c r="E67" s="550">
        <f t="shared" si="4"/>
        <v>69157282.546608284</v>
      </c>
      <c r="F67" s="783">
        <v>52512308.257327221</v>
      </c>
      <c r="G67" s="549"/>
      <c r="H67" s="786">
        <f t="shared" si="5"/>
        <v>52512308.257327221</v>
      </c>
    </row>
    <row r="68" spans="1:8">
      <c r="A68" s="554">
        <v>31</v>
      </c>
      <c r="B68" s="558" t="s">
        <v>614</v>
      </c>
      <c r="C68" s="589">
        <f>SUM(C55,C56,C57,C58,C59,C62,C63,C67)</f>
        <v>138318882.54660827</v>
      </c>
      <c r="D68" s="551">
        <f>SUM(D55,D56,D57,D58,D59,D62,D63,D67)</f>
        <v>0</v>
      </c>
      <c r="E68" s="550">
        <f t="shared" si="4"/>
        <v>138318882.54660827</v>
      </c>
      <c r="F68" s="782">
        <f>SUM(F55,F56,F57,F58,F59,F62,F63,F67)</f>
        <v>121673908.25732723</v>
      </c>
      <c r="G68" s="551">
        <f>SUM(G55,G56,G57,G58,G59,G62,G63,G67)</f>
        <v>0</v>
      </c>
      <c r="H68" s="786">
        <f t="shared" si="5"/>
        <v>121673908.25732723</v>
      </c>
    </row>
    <row r="69" spans="1:8" ht="15.75" thickBot="1">
      <c r="A69" s="559">
        <v>32</v>
      </c>
      <c r="B69" s="586" t="s">
        <v>615</v>
      </c>
      <c r="C69" s="590">
        <f>SUM(C53,C68)</f>
        <v>209226975.9992772</v>
      </c>
      <c r="D69" s="561">
        <f>SUM(D53,D68)</f>
        <v>275507305.03780288</v>
      </c>
      <c r="E69" s="562">
        <f t="shared" si="4"/>
        <v>484734281.03708005</v>
      </c>
      <c r="F69" s="785">
        <f>SUM(F68)</f>
        <v>121673908.25732723</v>
      </c>
      <c r="G69" s="561">
        <f>SUM(G68)</f>
        <v>0</v>
      </c>
      <c r="H69" s="788">
        <f t="shared" si="5"/>
        <v>121673908.25732723</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showGridLines="0" zoomScaleNormal="100" workbookViewId="0">
      <selection activeCell="B4" sqref="B4:B5"/>
    </sheetView>
  </sheetViews>
  <sheetFormatPr defaultRowHeight="15"/>
  <cols>
    <col min="2" max="2" width="66.5703125" customWidth="1"/>
    <col min="3" max="8" width="17.85546875" customWidth="1"/>
    <col min="9" max="9" width="10.5703125" bestFit="1"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45382</v>
      </c>
      <c r="C2" s="6"/>
      <c r="D2" s="7"/>
      <c r="E2" s="7"/>
      <c r="F2" s="7"/>
      <c r="G2" s="7"/>
      <c r="H2" s="8"/>
    </row>
    <row r="4" spans="1:8">
      <c r="A4" s="809" t="s">
        <v>6</v>
      </c>
      <c r="B4" s="811" t="s">
        <v>616</v>
      </c>
      <c r="C4" s="804" t="s">
        <v>553</v>
      </c>
      <c r="D4" s="804"/>
      <c r="E4" s="804"/>
      <c r="F4" s="804" t="s">
        <v>554</v>
      </c>
      <c r="G4" s="804"/>
      <c r="H4" s="805"/>
    </row>
    <row r="5" spans="1:8" ht="15.6" customHeight="1">
      <c r="A5" s="810"/>
      <c r="B5" s="812"/>
      <c r="C5" s="390" t="s">
        <v>32</v>
      </c>
      <c r="D5" s="390" t="s">
        <v>33</v>
      </c>
      <c r="E5" s="390" t="s">
        <v>34</v>
      </c>
      <c r="F5" s="390" t="s">
        <v>32</v>
      </c>
      <c r="G5" s="390" t="s">
        <v>33</v>
      </c>
      <c r="H5" s="390" t="s">
        <v>34</v>
      </c>
    </row>
    <row r="6" spans="1:8">
      <c r="A6" s="391">
        <v>1</v>
      </c>
      <c r="B6" s="392" t="s">
        <v>617</v>
      </c>
      <c r="C6" s="779">
        <f>SUM(C7:C12)</f>
        <v>5368431.2960214671</v>
      </c>
      <c r="D6" s="779">
        <f>SUM(D7:D12)</f>
        <v>4627865.4755266458</v>
      </c>
      <c r="E6" s="780">
        <f>C6+D6</f>
        <v>9996296.7715481129</v>
      </c>
      <c r="F6" s="779">
        <f>SUM(F7:F12)</f>
        <v>5465658.2346065687</v>
      </c>
      <c r="G6" s="779">
        <f>SUM(G7:G12)</f>
        <v>3105948.97729473</v>
      </c>
      <c r="H6" s="780">
        <f>F6+G6</f>
        <v>8571607.2119012997</v>
      </c>
    </row>
    <row r="7" spans="1:8">
      <c r="A7" s="391">
        <v>1.1000000000000001</v>
      </c>
      <c r="B7" s="393" t="s">
        <v>560</v>
      </c>
      <c r="C7" s="781"/>
      <c r="D7" s="781"/>
      <c r="E7" s="780">
        <f t="shared" ref="E7:E45" si="0">C7+D7</f>
        <v>0</v>
      </c>
      <c r="F7" s="781"/>
      <c r="G7" s="781"/>
      <c r="H7" s="780">
        <f t="shared" ref="H7:H45" si="1">F7+G7</f>
        <v>0</v>
      </c>
    </row>
    <row r="8" spans="1:8">
      <c r="A8" s="391">
        <v>1.2</v>
      </c>
      <c r="B8" s="393" t="s">
        <v>562</v>
      </c>
      <c r="C8" s="781"/>
      <c r="D8" s="781"/>
      <c r="E8" s="780">
        <f t="shared" si="0"/>
        <v>0</v>
      </c>
      <c r="F8" s="781"/>
      <c r="G8" s="781"/>
      <c r="H8" s="780">
        <f t="shared" si="1"/>
        <v>0</v>
      </c>
    </row>
    <row r="9" spans="1:8" ht="21.6" customHeight="1">
      <c r="A9" s="391">
        <v>1.3</v>
      </c>
      <c r="B9" s="393" t="s">
        <v>618</v>
      </c>
      <c r="C9" s="781"/>
      <c r="D9" s="781"/>
      <c r="E9" s="780">
        <f t="shared" si="0"/>
        <v>0</v>
      </c>
      <c r="F9" s="781"/>
      <c r="G9" s="781"/>
      <c r="H9" s="780">
        <f t="shared" si="1"/>
        <v>0</v>
      </c>
    </row>
    <row r="10" spans="1:8">
      <c r="A10" s="391">
        <v>1.4</v>
      </c>
      <c r="B10" s="393" t="s">
        <v>564</v>
      </c>
      <c r="C10" s="781"/>
      <c r="D10" s="781"/>
      <c r="E10" s="780">
        <f t="shared" si="0"/>
        <v>0</v>
      </c>
      <c r="F10" s="781"/>
      <c r="G10" s="781"/>
      <c r="H10" s="780">
        <f t="shared" si="1"/>
        <v>0</v>
      </c>
    </row>
    <row r="11" spans="1:8">
      <c r="A11" s="391">
        <v>1.5</v>
      </c>
      <c r="B11" s="393" t="s">
        <v>568</v>
      </c>
      <c r="C11" s="781">
        <v>5368431.2960214671</v>
      </c>
      <c r="D11" s="781">
        <v>4627865.4755266458</v>
      </c>
      <c r="E11" s="780">
        <f t="shared" si="0"/>
        <v>9996296.7715481129</v>
      </c>
      <c r="F11" s="781">
        <v>5465658.2346065687</v>
      </c>
      <c r="G11" s="781">
        <v>3105948.97729473</v>
      </c>
      <c r="H11" s="780">
        <f t="shared" si="1"/>
        <v>8571607.2119012997</v>
      </c>
    </row>
    <row r="12" spans="1:8">
      <c r="A12" s="391">
        <v>1.6</v>
      </c>
      <c r="B12" s="394" t="s">
        <v>450</v>
      </c>
      <c r="C12" s="781"/>
      <c r="D12" s="781"/>
      <c r="E12" s="780">
        <f t="shared" si="0"/>
        <v>0</v>
      </c>
      <c r="F12" s="781"/>
      <c r="G12" s="781"/>
      <c r="H12" s="780">
        <f t="shared" si="1"/>
        <v>0</v>
      </c>
    </row>
    <row r="13" spans="1:8">
      <c r="A13" s="391">
        <v>2</v>
      </c>
      <c r="B13" s="395" t="s">
        <v>619</v>
      </c>
      <c r="C13" s="779">
        <f>SUM(C14:C17)</f>
        <v>-1073946.4468733596</v>
      </c>
      <c r="D13" s="779">
        <f>SUM(D14:D17)</f>
        <v>-2716243.338491281</v>
      </c>
      <c r="E13" s="780">
        <f t="shared" si="0"/>
        <v>-3790189.7853646409</v>
      </c>
      <c r="F13" s="779">
        <f>SUM(F14:F17)</f>
        <v>-838733.51606290217</v>
      </c>
      <c r="G13" s="779">
        <f>SUM(G14:G17)</f>
        <v>-1484796.3874028369</v>
      </c>
      <c r="H13" s="780">
        <f t="shared" si="1"/>
        <v>-2323529.903465739</v>
      </c>
    </row>
    <row r="14" spans="1:8">
      <c r="A14" s="391">
        <v>2.1</v>
      </c>
      <c r="B14" s="393" t="s">
        <v>620</v>
      </c>
      <c r="C14" s="781"/>
      <c r="D14" s="781"/>
      <c r="E14" s="780">
        <f t="shared" si="0"/>
        <v>0</v>
      </c>
      <c r="F14" s="781"/>
      <c r="G14" s="781"/>
      <c r="H14" s="780">
        <f t="shared" si="1"/>
        <v>0</v>
      </c>
    </row>
    <row r="15" spans="1:8" ht="24.6" customHeight="1">
      <c r="A15" s="391">
        <v>2.2000000000000002</v>
      </c>
      <c r="B15" s="393" t="s">
        <v>621</v>
      </c>
      <c r="C15" s="781"/>
      <c r="D15" s="781"/>
      <c r="E15" s="780">
        <f t="shared" si="0"/>
        <v>0</v>
      </c>
      <c r="F15" s="781"/>
      <c r="G15" s="781"/>
      <c r="H15" s="780">
        <f t="shared" si="1"/>
        <v>0</v>
      </c>
    </row>
    <row r="16" spans="1:8" ht="20.45" customHeight="1">
      <c r="A16" s="391">
        <v>2.2999999999999998</v>
      </c>
      <c r="B16" s="393" t="s">
        <v>622</v>
      </c>
      <c r="C16" s="781">
        <v>-1073946.4468733596</v>
      </c>
      <c r="D16" s="781">
        <v>-2716243.338491281</v>
      </c>
      <c r="E16" s="780">
        <f t="shared" si="0"/>
        <v>-3790189.7853646409</v>
      </c>
      <c r="F16" s="781">
        <v>-838733.51606290217</v>
      </c>
      <c r="G16" s="781">
        <v>-1484796.3874028369</v>
      </c>
      <c r="H16" s="780">
        <f t="shared" si="1"/>
        <v>-2323529.903465739</v>
      </c>
    </row>
    <row r="17" spans="1:9">
      <c r="A17" s="391">
        <v>2.4</v>
      </c>
      <c r="B17" s="393" t="s">
        <v>623</v>
      </c>
      <c r="C17" s="781"/>
      <c r="D17" s="781"/>
      <c r="E17" s="780">
        <f t="shared" si="0"/>
        <v>0</v>
      </c>
      <c r="F17" s="781"/>
      <c r="G17" s="781"/>
      <c r="H17" s="780">
        <f t="shared" si="1"/>
        <v>0</v>
      </c>
    </row>
    <row r="18" spans="1:9">
      <c r="A18" s="391">
        <v>3</v>
      </c>
      <c r="B18" s="395" t="s">
        <v>624</v>
      </c>
      <c r="C18" s="781"/>
      <c r="D18" s="781"/>
      <c r="E18" s="780">
        <f t="shared" si="0"/>
        <v>0</v>
      </c>
      <c r="F18" s="781"/>
      <c r="G18" s="781"/>
      <c r="H18" s="780">
        <f t="shared" si="1"/>
        <v>0</v>
      </c>
    </row>
    <row r="19" spans="1:9">
      <c r="A19" s="391">
        <v>4</v>
      </c>
      <c r="B19" s="395" t="s">
        <v>625</v>
      </c>
      <c r="C19" s="781">
        <v>434035.18</v>
      </c>
      <c r="D19" s="781">
        <v>388272.42796799995</v>
      </c>
      <c r="E19" s="780">
        <f t="shared" si="0"/>
        <v>822307.607968</v>
      </c>
      <c r="F19" s="781">
        <v>30669.140000000036</v>
      </c>
      <c r="G19" s="781">
        <v>137073.50077200006</v>
      </c>
      <c r="H19" s="780">
        <f t="shared" si="1"/>
        <v>167742.6407720001</v>
      </c>
    </row>
    <row r="20" spans="1:9">
      <c r="A20" s="391">
        <v>5</v>
      </c>
      <c r="B20" s="395" t="s">
        <v>626</v>
      </c>
      <c r="C20" s="781">
        <v>-6236.28</v>
      </c>
      <c r="D20" s="781">
        <v>-26369.68</v>
      </c>
      <c r="E20" s="780">
        <f t="shared" si="0"/>
        <v>-32605.96</v>
      </c>
      <c r="F20" s="781">
        <v>-9105.9600000000009</v>
      </c>
      <c r="G20" s="781">
        <v>-217219.67725199999</v>
      </c>
      <c r="H20" s="780">
        <f t="shared" si="1"/>
        <v>-226325.63725199999</v>
      </c>
    </row>
    <row r="21" spans="1:9" ht="24" customHeight="1">
      <c r="A21" s="391">
        <v>6</v>
      </c>
      <c r="B21" s="395" t="s">
        <v>627</v>
      </c>
      <c r="C21" s="781"/>
      <c r="D21" s="781"/>
      <c r="E21" s="780">
        <f t="shared" si="0"/>
        <v>0</v>
      </c>
      <c r="F21" s="781"/>
      <c r="G21" s="781"/>
      <c r="H21" s="780">
        <f t="shared" si="1"/>
        <v>0</v>
      </c>
    </row>
    <row r="22" spans="1:9" ht="18.600000000000001" customHeight="1">
      <c r="A22" s="391">
        <v>7</v>
      </c>
      <c r="B22" s="395" t="s">
        <v>628</v>
      </c>
      <c r="C22" s="781"/>
      <c r="D22" s="781"/>
      <c r="E22" s="780">
        <f t="shared" si="0"/>
        <v>0</v>
      </c>
      <c r="F22" s="781"/>
      <c r="G22" s="781"/>
      <c r="H22" s="780">
        <f t="shared" si="1"/>
        <v>0</v>
      </c>
    </row>
    <row r="23" spans="1:9" ht="25.5" customHeight="1">
      <c r="A23" s="391">
        <v>8</v>
      </c>
      <c r="B23" s="396" t="s">
        <v>629</v>
      </c>
      <c r="C23" s="781"/>
      <c r="D23" s="781"/>
      <c r="E23" s="780">
        <f t="shared" si="0"/>
        <v>0</v>
      </c>
      <c r="F23" s="781"/>
      <c r="G23" s="781"/>
      <c r="H23" s="780">
        <f t="shared" si="1"/>
        <v>0</v>
      </c>
    </row>
    <row r="24" spans="1:9" ht="34.5" customHeight="1">
      <c r="A24" s="391">
        <v>9</v>
      </c>
      <c r="B24" s="396" t="s">
        <v>630</v>
      </c>
      <c r="C24" s="781"/>
      <c r="D24" s="781"/>
      <c r="E24" s="780">
        <f t="shared" si="0"/>
        <v>0</v>
      </c>
      <c r="F24" s="781"/>
      <c r="G24" s="781"/>
      <c r="H24" s="780">
        <f t="shared" si="1"/>
        <v>0</v>
      </c>
    </row>
    <row r="25" spans="1:9">
      <c r="A25" s="391">
        <v>10</v>
      </c>
      <c r="B25" s="395" t="s">
        <v>631</v>
      </c>
      <c r="C25" s="781">
        <v>460161.92999999784</v>
      </c>
      <c r="D25" s="781">
        <v>0</v>
      </c>
      <c r="E25" s="780">
        <f t="shared" si="0"/>
        <v>460161.92999999784</v>
      </c>
      <c r="F25" s="781">
        <v>1222200.5300000035</v>
      </c>
      <c r="G25" s="781"/>
      <c r="H25" s="780">
        <f t="shared" si="1"/>
        <v>1222200.5300000035</v>
      </c>
    </row>
    <row r="26" spans="1:9">
      <c r="A26" s="391">
        <v>11</v>
      </c>
      <c r="B26" s="397" t="s">
        <v>632</v>
      </c>
      <c r="C26" s="781"/>
      <c r="D26" s="781"/>
      <c r="E26" s="780">
        <f t="shared" si="0"/>
        <v>0</v>
      </c>
      <c r="F26" s="781"/>
      <c r="G26" s="781"/>
      <c r="H26" s="780">
        <f t="shared" si="1"/>
        <v>0</v>
      </c>
    </row>
    <row r="27" spans="1:9">
      <c r="A27" s="391">
        <v>12</v>
      </c>
      <c r="B27" s="395" t="s">
        <v>633</v>
      </c>
      <c r="C27" s="781"/>
      <c r="D27" s="781"/>
      <c r="E27" s="780">
        <f t="shared" si="0"/>
        <v>0</v>
      </c>
      <c r="F27" s="781"/>
      <c r="G27" s="781"/>
      <c r="H27" s="780">
        <f t="shared" si="1"/>
        <v>0</v>
      </c>
    </row>
    <row r="28" spans="1:9">
      <c r="A28" s="391">
        <v>13</v>
      </c>
      <c r="B28" s="398" t="s">
        <v>634</v>
      </c>
      <c r="C28" s="781"/>
      <c r="D28" s="781"/>
      <c r="E28" s="780">
        <f t="shared" si="0"/>
        <v>0</v>
      </c>
      <c r="F28" s="781"/>
      <c r="G28" s="781"/>
      <c r="H28" s="780">
        <f t="shared" si="1"/>
        <v>0</v>
      </c>
    </row>
    <row r="29" spans="1:9">
      <c r="A29" s="391">
        <v>14</v>
      </c>
      <c r="B29" s="399" t="s">
        <v>635</v>
      </c>
      <c r="C29" s="779">
        <f>SUM(C30:C31)</f>
        <v>-1266735.0111564626</v>
      </c>
      <c r="D29" s="779">
        <f>SUM(D30:D31)</f>
        <v>-483474.27219221939</v>
      </c>
      <c r="E29" s="780">
        <f t="shared" si="0"/>
        <v>-1750209.2833486819</v>
      </c>
      <c r="F29" s="779">
        <f>SUM(F30:F31)</f>
        <v>-821216.85313520418</v>
      </c>
      <c r="G29" s="779">
        <f>SUM(G30:G31)</f>
        <v>-13853.672663999983</v>
      </c>
      <c r="H29" s="780">
        <f t="shared" si="1"/>
        <v>-835070.52579920413</v>
      </c>
    </row>
    <row r="30" spans="1:9">
      <c r="A30" s="391">
        <v>14.1</v>
      </c>
      <c r="B30" s="375" t="s">
        <v>636</v>
      </c>
      <c r="C30" s="781">
        <v>-791699.34115646267</v>
      </c>
      <c r="D30" s="781">
        <v>-451948.80219221936</v>
      </c>
      <c r="E30" s="780">
        <f t="shared" si="0"/>
        <v>-1243648.143348682</v>
      </c>
      <c r="F30" s="781">
        <v>-785203.56313520414</v>
      </c>
      <c r="G30" s="781">
        <v>-260423.00449999998</v>
      </c>
      <c r="H30" s="780">
        <f t="shared" si="1"/>
        <v>-1045626.5676352042</v>
      </c>
    </row>
    <row r="31" spans="1:9">
      <c r="A31" s="391">
        <v>14.2</v>
      </c>
      <c r="B31" s="375" t="s">
        <v>637</v>
      </c>
      <c r="C31" s="781">
        <v>-475035.67</v>
      </c>
      <c r="D31" s="781">
        <v>-31525.47</v>
      </c>
      <c r="E31" s="780">
        <f t="shared" si="0"/>
        <v>-506561.14</v>
      </c>
      <c r="F31" s="781">
        <v>-36013.290000000052</v>
      </c>
      <c r="G31" s="781">
        <v>246569.331836</v>
      </c>
      <c r="H31" s="780">
        <f t="shared" si="1"/>
        <v>210556.04183599993</v>
      </c>
      <c r="I31" s="761"/>
    </row>
    <row r="32" spans="1:9">
      <c r="A32" s="391">
        <v>15</v>
      </c>
      <c r="B32" s="395" t="s">
        <v>638</v>
      </c>
      <c r="C32" s="781">
        <v>-390642.09622876713</v>
      </c>
      <c r="D32" s="781">
        <v>0</v>
      </c>
      <c r="E32" s="780">
        <f t="shared" si="0"/>
        <v>-390642.09622876713</v>
      </c>
      <c r="F32" s="781">
        <v>-277917.87264383561</v>
      </c>
      <c r="G32" s="781">
        <v>0</v>
      </c>
      <c r="H32" s="780">
        <f t="shared" si="1"/>
        <v>-277917.87264383561</v>
      </c>
      <c r="I32" s="761"/>
    </row>
    <row r="33" spans="1:8" ht="22.5" customHeight="1">
      <c r="A33" s="391">
        <v>16</v>
      </c>
      <c r="B33" s="373" t="s">
        <v>639</v>
      </c>
      <c r="C33" s="781"/>
      <c r="D33" s="781"/>
      <c r="E33" s="780">
        <f t="shared" si="0"/>
        <v>0</v>
      </c>
      <c r="F33" s="781"/>
      <c r="G33" s="781"/>
      <c r="H33" s="780">
        <f t="shared" si="1"/>
        <v>0</v>
      </c>
    </row>
    <row r="34" spans="1:8">
      <c r="A34" s="391">
        <v>17</v>
      </c>
      <c r="B34" s="395" t="s">
        <v>640</v>
      </c>
      <c r="C34" s="779">
        <f>SUM(C35:C36)</f>
        <v>62786.983887603681</v>
      </c>
      <c r="D34" s="779">
        <f>SUM(D35:D36)</f>
        <v>-14404.768264535705</v>
      </c>
      <c r="E34" s="780">
        <f t="shared" si="0"/>
        <v>48382.215623067976</v>
      </c>
      <c r="F34" s="779">
        <f>SUM(F35:F36)</f>
        <v>-12487.96221898954</v>
      </c>
      <c r="G34" s="779">
        <f>SUM(G35:G36)</f>
        <v>-279022.02601661446</v>
      </c>
      <c r="H34" s="780">
        <f t="shared" si="1"/>
        <v>-291509.98823560402</v>
      </c>
    </row>
    <row r="35" spans="1:8">
      <c r="A35" s="391">
        <v>17.100000000000001</v>
      </c>
      <c r="B35" s="375" t="s">
        <v>641</v>
      </c>
      <c r="C35" s="781">
        <v>2174.8112353244105</v>
      </c>
      <c r="D35" s="781">
        <v>12912.920370876527</v>
      </c>
      <c r="E35" s="780">
        <f t="shared" si="0"/>
        <v>15087.731606200938</v>
      </c>
      <c r="F35" s="781">
        <v>-4865.6317758906098</v>
      </c>
      <c r="G35" s="781">
        <v>-12950.948902655407</v>
      </c>
      <c r="H35" s="780">
        <f t="shared" si="1"/>
        <v>-17816.580678546015</v>
      </c>
    </row>
    <row r="36" spans="1:8">
      <c r="A36" s="391">
        <v>17.2</v>
      </c>
      <c r="B36" s="375" t="s">
        <v>642</v>
      </c>
      <c r="C36" s="781">
        <v>60612.172652279267</v>
      </c>
      <c r="D36" s="781">
        <v>-27317.688635412233</v>
      </c>
      <c r="E36" s="780">
        <f t="shared" si="0"/>
        <v>33294.484016867034</v>
      </c>
      <c r="F36" s="781">
        <v>-7622.3304430989301</v>
      </c>
      <c r="G36" s="781">
        <v>-266071.07711395907</v>
      </c>
      <c r="H36" s="780">
        <f t="shared" si="1"/>
        <v>-273693.40755705797</v>
      </c>
    </row>
    <row r="37" spans="1:8" ht="41.45" customHeight="1">
      <c r="A37" s="391">
        <v>18</v>
      </c>
      <c r="B37" s="400" t="s">
        <v>643</v>
      </c>
      <c r="C37" s="779">
        <f>SUM(C38:C39)</f>
        <v>-31377.421407191265</v>
      </c>
      <c r="D37" s="779">
        <f>SUM(D38:D39)</f>
        <v>-116803.36168310717</v>
      </c>
      <c r="E37" s="780">
        <f t="shared" si="0"/>
        <v>-148180.78309029844</v>
      </c>
      <c r="F37" s="779">
        <f>SUM(F38:F39)</f>
        <v>19052.378591270568</v>
      </c>
      <c r="G37" s="779">
        <f>SUM(G38:G39)</f>
        <v>-258399.40155778269</v>
      </c>
      <c r="H37" s="780">
        <f t="shared" si="1"/>
        <v>-239347.02296651213</v>
      </c>
    </row>
    <row r="38" spans="1:8">
      <c r="A38" s="391">
        <v>18.100000000000001</v>
      </c>
      <c r="B38" s="401" t="s">
        <v>644</v>
      </c>
      <c r="C38" s="781">
        <v>0</v>
      </c>
      <c r="D38" s="781">
        <v>0</v>
      </c>
      <c r="E38" s="780">
        <f t="shared" si="0"/>
        <v>0</v>
      </c>
      <c r="F38" s="781"/>
      <c r="G38" s="781"/>
      <c r="H38" s="780">
        <f t="shared" si="1"/>
        <v>0</v>
      </c>
    </row>
    <row r="39" spans="1:8">
      <c r="A39" s="391">
        <v>18.2</v>
      </c>
      <c r="B39" s="401" t="s">
        <v>645</v>
      </c>
      <c r="C39" s="781">
        <v>-31377.421407191265</v>
      </c>
      <c r="D39" s="781">
        <v>-116803.36168310717</v>
      </c>
      <c r="E39" s="780">
        <f t="shared" si="0"/>
        <v>-148180.78309029844</v>
      </c>
      <c r="F39" s="781">
        <v>19052.378591270568</v>
      </c>
      <c r="G39" s="781">
        <v>-258399.40155778269</v>
      </c>
      <c r="H39" s="780">
        <f t="shared" si="1"/>
        <v>-239347.02296651213</v>
      </c>
    </row>
    <row r="40" spans="1:8" ht="24.6" customHeight="1">
      <c r="A40" s="391">
        <v>19</v>
      </c>
      <c r="B40" s="400" t="s">
        <v>646</v>
      </c>
      <c r="C40" s="781"/>
      <c r="D40" s="781"/>
      <c r="E40" s="780">
        <f t="shared" si="0"/>
        <v>0</v>
      </c>
      <c r="F40" s="781"/>
      <c r="G40" s="781"/>
      <c r="H40" s="780">
        <f t="shared" si="1"/>
        <v>0</v>
      </c>
    </row>
    <row r="41" spans="1:8" ht="17.45" customHeight="1">
      <c r="A41" s="391">
        <v>20</v>
      </c>
      <c r="B41" s="400" t="s">
        <v>647</v>
      </c>
      <c r="C41" s="781"/>
      <c r="D41" s="781"/>
      <c r="E41" s="780">
        <f t="shared" si="0"/>
        <v>0</v>
      </c>
      <c r="F41" s="781"/>
      <c r="G41" s="781"/>
      <c r="H41" s="780">
        <f t="shared" si="1"/>
        <v>0</v>
      </c>
    </row>
    <row r="42" spans="1:8" ht="26.45" customHeight="1">
      <c r="A42" s="391">
        <v>21</v>
      </c>
      <c r="B42" s="400" t="s">
        <v>648</v>
      </c>
      <c r="C42" s="781"/>
      <c r="D42" s="781"/>
      <c r="E42" s="780">
        <f t="shared" si="0"/>
        <v>0</v>
      </c>
      <c r="F42" s="781"/>
      <c r="G42" s="781"/>
      <c r="H42" s="780">
        <f t="shared" si="1"/>
        <v>0</v>
      </c>
    </row>
    <row r="43" spans="1:8">
      <c r="A43" s="391">
        <v>22</v>
      </c>
      <c r="B43" s="402" t="s">
        <v>649</v>
      </c>
      <c r="C43" s="779">
        <f>SUM(C6,C13,C18,C19,C20,C21,C22,C23,C24,C25,C26,C27,C28,C29,C32,C33,C34,C37,C40,C41,C42)</f>
        <v>3556478.1342432876</v>
      </c>
      <c r="D43" s="779">
        <f>SUM(D6,D13,D18,D19,D20,D21,D22,D23,D24,D25,D26,D27,D28,D29,D32,D33,D34,D37,D40,D41,D42)</f>
        <v>1658842.4828635023</v>
      </c>
      <c r="E43" s="780">
        <f t="shared" si="0"/>
        <v>5215320.6171067897</v>
      </c>
      <c r="F43" s="779">
        <f>SUM(F6,F13,F18,F19,F20,F21,F22,F23,F24,F25,F26,F27,F28,F29,F32,F33,F34,F37,F40,F41,F42)</f>
        <v>4778118.1191369109</v>
      </c>
      <c r="G43" s="779">
        <f>SUM(G6,G13,G18,G19,G20,G21,G22,G23,G24,G25,G26,G27,G28,G29,G32,G33,G34,G37,G40,G41,G42)</f>
        <v>989731.31317349616</v>
      </c>
      <c r="H43" s="780">
        <f t="shared" si="1"/>
        <v>5767849.432310407</v>
      </c>
    </row>
    <row r="44" spans="1:8">
      <c r="A44" s="391">
        <v>23</v>
      </c>
      <c r="B44" s="402" t="s">
        <v>650</v>
      </c>
      <c r="C44" s="781">
        <v>943503</v>
      </c>
      <c r="D44" s="781">
        <v>0</v>
      </c>
      <c r="E44" s="780">
        <f t="shared" si="0"/>
        <v>943503</v>
      </c>
      <c r="F44" s="781">
        <v>1440541.9</v>
      </c>
      <c r="G44" s="781"/>
      <c r="H44" s="780">
        <f t="shared" si="1"/>
        <v>1440541.9</v>
      </c>
    </row>
    <row r="45" spans="1:8">
      <c r="A45" s="391">
        <v>24</v>
      </c>
      <c r="B45" s="403" t="s">
        <v>651</v>
      </c>
      <c r="C45" s="779">
        <f>C43-C44</f>
        <v>2612975.1342432876</v>
      </c>
      <c r="D45" s="779">
        <f>D43-D44</f>
        <v>1658842.4828635023</v>
      </c>
      <c r="E45" s="780">
        <f t="shared" si="0"/>
        <v>4271817.6171067897</v>
      </c>
      <c r="F45" s="779">
        <f>F43-F44</f>
        <v>3337576.219136911</v>
      </c>
      <c r="G45" s="779">
        <f>G43-G44</f>
        <v>989731.31317349616</v>
      </c>
      <c r="H45" s="780">
        <f t="shared" si="1"/>
        <v>4327307.5323104076</v>
      </c>
    </row>
    <row r="48" spans="1:8">
      <c r="E48" s="761"/>
    </row>
    <row r="49" spans="5:5">
      <c r="E49" s="762"/>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Normal="100" workbookViewId="0">
      <selection activeCell="B4" sqref="B4:B5"/>
    </sheetView>
  </sheetViews>
  <sheetFormatPr defaultRowHeight="15"/>
  <cols>
    <col min="1" max="1" width="8.7109375" style="388"/>
    <col min="2" max="2" width="83.85546875" bestFit="1" customWidth="1"/>
    <col min="3" max="8" width="15.42578125"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45382</v>
      </c>
      <c r="C2" s="6"/>
      <c r="D2" s="7"/>
      <c r="E2" s="7"/>
      <c r="F2" s="7"/>
      <c r="G2" s="7"/>
      <c r="H2" s="8"/>
    </row>
    <row r="3" spans="1:8" ht="15.75" thickBot="1">
      <c r="A3"/>
    </row>
    <row r="4" spans="1:8">
      <c r="A4" s="813" t="s">
        <v>6</v>
      </c>
      <c r="B4" s="815" t="s">
        <v>94</v>
      </c>
      <c r="C4" s="803" t="s">
        <v>553</v>
      </c>
      <c r="D4" s="804"/>
      <c r="E4" s="804"/>
      <c r="F4" s="804" t="s">
        <v>554</v>
      </c>
      <c r="G4" s="804"/>
      <c r="H4" s="805"/>
    </row>
    <row r="5" spans="1:8">
      <c r="A5" s="814"/>
      <c r="B5" s="816"/>
      <c r="C5" s="601" t="s">
        <v>32</v>
      </c>
      <c r="D5" s="390" t="s">
        <v>33</v>
      </c>
      <c r="E5" s="390" t="s">
        <v>34</v>
      </c>
      <c r="F5" s="390" t="s">
        <v>32</v>
      </c>
      <c r="G5" s="390" t="s">
        <v>33</v>
      </c>
      <c r="H5" s="602" t="s">
        <v>34</v>
      </c>
    </row>
    <row r="6" spans="1:8" ht="15.75">
      <c r="A6" s="554">
        <v>1</v>
      </c>
      <c r="B6" s="591" t="s">
        <v>652</v>
      </c>
      <c r="C6" s="603"/>
      <c r="D6" s="604"/>
      <c r="E6" s="607">
        <f t="shared" ref="E6:E43" si="0">C6+D6</f>
        <v>0</v>
      </c>
      <c r="F6" s="604"/>
      <c r="G6" s="604"/>
      <c r="H6" s="789">
        <f t="shared" ref="H6:H43" si="1">F6+G6</f>
        <v>0</v>
      </c>
    </row>
    <row r="7" spans="1:8" ht="15.75">
      <c r="A7" s="554">
        <v>2</v>
      </c>
      <c r="B7" s="591" t="s">
        <v>196</v>
      </c>
      <c r="C7" s="603"/>
      <c r="D7" s="604"/>
      <c r="E7" s="607">
        <f t="shared" si="0"/>
        <v>0</v>
      </c>
      <c r="F7" s="604"/>
      <c r="G7" s="604"/>
      <c r="H7" s="789">
        <f t="shared" si="1"/>
        <v>0</v>
      </c>
    </row>
    <row r="8" spans="1:8" ht="15.75">
      <c r="A8" s="554">
        <v>3</v>
      </c>
      <c r="B8" s="591" t="s">
        <v>206</v>
      </c>
      <c r="C8" s="763">
        <f>C9+C10</f>
        <v>155521368.12264144</v>
      </c>
      <c r="D8" s="764">
        <f>D9+D10</f>
        <v>138090400.20000002</v>
      </c>
      <c r="E8" s="607">
        <f t="shared" si="0"/>
        <v>293611768.32264149</v>
      </c>
      <c r="F8" s="764">
        <f>F9+F10</f>
        <v>123353888.85000001</v>
      </c>
      <c r="G8" s="764">
        <f>G9+G10</f>
        <v>114639995</v>
      </c>
      <c r="H8" s="789">
        <f t="shared" si="1"/>
        <v>237993883.85000002</v>
      </c>
    </row>
    <row r="9" spans="1:8" ht="15.75">
      <c r="A9" s="554">
        <v>3.1</v>
      </c>
      <c r="B9" s="592" t="s">
        <v>197</v>
      </c>
      <c r="C9" s="603">
        <v>112099388.21264146</v>
      </c>
      <c r="D9" s="604">
        <v>94960125.430000007</v>
      </c>
      <c r="E9" s="607">
        <f t="shared" si="0"/>
        <v>207059513.64264148</v>
      </c>
      <c r="F9" s="604">
        <v>80849710.940000013</v>
      </c>
      <c r="G9" s="604">
        <v>80442550.420000002</v>
      </c>
      <c r="H9" s="789">
        <f t="shared" si="1"/>
        <v>161292261.36000001</v>
      </c>
    </row>
    <row r="10" spans="1:8" ht="15.75">
      <c r="A10" s="554">
        <v>3.2</v>
      </c>
      <c r="B10" s="592" t="s">
        <v>193</v>
      </c>
      <c r="C10" s="603">
        <v>43421979.909999996</v>
      </c>
      <c r="D10" s="604">
        <v>43130274.770000003</v>
      </c>
      <c r="E10" s="607">
        <f t="shared" si="0"/>
        <v>86552254.680000007</v>
      </c>
      <c r="F10" s="604">
        <v>42504177.909999996</v>
      </c>
      <c r="G10" s="604">
        <v>34197444.579999998</v>
      </c>
      <c r="H10" s="789">
        <f t="shared" si="1"/>
        <v>76701622.489999995</v>
      </c>
    </row>
    <row r="11" spans="1:8" ht="15.75">
      <c r="A11" s="554">
        <v>4</v>
      </c>
      <c r="B11" s="593" t="s">
        <v>195</v>
      </c>
      <c r="C11" s="763">
        <f>C12+C13</f>
        <v>19000000</v>
      </c>
      <c r="D11" s="764">
        <f>D12+D13</f>
        <v>0</v>
      </c>
      <c r="E11" s="607">
        <f t="shared" si="0"/>
        <v>19000000</v>
      </c>
      <c r="F11" s="764">
        <f>F12+F13</f>
        <v>0</v>
      </c>
      <c r="G11" s="764">
        <f>G12+G13</f>
        <v>0</v>
      </c>
      <c r="H11" s="789">
        <f t="shared" si="1"/>
        <v>0</v>
      </c>
    </row>
    <row r="12" spans="1:8" ht="15.75">
      <c r="A12" s="554">
        <v>4.0999999999999996</v>
      </c>
      <c r="B12" s="592" t="s">
        <v>179</v>
      </c>
      <c r="C12" s="603">
        <v>19000000</v>
      </c>
      <c r="D12" s="604"/>
      <c r="E12" s="607">
        <f t="shared" si="0"/>
        <v>19000000</v>
      </c>
      <c r="F12" s="604"/>
      <c r="G12" s="604"/>
      <c r="H12" s="789">
        <f t="shared" si="1"/>
        <v>0</v>
      </c>
    </row>
    <row r="13" spans="1:8" ht="15.75">
      <c r="A13" s="554">
        <v>4.2</v>
      </c>
      <c r="B13" s="592" t="s">
        <v>180</v>
      </c>
      <c r="C13" s="603"/>
      <c r="D13" s="604"/>
      <c r="E13" s="607">
        <f t="shared" si="0"/>
        <v>0</v>
      </c>
      <c r="F13" s="604"/>
      <c r="G13" s="604"/>
      <c r="H13" s="789">
        <f t="shared" si="1"/>
        <v>0</v>
      </c>
    </row>
    <row r="14" spans="1:8" ht="15.75">
      <c r="A14" s="554">
        <v>5</v>
      </c>
      <c r="B14" s="593" t="s">
        <v>205</v>
      </c>
      <c r="C14" s="763">
        <f>C15+C16+C17+C23+C24+C25+C26</f>
        <v>1506781.3866500002</v>
      </c>
      <c r="D14" s="764">
        <f>D15+D16+D17+D23+D24+D25+D26</f>
        <v>296385239.90746605</v>
      </c>
      <c r="E14" s="607">
        <f t="shared" si="0"/>
        <v>297892021.29411608</v>
      </c>
      <c r="F14" s="764">
        <f>F15+F16+F17+F23+F24+F25+F26</f>
        <v>10481207.9815</v>
      </c>
      <c r="G14" s="764">
        <f>G15+G16+G17+G23+G24+G25+G26</f>
        <v>291047303.51161116</v>
      </c>
      <c r="H14" s="789">
        <f t="shared" si="1"/>
        <v>301528511.49311113</v>
      </c>
    </row>
    <row r="15" spans="1:8" ht="15.75">
      <c r="A15" s="554">
        <v>5.0999999999999996</v>
      </c>
      <c r="B15" s="594" t="s">
        <v>183</v>
      </c>
      <c r="C15" s="603">
        <v>1506781.3866500002</v>
      </c>
      <c r="D15" s="604">
        <v>8755227.3539784048</v>
      </c>
      <c r="E15" s="607">
        <f t="shared" si="0"/>
        <v>10262008.740628405</v>
      </c>
      <c r="F15" s="604">
        <v>10481207.9815</v>
      </c>
      <c r="G15" s="604">
        <v>8849696.9451325089</v>
      </c>
      <c r="H15" s="789">
        <f t="shared" si="1"/>
        <v>19330904.926632509</v>
      </c>
    </row>
    <row r="16" spans="1:8" ht="15.75">
      <c r="A16" s="554">
        <v>5.2</v>
      </c>
      <c r="B16" s="594" t="s">
        <v>182</v>
      </c>
      <c r="C16" s="603"/>
      <c r="D16" s="604"/>
      <c r="E16" s="607">
        <f t="shared" si="0"/>
        <v>0</v>
      </c>
      <c r="F16" s="604"/>
      <c r="G16" s="604"/>
      <c r="H16" s="789">
        <f t="shared" si="1"/>
        <v>0</v>
      </c>
    </row>
    <row r="17" spans="1:8" ht="15.75">
      <c r="A17" s="554">
        <v>5.3</v>
      </c>
      <c r="B17" s="594" t="s">
        <v>181</v>
      </c>
      <c r="C17" s="763">
        <f>C18+C19+C20+C21+C22</f>
        <v>0</v>
      </c>
      <c r="D17" s="764">
        <f>D18+D19+D20+D21+D22</f>
        <v>266214253.2495445</v>
      </c>
      <c r="E17" s="607">
        <f t="shared" si="0"/>
        <v>266214253.2495445</v>
      </c>
      <c r="F17" s="763">
        <f>F18+F19+F20+F21+F22</f>
        <v>0</v>
      </c>
      <c r="G17" s="764">
        <f>G18+G19+G20+G21+G22</f>
        <v>245346514.04388332</v>
      </c>
      <c r="H17" s="789">
        <f t="shared" si="1"/>
        <v>245346514.04388332</v>
      </c>
    </row>
    <row r="18" spans="1:8" ht="15.75">
      <c r="A18" s="554" t="s">
        <v>15</v>
      </c>
      <c r="B18" s="595" t="s">
        <v>36</v>
      </c>
      <c r="C18" s="603"/>
      <c r="D18" s="604">
        <v>26006470.399948008</v>
      </c>
      <c r="E18" s="607">
        <f t="shared" si="0"/>
        <v>26006470.399948008</v>
      </c>
      <c r="F18" s="604"/>
      <c r="G18" s="604">
        <v>35810661.852017529</v>
      </c>
      <c r="H18" s="789">
        <f t="shared" si="1"/>
        <v>35810661.852017529</v>
      </c>
    </row>
    <row r="19" spans="1:8" ht="15.75">
      <c r="A19" s="554" t="s">
        <v>16</v>
      </c>
      <c r="B19" s="595" t="s">
        <v>37</v>
      </c>
      <c r="C19" s="603"/>
      <c r="D19" s="604">
        <v>161016295.00778165</v>
      </c>
      <c r="E19" s="607">
        <f t="shared" si="0"/>
        <v>161016295.00778165</v>
      </c>
      <c r="F19" s="604"/>
      <c r="G19" s="604">
        <v>177062548.25670883</v>
      </c>
      <c r="H19" s="789">
        <f t="shared" si="1"/>
        <v>177062548.25670883</v>
      </c>
    </row>
    <row r="20" spans="1:8" ht="15.75">
      <c r="A20" s="554" t="s">
        <v>17</v>
      </c>
      <c r="B20" s="595" t="s">
        <v>38</v>
      </c>
      <c r="C20" s="603"/>
      <c r="D20" s="604">
        <v>159728.55194972671</v>
      </c>
      <c r="E20" s="607">
        <f t="shared" si="0"/>
        <v>159728.55194972671</v>
      </c>
      <c r="F20" s="604"/>
      <c r="G20" s="604">
        <v>176714.33483362582</v>
      </c>
      <c r="H20" s="789">
        <f t="shared" si="1"/>
        <v>176714.33483362582</v>
      </c>
    </row>
    <row r="21" spans="1:8" ht="15.75">
      <c r="A21" s="554" t="s">
        <v>18</v>
      </c>
      <c r="B21" s="595" t="s">
        <v>39</v>
      </c>
      <c r="C21" s="603"/>
      <c r="D21" s="604">
        <v>79031759.289865121</v>
      </c>
      <c r="E21" s="607">
        <f t="shared" si="0"/>
        <v>79031759.289865121</v>
      </c>
      <c r="F21" s="604"/>
      <c r="G21" s="604">
        <v>32296589.600323342</v>
      </c>
      <c r="H21" s="789">
        <f t="shared" si="1"/>
        <v>32296589.600323342</v>
      </c>
    </row>
    <row r="22" spans="1:8" ht="15.75">
      <c r="A22" s="554" t="s">
        <v>19</v>
      </c>
      <c r="B22" s="595" t="s">
        <v>40</v>
      </c>
      <c r="C22" s="603"/>
      <c r="D22" s="604">
        <v>0</v>
      </c>
      <c r="E22" s="607">
        <f t="shared" si="0"/>
        <v>0</v>
      </c>
      <c r="F22" s="604"/>
      <c r="G22" s="604">
        <v>0</v>
      </c>
      <c r="H22" s="789">
        <f t="shared" si="1"/>
        <v>0</v>
      </c>
    </row>
    <row r="23" spans="1:8" ht="15.75">
      <c r="A23" s="554">
        <v>5.4</v>
      </c>
      <c r="B23" s="594" t="s">
        <v>184</v>
      </c>
      <c r="C23" s="603"/>
      <c r="D23" s="604">
        <v>15960797.005860288</v>
      </c>
      <c r="E23" s="607">
        <f t="shared" si="0"/>
        <v>15960797.005860288</v>
      </c>
      <c r="F23" s="604"/>
      <c r="G23" s="604">
        <v>22804975.632934701</v>
      </c>
      <c r="H23" s="789">
        <f t="shared" si="1"/>
        <v>22804975.632934701</v>
      </c>
    </row>
    <row r="24" spans="1:8" ht="15.75">
      <c r="A24" s="554">
        <v>5.5</v>
      </c>
      <c r="B24" s="594" t="s">
        <v>185</v>
      </c>
      <c r="C24" s="603"/>
      <c r="D24" s="604">
        <v>0</v>
      </c>
      <c r="E24" s="607">
        <f t="shared" si="0"/>
        <v>0</v>
      </c>
      <c r="F24" s="604"/>
      <c r="G24" s="604">
        <v>0</v>
      </c>
      <c r="H24" s="789">
        <f t="shared" si="1"/>
        <v>0</v>
      </c>
    </row>
    <row r="25" spans="1:8" ht="15.75">
      <c r="A25" s="554">
        <v>5.6</v>
      </c>
      <c r="B25" s="594" t="s">
        <v>186</v>
      </c>
      <c r="C25" s="603"/>
      <c r="D25" s="604">
        <v>0</v>
      </c>
      <c r="E25" s="607">
        <f t="shared" si="0"/>
        <v>0</v>
      </c>
      <c r="F25" s="604"/>
      <c r="G25" s="604">
        <v>0</v>
      </c>
      <c r="H25" s="789">
        <f t="shared" si="1"/>
        <v>0</v>
      </c>
    </row>
    <row r="26" spans="1:8" ht="15.75">
      <c r="A26" s="554">
        <v>5.7</v>
      </c>
      <c r="B26" s="594" t="s">
        <v>40</v>
      </c>
      <c r="C26" s="603"/>
      <c r="D26" s="604">
        <v>5454962.2980828602</v>
      </c>
      <c r="E26" s="607">
        <f t="shared" si="0"/>
        <v>5454962.2980828602</v>
      </c>
      <c r="F26" s="604"/>
      <c r="G26" s="604">
        <v>14046116.88966066</v>
      </c>
      <c r="H26" s="789">
        <f t="shared" si="1"/>
        <v>14046116.88966066</v>
      </c>
    </row>
    <row r="27" spans="1:8" ht="15.75">
      <c r="A27" s="554">
        <v>6</v>
      </c>
      <c r="B27" s="596" t="s">
        <v>653</v>
      </c>
      <c r="C27" s="603">
        <v>33030.82</v>
      </c>
      <c r="D27" s="604">
        <v>0</v>
      </c>
      <c r="E27" s="607">
        <f t="shared" si="0"/>
        <v>33030.82</v>
      </c>
      <c r="F27" s="604">
        <v>53571.419999999991</v>
      </c>
      <c r="G27" s="604">
        <v>0</v>
      </c>
      <c r="H27" s="789">
        <f t="shared" si="1"/>
        <v>53571.419999999991</v>
      </c>
    </row>
    <row r="28" spans="1:8" ht="15.75">
      <c r="A28" s="554">
        <v>7</v>
      </c>
      <c r="B28" s="596" t="s">
        <v>654</v>
      </c>
      <c r="C28" s="603">
        <v>48210205.899999991</v>
      </c>
      <c r="D28" s="604">
        <v>71109050.770000011</v>
      </c>
      <c r="E28" s="607">
        <f t="shared" si="0"/>
        <v>119319256.67</v>
      </c>
      <c r="F28" s="604">
        <v>46588551.770000003</v>
      </c>
      <c r="G28" s="604">
        <v>55012255.220000006</v>
      </c>
      <c r="H28" s="789">
        <f t="shared" si="1"/>
        <v>101600806.99000001</v>
      </c>
    </row>
    <row r="29" spans="1:8" ht="15.75">
      <c r="A29" s="554">
        <v>8</v>
      </c>
      <c r="B29" s="596" t="s">
        <v>194</v>
      </c>
      <c r="C29" s="603">
        <v>0</v>
      </c>
      <c r="D29" s="604">
        <v>990258.6100000001</v>
      </c>
      <c r="E29" s="607">
        <f t="shared" si="0"/>
        <v>990258.6100000001</v>
      </c>
      <c r="F29" s="604"/>
      <c r="G29" s="604"/>
      <c r="H29" s="789">
        <f t="shared" si="1"/>
        <v>0</v>
      </c>
    </row>
    <row r="30" spans="1:8" ht="15.75">
      <c r="A30" s="554">
        <v>9</v>
      </c>
      <c r="B30" s="597" t="s">
        <v>211</v>
      </c>
      <c r="C30" s="603">
        <f>C31+C32+C33+C34+C35+C36+C37</f>
        <v>0</v>
      </c>
      <c r="D30" s="604">
        <f>D31+D32+D33+D34+D35+D36+D37</f>
        <v>0</v>
      </c>
      <c r="E30" s="607">
        <f t="shared" si="0"/>
        <v>0</v>
      </c>
      <c r="F30" s="604">
        <f>F31+F32+F33+F34+F35+F36+F37</f>
        <v>0</v>
      </c>
      <c r="G30" s="604">
        <f>G31+G32+G33+G34+G35+G36+G37</f>
        <v>0</v>
      </c>
      <c r="H30" s="789">
        <f t="shared" si="1"/>
        <v>0</v>
      </c>
    </row>
    <row r="31" spans="1:8" ht="15.75">
      <c r="A31" s="554">
        <v>9.1</v>
      </c>
      <c r="B31" s="598" t="s">
        <v>201</v>
      </c>
      <c r="C31" s="603"/>
      <c r="D31" s="604"/>
      <c r="E31" s="607">
        <f t="shared" si="0"/>
        <v>0</v>
      </c>
      <c r="F31" s="604"/>
      <c r="G31" s="604"/>
      <c r="H31" s="789">
        <f t="shared" si="1"/>
        <v>0</v>
      </c>
    </row>
    <row r="32" spans="1:8" ht="15.75">
      <c r="A32" s="554">
        <v>9.1999999999999993</v>
      </c>
      <c r="B32" s="598" t="s">
        <v>202</v>
      </c>
      <c r="C32" s="603"/>
      <c r="D32" s="604"/>
      <c r="E32" s="607">
        <f t="shared" si="0"/>
        <v>0</v>
      </c>
      <c r="F32" s="604"/>
      <c r="G32" s="604"/>
      <c r="H32" s="789">
        <f t="shared" si="1"/>
        <v>0</v>
      </c>
    </row>
    <row r="33" spans="1:8" ht="15.75">
      <c r="A33" s="554">
        <v>9.3000000000000007</v>
      </c>
      <c r="B33" s="598" t="s">
        <v>198</v>
      </c>
      <c r="C33" s="603"/>
      <c r="D33" s="604"/>
      <c r="E33" s="607">
        <f t="shared" si="0"/>
        <v>0</v>
      </c>
      <c r="F33" s="604"/>
      <c r="G33" s="604"/>
      <c r="H33" s="789">
        <f t="shared" si="1"/>
        <v>0</v>
      </c>
    </row>
    <row r="34" spans="1:8" ht="15.75">
      <c r="A34" s="554">
        <v>9.4</v>
      </c>
      <c r="B34" s="598" t="s">
        <v>199</v>
      </c>
      <c r="C34" s="603"/>
      <c r="D34" s="604"/>
      <c r="E34" s="607">
        <f t="shared" si="0"/>
        <v>0</v>
      </c>
      <c r="F34" s="604"/>
      <c r="G34" s="604"/>
      <c r="H34" s="789">
        <f t="shared" si="1"/>
        <v>0</v>
      </c>
    </row>
    <row r="35" spans="1:8" ht="15.75">
      <c r="A35" s="554">
        <v>9.5</v>
      </c>
      <c r="B35" s="598" t="s">
        <v>200</v>
      </c>
      <c r="C35" s="603"/>
      <c r="D35" s="604"/>
      <c r="E35" s="607">
        <f t="shared" si="0"/>
        <v>0</v>
      </c>
      <c r="F35" s="604"/>
      <c r="G35" s="604"/>
      <c r="H35" s="789">
        <f t="shared" si="1"/>
        <v>0</v>
      </c>
    </row>
    <row r="36" spans="1:8" ht="15.75">
      <c r="A36" s="554">
        <v>9.6</v>
      </c>
      <c r="B36" s="598" t="s">
        <v>203</v>
      </c>
      <c r="C36" s="603"/>
      <c r="D36" s="604"/>
      <c r="E36" s="607">
        <f t="shared" si="0"/>
        <v>0</v>
      </c>
      <c r="F36" s="604"/>
      <c r="G36" s="604"/>
      <c r="H36" s="789">
        <f t="shared" si="1"/>
        <v>0</v>
      </c>
    </row>
    <row r="37" spans="1:8" ht="15.75">
      <c r="A37" s="554">
        <v>9.6999999999999993</v>
      </c>
      <c r="B37" s="598" t="s">
        <v>204</v>
      </c>
      <c r="C37" s="603"/>
      <c r="D37" s="604"/>
      <c r="E37" s="607">
        <f t="shared" si="0"/>
        <v>0</v>
      </c>
      <c r="F37" s="604"/>
      <c r="G37" s="604"/>
      <c r="H37" s="789">
        <f t="shared" si="1"/>
        <v>0</v>
      </c>
    </row>
    <row r="38" spans="1:8" ht="15.75">
      <c r="A38" s="554">
        <v>10</v>
      </c>
      <c r="B38" s="593" t="s">
        <v>207</v>
      </c>
      <c r="C38" s="603">
        <f>C39+C40+C41+C42</f>
        <v>0</v>
      </c>
      <c r="D38" s="604">
        <f>D39+D40+D41+D42</f>
        <v>0</v>
      </c>
      <c r="E38" s="607">
        <f t="shared" si="0"/>
        <v>0</v>
      </c>
      <c r="F38" s="604">
        <f>F39+F40+F41+F42</f>
        <v>0</v>
      </c>
      <c r="G38" s="604">
        <f>G39+G40+G41+G42</f>
        <v>0</v>
      </c>
      <c r="H38" s="789">
        <f t="shared" si="1"/>
        <v>0</v>
      </c>
    </row>
    <row r="39" spans="1:8" ht="15.75">
      <c r="A39" s="554">
        <v>10.1</v>
      </c>
      <c r="B39" s="599" t="s">
        <v>208</v>
      </c>
      <c r="C39" s="603"/>
      <c r="D39" s="604"/>
      <c r="E39" s="607">
        <f t="shared" si="0"/>
        <v>0</v>
      </c>
      <c r="F39" s="604"/>
      <c r="G39" s="604"/>
      <c r="H39" s="789">
        <f t="shared" si="1"/>
        <v>0</v>
      </c>
    </row>
    <row r="40" spans="1:8" ht="25.5">
      <c r="A40" s="554">
        <v>10.199999999999999</v>
      </c>
      <c r="B40" s="599" t="s">
        <v>209</v>
      </c>
      <c r="C40" s="603"/>
      <c r="D40" s="604"/>
      <c r="E40" s="607">
        <f t="shared" si="0"/>
        <v>0</v>
      </c>
      <c r="F40" s="604"/>
      <c r="G40" s="604"/>
      <c r="H40" s="789">
        <f t="shared" si="1"/>
        <v>0</v>
      </c>
    </row>
    <row r="41" spans="1:8" ht="15.75">
      <c r="A41" s="554">
        <v>10.3</v>
      </c>
      <c r="B41" s="599" t="s">
        <v>212</v>
      </c>
      <c r="C41" s="603"/>
      <c r="D41" s="604"/>
      <c r="E41" s="607">
        <f t="shared" si="0"/>
        <v>0</v>
      </c>
      <c r="F41" s="604"/>
      <c r="G41" s="604"/>
      <c r="H41" s="789">
        <f t="shared" si="1"/>
        <v>0</v>
      </c>
    </row>
    <row r="42" spans="1:8" ht="25.5">
      <c r="A42" s="554">
        <v>10.4</v>
      </c>
      <c r="B42" s="599" t="s">
        <v>213</v>
      </c>
      <c r="C42" s="603"/>
      <c r="D42" s="604"/>
      <c r="E42" s="607">
        <f t="shared" si="0"/>
        <v>0</v>
      </c>
      <c r="F42" s="604"/>
      <c r="G42" s="604"/>
      <c r="H42" s="789">
        <f t="shared" si="1"/>
        <v>0</v>
      </c>
    </row>
    <row r="43" spans="1:8" ht="16.5" thickBot="1">
      <c r="A43" s="559">
        <v>11</v>
      </c>
      <c r="B43" s="600" t="s">
        <v>210</v>
      </c>
      <c r="C43" s="605"/>
      <c r="D43" s="606"/>
      <c r="E43" s="608">
        <f t="shared" si="0"/>
        <v>0</v>
      </c>
      <c r="F43" s="606"/>
      <c r="G43" s="606"/>
      <c r="H43" s="790">
        <f t="shared" si="1"/>
        <v>0</v>
      </c>
    </row>
    <row r="44" spans="1:8" ht="15.75">
      <c r="C44" s="404"/>
      <c r="D44" s="404"/>
      <c r="E44" s="404"/>
      <c r="F44" s="404"/>
      <c r="G44" s="404"/>
      <c r="H44" s="404"/>
    </row>
    <row r="45" spans="1:8" ht="15.75">
      <c r="C45" s="404"/>
      <c r="D45" s="404"/>
      <c r="E45" s="404"/>
      <c r="F45" s="404"/>
      <c r="G45" s="404"/>
      <c r="H45" s="404"/>
    </row>
    <row r="46" spans="1:8" ht="15.75">
      <c r="C46" s="404"/>
      <c r="D46" s="404"/>
      <c r="E46" s="404"/>
      <c r="F46" s="404"/>
      <c r="G46" s="404"/>
      <c r="H46" s="404"/>
    </row>
    <row r="47" spans="1:8" ht="15.75">
      <c r="C47" s="404"/>
      <c r="D47" s="404"/>
      <c r="E47" s="404"/>
      <c r="F47" s="404"/>
      <c r="G47" s="404"/>
      <c r="H47" s="404"/>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7" bestFit="1" customWidth="1"/>
    <col min="8" max="11" width="9.7109375" style="17" customWidth="1"/>
    <col min="12" max="16384" width="9.140625" style="17"/>
  </cols>
  <sheetData>
    <row r="1" spans="1:8">
      <c r="A1" s="2" t="s">
        <v>30</v>
      </c>
      <c r="B1" s="537" t="str">
        <f>'1. key ratios '!B1</f>
        <v>JSC Isbank Georgia</v>
      </c>
      <c r="C1" s="3"/>
    </row>
    <row r="2" spans="1:8">
      <c r="A2" s="2" t="s">
        <v>31</v>
      </c>
      <c r="B2" s="538">
        <f>'1. key ratios '!B2</f>
        <v>45382</v>
      </c>
      <c r="C2" s="6"/>
      <c r="D2" s="7"/>
      <c r="E2" s="19"/>
      <c r="F2" s="19"/>
      <c r="G2" s="19"/>
      <c r="H2" s="19"/>
    </row>
    <row r="3" spans="1:8">
      <c r="A3" s="2"/>
      <c r="B3" s="3"/>
      <c r="C3" s="6"/>
      <c r="D3" s="7"/>
      <c r="E3" s="19"/>
      <c r="F3" s="19"/>
      <c r="G3" s="19"/>
      <c r="H3" s="19"/>
    </row>
    <row r="4" spans="1:8" ht="15" customHeight="1" thickBot="1">
      <c r="A4" s="7" t="s">
        <v>96</v>
      </c>
      <c r="B4" s="93" t="s">
        <v>187</v>
      </c>
      <c r="C4" s="20" t="s">
        <v>35</v>
      </c>
    </row>
    <row r="5" spans="1:8" ht="15" customHeight="1">
      <c r="A5" s="165" t="s">
        <v>6</v>
      </c>
      <c r="B5" s="609"/>
      <c r="C5" s="619" t="str">
        <f>INT((MONTH($B$2))/3)&amp;"Q"&amp;"-"&amp;YEAR($B$2)</f>
        <v>1Q-2024</v>
      </c>
      <c r="D5" s="620" t="str">
        <f>IF(INT(MONTH($B$2))=3, "4"&amp;"Q"&amp;"-"&amp;YEAR($B$2)-1, IF(INT(MONTH($B$2))=6, "1"&amp;"Q"&amp;"-"&amp;YEAR($B$2), IF(INT(MONTH($B$2))=9, "2"&amp;"Q"&amp;"-"&amp;YEAR($B$2),IF(INT(MONTH($B$2))=12, "3"&amp;"Q"&amp;"-"&amp;YEAR($B$2), 0))))</f>
        <v>4Q-2023</v>
      </c>
      <c r="E5" s="620" t="str">
        <f>IF(INT(MONTH($B$2))=3, "3"&amp;"Q"&amp;"-"&amp;YEAR($B$2)-1, IF(INT(MONTH($B$2))=6, "4"&amp;"Q"&amp;"-"&amp;YEAR($B$2)-1, IF(INT(MONTH($B$2))=9, "1"&amp;"Q"&amp;"-"&amp;YEAR($B$2),IF(INT(MONTH($B$2))=12, "2"&amp;"Q"&amp;"-"&amp;YEAR($B$2), 0))))</f>
        <v>3Q-2023</v>
      </c>
      <c r="F5" s="620" t="str">
        <f>IF(INT(MONTH($B$2))=3, "2"&amp;"Q"&amp;"-"&amp;YEAR($B$2)-1, IF(INT(MONTH($B$2))=6, "3"&amp;"Q"&amp;"-"&amp;YEAR($B$2)-1, IF(INT(MONTH($B$2))=9, "4"&amp;"Q"&amp;"-"&amp;YEAR($B$2)-1,IF(INT(MONTH($B$2))=12, "1"&amp;"Q"&amp;"-"&amp;YEAR($B$2), 0))))</f>
        <v>2Q-2023</v>
      </c>
      <c r="G5" s="621" t="str">
        <f>IF(INT(MONTH($B$2))=3, "1"&amp;"Q"&amp;"-"&amp;YEAR($B$2)-1, IF(INT(MONTH($B$2))=6, "2"&amp;"Q"&amp;"-"&amp;YEAR($B$2)-1, IF(INT(MONTH($B$2))=9, "3"&amp;"Q"&amp;"-"&amp;YEAR($B$2)-1,IF(INT(MONTH($B$2))=12, "4"&amp;"Q"&amp;"-"&amp;YEAR($B$2)-1, 0))))</f>
        <v>1Q-2023</v>
      </c>
    </row>
    <row r="6" spans="1:8" ht="15" customHeight="1">
      <c r="A6" s="21">
        <v>1</v>
      </c>
      <c r="B6" s="610" t="s">
        <v>191</v>
      </c>
      <c r="C6" s="622">
        <f>C7+C9+C10</f>
        <v>463663570.65652567</v>
      </c>
      <c r="D6" s="623">
        <f>D7+D9+D10</f>
        <v>456390072.67758626</v>
      </c>
      <c r="E6" s="623">
        <f t="shared" ref="E6:G6" si="0">E7+E9+E10</f>
        <v>430805894.93980312</v>
      </c>
      <c r="F6" s="623">
        <f t="shared" si="0"/>
        <v>389461201.18810642</v>
      </c>
      <c r="G6" s="624">
        <f t="shared" si="0"/>
        <v>419845683.75233501</v>
      </c>
    </row>
    <row r="7" spans="1:8" ht="15" customHeight="1">
      <c r="A7" s="21">
        <v>1.1000000000000001</v>
      </c>
      <c r="B7" s="610" t="s">
        <v>355</v>
      </c>
      <c r="C7" s="613">
        <v>402269054.15615577</v>
      </c>
      <c r="D7" s="614">
        <v>395899523.99194574</v>
      </c>
      <c r="E7" s="614">
        <v>378922849.31612635</v>
      </c>
      <c r="F7" s="614">
        <v>340212779.61659187</v>
      </c>
      <c r="G7" s="615">
        <v>368466415.49733502</v>
      </c>
    </row>
    <row r="8" spans="1:8">
      <c r="A8" s="21" t="s">
        <v>14</v>
      </c>
      <c r="B8" s="610" t="s">
        <v>95</v>
      </c>
      <c r="C8" s="613"/>
      <c r="D8" s="614"/>
      <c r="E8" s="614"/>
      <c r="F8" s="614"/>
      <c r="G8" s="615"/>
    </row>
    <row r="9" spans="1:8" ht="15" customHeight="1">
      <c r="A9" s="21">
        <v>1.2</v>
      </c>
      <c r="B9" s="611" t="s">
        <v>94</v>
      </c>
      <c r="C9" s="613">
        <v>61394516.500369921</v>
      </c>
      <c r="D9" s="614">
        <v>60490548.685640536</v>
      </c>
      <c r="E9" s="614">
        <v>51883045.623676777</v>
      </c>
      <c r="F9" s="614">
        <v>49248421.571514562</v>
      </c>
      <c r="G9" s="615">
        <v>51379268.254999988</v>
      </c>
    </row>
    <row r="10" spans="1:8" ht="15" customHeight="1">
      <c r="A10" s="21">
        <v>1.3</v>
      </c>
      <c r="B10" s="610" t="s">
        <v>28</v>
      </c>
      <c r="C10" s="616"/>
      <c r="D10" s="614"/>
      <c r="E10" s="617"/>
      <c r="F10" s="614"/>
      <c r="G10" s="618"/>
    </row>
    <row r="11" spans="1:8" ht="15" customHeight="1">
      <c r="A11" s="21">
        <v>2</v>
      </c>
      <c r="B11" s="610" t="s">
        <v>188</v>
      </c>
      <c r="C11" s="613">
        <v>1611426.084706008</v>
      </c>
      <c r="D11" s="614">
        <v>1630160.4093773637</v>
      </c>
      <c r="E11" s="614">
        <v>1428117.273186754</v>
      </c>
      <c r="F11" s="614">
        <v>3081632.0329861687</v>
      </c>
      <c r="G11" s="615">
        <v>2782348.8581453227</v>
      </c>
    </row>
    <row r="12" spans="1:8" ht="15" customHeight="1">
      <c r="A12" s="21">
        <v>3</v>
      </c>
      <c r="B12" s="610" t="s">
        <v>189</v>
      </c>
      <c r="C12" s="616">
        <v>50929556.451571435</v>
      </c>
      <c r="D12" s="614">
        <v>50929556.451571435</v>
      </c>
      <c r="E12" s="617">
        <v>43275000</v>
      </c>
      <c r="F12" s="614">
        <v>43275000</v>
      </c>
      <c r="G12" s="618">
        <v>43275000</v>
      </c>
    </row>
    <row r="13" spans="1:8" ht="15" customHeight="1" thickBot="1">
      <c r="A13" s="23">
        <v>4</v>
      </c>
      <c r="B13" s="612" t="s">
        <v>190</v>
      </c>
      <c r="C13" s="625">
        <f>C6+C11+C12</f>
        <v>516204553.19280314</v>
      </c>
      <c r="D13" s="626">
        <f>D6+D11+D12</f>
        <v>508949789.538535</v>
      </c>
      <c r="E13" s="626">
        <f t="shared" ref="E13:G13" si="1">E6+E11+E12</f>
        <v>475509012.21298987</v>
      </c>
      <c r="F13" s="626">
        <f t="shared" si="1"/>
        <v>435817833.22109258</v>
      </c>
      <c r="G13" s="627">
        <f t="shared" si="1"/>
        <v>465903032.61048031</v>
      </c>
    </row>
    <row r="14" spans="1:8">
      <c r="B14" s="26"/>
    </row>
    <row r="15" spans="1:8">
      <c r="B15" s="27"/>
    </row>
    <row r="16" spans="1:8">
      <c r="B16" s="27"/>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4" bestFit="1" customWidth="1"/>
    <col min="2" max="2" width="65.5703125" style="4" customWidth="1"/>
    <col min="3" max="3" width="27.5703125" style="4" customWidth="1"/>
    <col min="4" max="16384" width="9.140625" style="5"/>
  </cols>
  <sheetData>
    <row r="1" spans="1:8">
      <c r="A1" s="650" t="s">
        <v>30</v>
      </c>
      <c r="B1" s="537" t="str">
        <f>'1. key ratios '!B1</f>
        <v>JSC Isbank Georgia</v>
      </c>
    </row>
    <row r="2" spans="1:8">
      <c r="A2" s="650" t="s">
        <v>31</v>
      </c>
      <c r="B2" s="538">
        <f>'1. key ratios '!B2</f>
        <v>45382</v>
      </c>
    </row>
    <row r="4" spans="1:8" ht="27.95" customHeight="1" thickBot="1">
      <c r="A4" s="28" t="s">
        <v>41</v>
      </c>
      <c r="B4" s="29" t="s">
        <v>163</v>
      </c>
      <c r="C4" s="30"/>
    </row>
    <row r="5" spans="1:8">
      <c r="A5" s="31"/>
      <c r="B5" s="310" t="s">
        <v>42</v>
      </c>
      <c r="C5" s="311" t="s">
        <v>366</v>
      </c>
    </row>
    <row r="6" spans="1:8">
      <c r="A6" s="32">
        <v>1</v>
      </c>
      <c r="B6" s="628" t="s">
        <v>708</v>
      </c>
      <c r="C6" s="629" t="s">
        <v>711</v>
      </c>
    </row>
    <row r="7" spans="1:8">
      <c r="A7" s="32">
        <v>2</v>
      </c>
      <c r="B7" s="628" t="s">
        <v>712</v>
      </c>
      <c r="C7" s="629" t="s">
        <v>713</v>
      </c>
    </row>
    <row r="8" spans="1:8">
      <c r="A8" s="32">
        <v>3</v>
      </c>
      <c r="B8" s="628" t="s">
        <v>714</v>
      </c>
      <c r="C8" s="629" t="s">
        <v>713</v>
      </c>
    </row>
    <row r="9" spans="1:8">
      <c r="A9" s="32">
        <v>4</v>
      </c>
      <c r="B9" s="628" t="s">
        <v>730</v>
      </c>
      <c r="C9" s="629" t="s">
        <v>713</v>
      </c>
    </row>
    <row r="10" spans="1:8">
      <c r="A10" s="32">
        <v>5</v>
      </c>
      <c r="B10" s="628" t="s">
        <v>715</v>
      </c>
      <c r="C10" s="629" t="s">
        <v>716</v>
      </c>
    </row>
    <row r="11" spans="1:8">
      <c r="A11" s="32">
        <v>6</v>
      </c>
      <c r="B11" s="628" t="s">
        <v>717</v>
      </c>
      <c r="C11" s="629" t="s">
        <v>716</v>
      </c>
    </row>
    <row r="12" spans="1:8">
      <c r="A12" s="32">
        <v>7</v>
      </c>
      <c r="B12" s="33"/>
      <c r="C12" s="34"/>
      <c r="H12" s="35"/>
    </row>
    <row r="13" spans="1:8">
      <c r="A13" s="32">
        <v>8</v>
      </c>
      <c r="B13" s="33"/>
      <c r="C13" s="34"/>
    </row>
    <row r="14" spans="1:8">
      <c r="A14" s="32">
        <v>9</v>
      </c>
      <c r="B14" s="33"/>
      <c r="C14" s="34"/>
    </row>
    <row r="15" spans="1:8">
      <c r="A15" s="32">
        <v>10</v>
      </c>
      <c r="B15" s="33"/>
      <c r="C15" s="34"/>
    </row>
    <row r="16" spans="1:8">
      <c r="A16" s="32"/>
      <c r="B16" s="312"/>
      <c r="C16" s="313"/>
    </row>
    <row r="17" spans="1:3" ht="25.5">
      <c r="A17" s="32"/>
      <c r="B17" s="314" t="s">
        <v>43</v>
      </c>
      <c r="C17" s="315" t="s">
        <v>367</v>
      </c>
    </row>
    <row r="18" spans="1:3">
      <c r="A18" s="32">
        <v>1</v>
      </c>
      <c r="B18" s="628" t="s">
        <v>709</v>
      </c>
      <c r="C18" s="630" t="s">
        <v>718</v>
      </c>
    </row>
    <row r="19" spans="1:3">
      <c r="A19" s="32">
        <v>2</v>
      </c>
      <c r="B19" s="628" t="s">
        <v>719</v>
      </c>
      <c r="C19" s="630" t="s">
        <v>720</v>
      </c>
    </row>
    <row r="20" spans="1:3">
      <c r="A20" s="32">
        <v>3</v>
      </c>
      <c r="B20" s="628" t="s">
        <v>731</v>
      </c>
      <c r="C20" s="630" t="s">
        <v>720</v>
      </c>
    </row>
    <row r="21" spans="1:3">
      <c r="A21" s="32">
        <v>4</v>
      </c>
      <c r="B21" s="628" t="s">
        <v>721</v>
      </c>
      <c r="C21" s="630" t="s">
        <v>722</v>
      </c>
    </row>
    <row r="22" spans="1:3">
      <c r="A22" s="32">
        <v>5</v>
      </c>
      <c r="B22" s="628" t="s">
        <v>723</v>
      </c>
      <c r="C22" s="630" t="s">
        <v>724</v>
      </c>
    </row>
    <row r="23" spans="1:3">
      <c r="A23" s="32">
        <v>6</v>
      </c>
      <c r="B23" s="33"/>
      <c r="C23" s="36"/>
    </row>
    <row r="24" spans="1:3">
      <c r="A24" s="32">
        <v>7</v>
      </c>
      <c r="B24" s="33"/>
      <c r="C24" s="36"/>
    </row>
    <row r="25" spans="1:3">
      <c r="A25" s="32">
        <v>8</v>
      </c>
      <c r="B25" s="33"/>
      <c r="C25" s="36"/>
    </row>
    <row r="26" spans="1:3">
      <c r="A26" s="32">
        <v>9</v>
      </c>
      <c r="B26" s="33"/>
      <c r="C26" s="36"/>
    </row>
    <row r="27" spans="1:3" ht="15.75" customHeight="1">
      <c r="A27" s="32">
        <v>10</v>
      </c>
      <c r="B27" s="33"/>
      <c r="C27" s="37"/>
    </row>
    <row r="28" spans="1:3" ht="15.75" customHeight="1">
      <c r="A28" s="32"/>
      <c r="B28" s="33"/>
      <c r="C28" s="37"/>
    </row>
    <row r="29" spans="1:3" ht="30" customHeight="1">
      <c r="A29" s="32"/>
      <c r="B29" s="817" t="s">
        <v>44</v>
      </c>
      <c r="C29" s="818"/>
    </row>
    <row r="30" spans="1:3">
      <c r="A30" s="32">
        <v>1</v>
      </c>
      <c r="B30" s="628" t="s">
        <v>725</v>
      </c>
      <c r="C30" s="631">
        <v>1</v>
      </c>
    </row>
    <row r="31" spans="1:3" ht="15.75" customHeight="1">
      <c r="A31" s="32"/>
      <c r="B31" s="33"/>
      <c r="C31" s="34"/>
    </row>
    <row r="32" spans="1:3" ht="29.25" customHeight="1">
      <c r="A32" s="32"/>
      <c r="B32" s="817" t="s">
        <v>45</v>
      </c>
      <c r="C32" s="818"/>
    </row>
    <row r="33" spans="1:3">
      <c r="A33" s="32">
        <v>1</v>
      </c>
      <c r="B33" s="628" t="s">
        <v>726</v>
      </c>
      <c r="C33" s="632">
        <v>0.38200000000000001</v>
      </c>
    </row>
    <row r="34" spans="1:3" ht="15" thickBot="1">
      <c r="A34" s="38">
        <v>2</v>
      </c>
      <c r="B34" s="39" t="s">
        <v>727</v>
      </c>
      <c r="C34" s="633">
        <v>0.28089999999999998</v>
      </c>
    </row>
  </sheetData>
  <mergeCells count="2">
    <mergeCell ref="B32:C32"/>
    <mergeCell ref="B29:C29"/>
  </mergeCells>
  <dataValidations disablePrompts="1"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B61" sqref="B61"/>
      <selection pane="topRight" activeCell="B61" sqref="B61"/>
      <selection pane="bottomLeft" activeCell="B61" sqref="B61"/>
      <selection pane="bottomRight" activeCell="B4" sqref="B4:E4"/>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1" t="s">
        <v>30</v>
      </c>
      <c r="B1" s="537" t="str">
        <f>'1. key ratios '!B1</f>
        <v>JSC Isbank Georgia</v>
      </c>
      <c r="C1" s="50"/>
      <c r="D1" s="50"/>
      <c r="E1" s="50"/>
      <c r="F1" s="15"/>
    </row>
    <row r="2" spans="1:7" s="40" customFormat="1" ht="15.75" customHeight="1">
      <c r="A2" s="201" t="s">
        <v>31</v>
      </c>
      <c r="B2" s="538">
        <f>'1. key ratios '!B2</f>
        <v>45382</v>
      </c>
    </row>
    <row r="3" spans="1:7" s="40" customFormat="1" ht="15.75" customHeight="1">
      <c r="A3" s="201"/>
    </row>
    <row r="4" spans="1:7" s="40" customFormat="1" ht="15.75" customHeight="1" thickBot="1">
      <c r="A4" s="202" t="s">
        <v>99</v>
      </c>
      <c r="B4" s="823" t="s">
        <v>225</v>
      </c>
      <c r="C4" s="824"/>
      <c r="D4" s="824"/>
      <c r="E4" s="824"/>
    </row>
    <row r="5" spans="1:7" s="44" customFormat="1" ht="17.45" customHeight="1">
      <c r="A5" s="151"/>
      <c r="B5" s="152"/>
      <c r="C5" s="42" t="s">
        <v>0</v>
      </c>
      <c r="D5" s="42" t="s">
        <v>1</v>
      </c>
      <c r="E5" s="43" t="s">
        <v>2</v>
      </c>
    </row>
    <row r="6" spans="1:7" s="15" customFormat="1" ht="14.45" customHeight="1">
      <c r="A6" s="203"/>
      <c r="B6" s="819" t="s">
        <v>232</v>
      </c>
      <c r="C6" s="819" t="s">
        <v>655</v>
      </c>
      <c r="D6" s="821" t="s">
        <v>98</v>
      </c>
      <c r="E6" s="822"/>
      <c r="G6" s="5"/>
    </row>
    <row r="7" spans="1:7" s="15" customFormat="1" ht="99.6" customHeight="1">
      <c r="A7" s="203"/>
      <c r="B7" s="820"/>
      <c r="C7" s="819"/>
      <c r="D7" s="634" t="s">
        <v>97</v>
      </c>
      <c r="E7" s="237" t="s">
        <v>233</v>
      </c>
      <c r="G7" s="5"/>
    </row>
    <row r="8" spans="1:7" ht="21">
      <c r="A8" s="379">
        <v>1</v>
      </c>
      <c r="B8" s="555" t="s">
        <v>556</v>
      </c>
      <c r="C8" s="637">
        <f>SUM(C9:C11)</f>
        <v>103939442.81707445</v>
      </c>
      <c r="D8" s="405">
        <f>SUM(D9:D11)</f>
        <v>0</v>
      </c>
      <c r="E8" s="638">
        <f>SUM(E9:E11)</f>
        <v>103939442.81707445</v>
      </c>
      <c r="F8" s="15"/>
    </row>
    <row r="9" spans="1:7" ht="15">
      <c r="A9" s="379">
        <v>1.1000000000000001</v>
      </c>
      <c r="B9" s="382" t="s">
        <v>557</v>
      </c>
      <c r="C9" s="405">
        <f>'2. SOFP'!E8</f>
        <v>1672433.9000000001</v>
      </c>
      <c r="D9" s="405"/>
      <c r="E9" s="635">
        <f t="shared" ref="E9:E15" si="0">C9-D9</f>
        <v>1672433.9000000001</v>
      </c>
      <c r="F9" s="15"/>
    </row>
    <row r="10" spans="1:7" ht="15">
      <c r="A10" s="379">
        <v>1.2</v>
      </c>
      <c r="B10" s="382" t="s">
        <v>558</v>
      </c>
      <c r="C10" s="405">
        <f>'2. SOFP'!E9</f>
        <v>42810559.619316176</v>
      </c>
      <c r="D10" s="405"/>
      <c r="E10" s="635">
        <f t="shared" si="0"/>
        <v>42810559.619316176</v>
      </c>
      <c r="F10" s="15"/>
    </row>
    <row r="11" spans="1:7" ht="15">
      <c r="A11" s="379">
        <v>1.3</v>
      </c>
      <c r="B11" s="382" t="s">
        <v>559</v>
      </c>
      <c r="C11" s="405">
        <f>'2. SOFP'!E10</f>
        <v>59456449.297758266</v>
      </c>
      <c r="D11" s="405"/>
      <c r="E11" s="635">
        <f t="shared" si="0"/>
        <v>59456449.297758266</v>
      </c>
      <c r="F11" s="15"/>
    </row>
    <row r="12" spans="1:7" ht="15">
      <c r="A12" s="379">
        <v>2</v>
      </c>
      <c r="B12" s="371" t="s">
        <v>560</v>
      </c>
      <c r="C12" s="637">
        <f>'2. SOFP'!E11</f>
        <v>0</v>
      </c>
      <c r="D12" s="405"/>
      <c r="E12" s="635">
        <f t="shared" si="0"/>
        <v>0</v>
      </c>
      <c r="F12" s="15"/>
    </row>
    <row r="13" spans="1:7" ht="15">
      <c r="A13" s="379">
        <v>2.1</v>
      </c>
      <c r="B13" s="380" t="s">
        <v>561</v>
      </c>
      <c r="C13" s="405">
        <f>'2. SOFP'!E12</f>
        <v>0</v>
      </c>
      <c r="D13" s="405"/>
      <c r="E13" s="635">
        <f t="shared" si="0"/>
        <v>0</v>
      </c>
      <c r="F13" s="15"/>
    </row>
    <row r="14" spans="1:7" ht="21">
      <c r="A14" s="379">
        <v>3</v>
      </c>
      <c r="B14" s="372" t="s">
        <v>562</v>
      </c>
      <c r="C14" s="637">
        <f>'2. SOFP'!E13</f>
        <v>0</v>
      </c>
      <c r="D14" s="405"/>
      <c r="E14" s="635">
        <f t="shared" si="0"/>
        <v>0</v>
      </c>
      <c r="F14" s="15"/>
    </row>
    <row r="15" spans="1:7" ht="21">
      <c r="A15" s="379">
        <v>4</v>
      </c>
      <c r="B15" s="373" t="s">
        <v>563</v>
      </c>
      <c r="C15" s="637">
        <f>'2. SOFP'!E14</f>
        <v>0</v>
      </c>
      <c r="D15" s="405"/>
      <c r="E15" s="635">
        <f t="shared" si="0"/>
        <v>0</v>
      </c>
      <c r="F15" s="15"/>
    </row>
    <row r="16" spans="1:7" ht="21">
      <c r="A16" s="379">
        <v>5</v>
      </c>
      <c r="B16" s="374" t="s">
        <v>564</v>
      </c>
      <c r="C16" s="637">
        <f>SUM(C17:C19)</f>
        <v>0</v>
      </c>
      <c r="D16" s="405">
        <f>SUM(D17:D19)</f>
        <v>0</v>
      </c>
      <c r="E16" s="638">
        <f>SUM(E17:E19)</f>
        <v>0</v>
      </c>
      <c r="F16" s="15"/>
    </row>
    <row r="17" spans="1:6" ht="15">
      <c r="A17" s="379">
        <v>5.0999999999999996</v>
      </c>
      <c r="B17" s="375" t="s">
        <v>565</v>
      </c>
      <c r="C17" s="405">
        <f>'2. SOFP'!E16</f>
        <v>0</v>
      </c>
      <c r="D17" s="405"/>
      <c r="E17" s="635">
        <f>C17-D17</f>
        <v>0</v>
      </c>
      <c r="F17" s="15"/>
    </row>
    <row r="18" spans="1:6" ht="15">
      <c r="A18" s="379">
        <v>5.2</v>
      </c>
      <c r="B18" s="375" t="s">
        <v>566</v>
      </c>
      <c r="C18" s="405">
        <f>'2. SOFP'!E17</f>
        <v>0</v>
      </c>
      <c r="D18" s="405"/>
      <c r="E18" s="635">
        <f>C18-D18</f>
        <v>0</v>
      </c>
      <c r="F18" s="15"/>
    </row>
    <row r="19" spans="1:6" ht="15">
      <c r="A19" s="379">
        <v>5.3</v>
      </c>
      <c r="B19" s="376" t="s">
        <v>567</v>
      </c>
      <c r="C19" s="405">
        <f>'2. SOFP'!E18</f>
        <v>0</v>
      </c>
      <c r="D19" s="405"/>
      <c r="E19" s="635">
        <f>C19-D19</f>
        <v>0</v>
      </c>
      <c r="F19" s="15"/>
    </row>
    <row r="20" spans="1:6" ht="15">
      <c r="A20" s="379">
        <v>6</v>
      </c>
      <c r="B20" s="372" t="s">
        <v>568</v>
      </c>
      <c r="C20" s="637">
        <f>SUM(C21:C22)</f>
        <v>367949887.49676597</v>
      </c>
      <c r="D20" s="405">
        <f>SUM(D21:D22)</f>
        <v>0</v>
      </c>
      <c r="E20" s="638">
        <f>SUM(E21:E22)</f>
        <v>367949887.49676597</v>
      </c>
      <c r="F20" s="15"/>
    </row>
    <row r="21" spans="1:6" ht="15">
      <c r="A21" s="379">
        <v>6.1</v>
      </c>
      <c r="B21" s="375" t="s">
        <v>566</v>
      </c>
      <c r="C21" s="405">
        <f>'2. SOFP'!E20</f>
        <v>71669090.4005467</v>
      </c>
      <c r="D21" s="405"/>
      <c r="E21" s="635">
        <f>C21-D21</f>
        <v>71669090.4005467</v>
      </c>
      <c r="F21" s="15"/>
    </row>
    <row r="22" spans="1:6" ht="15">
      <c r="A22" s="379">
        <v>6.2</v>
      </c>
      <c r="B22" s="376" t="s">
        <v>567</v>
      </c>
      <c r="C22" s="405">
        <f>'2. SOFP'!E21</f>
        <v>296280797.09621924</v>
      </c>
      <c r="D22" s="405"/>
      <c r="E22" s="635">
        <f>C22-D22</f>
        <v>296280797.09621924</v>
      </c>
      <c r="F22" s="15"/>
    </row>
    <row r="23" spans="1:6" ht="21">
      <c r="A23" s="379">
        <v>7</v>
      </c>
      <c r="B23" s="371" t="s">
        <v>569</v>
      </c>
      <c r="C23" s="637">
        <f>'2. SOFP'!E22</f>
        <v>0</v>
      </c>
      <c r="D23" s="405"/>
      <c r="E23" s="635">
        <f>C23-D23</f>
        <v>0</v>
      </c>
      <c r="F23" s="15"/>
    </row>
    <row r="24" spans="1:6" ht="21">
      <c r="A24" s="379">
        <v>8</v>
      </c>
      <c r="B24" s="377" t="s">
        <v>570</v>
      </c>
      <c r="C24" s="637">
        <f>'2. SOFP'!E23</f>
        <v>0</v>
      </c>
      <c r="D24" s="405"/>
      <c r="E24" s="635">
        <f>C24-D24</f>
        <v>0</v>
      </c>
      <c r="F24" s="15"/>
    </row>
    <row r="25" spans="1:6" ht="15">
      <c r="A25" s="379">
        <v>9</v>
      </c>
      <c r="B25" s="373" t="s">
        <v>571</v>
      </c>
      <c r="C25" s="637">
        <f>SUM(C26:C27)</f>
        <v>7540987.9099999983</v>
      </c>
      <c r="D25" s="405">
        <f>SUM(D26:D27)</f>
        <v>0</v>
      </c>
      <c r="E25" s="638">
        <f>SUM(E26:E27)</f>
        <v>7540987.9099999983</v>
      </c>
      <c r="F25" s="15"/>
    </row>
    <row r="26" spans="1:6" ht="15">
      <c r="A26" s="379">
        <v>9.1</v>
      </c>
      <c r="B26" s="375" t="s">
        <v>572</v>
      </c>
      <c r="C26" s="405">
        <f>'2. SOFP'!E25</f>
        <v>7540987.9099999983</v>
      </c>
      <c r="D26" s="405"/>
      <c r="E26" s="635">
        <f>C26-D26</f>
        <v>7540987.9099999983</v>
      </c>
      <c r="F26" s="15"/>
    </row>
    <row r="27" spans="1:6" ht="15">
      <c r="A27" s="379">
        <v>9.1999999999999993</v>
      </c>
      <c r="B27" s="375" t="s">
        <v>573</v>
      </c>
      <c r="C27" s="405">
        <f>'2. SOFP'!E26</f>
        <v>0</v>
      </c>
      <c r="D27" s="405"/>
      <c r="E27" s="635">
        <f>C27-D27</f>
        <v>0</v>
      </c>
      <c r="F27" s="15"/>
    </row>
    <row r="28" spans="1:6" ht="15">
      <c r="A28" s="379">
        <v>10</v>
      </c>
      <c r="B28" s="373" t="s">
        <v>574</v>
      </c>
      <c r="C28" s="637">
        <f>SUM(C29:C30)</f>
        <v>154882.46323972591</v>
      </c>
      <c r="D28" s="637">
        <f>SUM(D29:D30)</f>
        <v>154882.46323972591</v>
      </c>
      <c r="E28" s="638">
        <f>SUM(E29:E30)</f>
        <v>0</v>
      </c>
      <c r="F28" s="15"/>
    </row>
    <row r="29" spans="1:6" ht="15">
      <c r="A29" s="379">
        <v>10.1</v>
      </c>
      <c r="B29" s="375" t="s">
        <v>575</v>
      </c>
      <c r="C29" s="405">
        <f>'2. SOFP'!E28</f>
        <v>0</v>
      </c>
      <c r="D29" s="405">
        <f>C29</f>
        <v>0</v>
      </c>
      <c r="E29" s="635">
        <f>C29-D29</f>
        <v>0</v>
      </c>
      <c r="F29" s="15"/>
    </row>
    <row r="30" spans="1:6" ht="15">
      <c r="A30" s="379">
        <v>10.199999999999999</v>
      </c>
      <c r="B30" s="375" t="s">
        <v>576</v>
      </c>
      <c r="C30" s="405">
        <f>'2. SOFP'!E29</f>
        <v>154882.46323972591</v>
      </c>
      <c r="D30" s="405">
        <f>C30</f>
        <v>154882.46323972591</v>
      </c>
      <c r="E30" s="635">
        <f>C30-D30</f>
        <v>0</v>
      </c>
      <c r="F30" s="15"/>
    </row>
    <row r="31" spans="1:6" ht="15">
      <c r="A31" s="379">
        <v>11</v>
      </c>
      <c r="B31" s="373" t="s">
        <v>577</v>
      </c>
      <c r="C31" s="637">
        <f>SUM(C32:C33)</f>
        <v>1748881.72</v>
      </c>
      <c r="D31" s="405">
        <f>SUM(D32:D33)</f>
        <v>0</v>
      </c>
      <c r="E31" s="638">
        <f>SUM(E32:E33)</f>
        <v>1748881.72</v>
      </c>
      <c r="F31" s="15"/>
    </row>
    <row r="32" spans="1:6" ht="15">
      <c r="A32" s="379">
        <v>11.1</v>
      </c>
      <c r="B32" s="375" t="s">
        <v>578</v>
      </c>
      <c r="C32" s="405">
        <f>'2. SOFP'!E31</f>
        <v>1748881.72</v>
      </c>
      <c r="D32" s="405"/>
      <c r="E32" s="635">
        <f>C32-D32</f>
        <v>1748881.72</v>
      </c>
      <c r="F32" s="15"/>
    </row>
    <row r="33" spans="1:7" ht="15">
      <c r="A33" s="379">
        <v>11.2</v>
      </c>
      <c r="B33" s="375" t="s">
        <v>579</v>
      </c>
      <c r="C33" s="405">
        <f>'2. SOFP'!E32</f>
        <v>0</v>
      </c>
      <c r="D33" s="405"/>
      <c r="E33" s="635">
        <f>C33-D33</f>
        <v>0</v>
      </c>
      <c r="F33" s="15"/>
    </row>
    <row r="34" spans="1:7" ht="15">
      <c r="A34" s="379">
        <v>13</v>
      </c>
      <c r="B34" s="373" t="s">
        <v>580</v>
      </c>
      <c r="C34" s="405">
        <f>'2. SOFP'!E33</f>
        <v>3400198.6300000004</v>
      </c>
      <c r="D34" s="405"/>
      <c r="E34" s="635">
        <f>C34-D34</f>
        <v>3400198.6300000004</v>
      </c>
      <c r="F34" s="15"/>
    </row>
    <row r="35" spans="1:7" ht="15">
      <c r="A35" s="379">
        <v>13.1</v>
      </c>
      <c r="B35" s="557" t="s">
        <v>581</v>
      </c>
      <c r="C35" s="405">
        <f>'2. SOFP'!E34</f>
        <v>1349093.18</v>
      </c>
      <c r="D35" s="405"/>
      <c r="E35" s="635">
        <f>C35-D35</f>
        <v>1349093.18</v>
      </c>
      <c r="F35" s="15"/>
    </row>
    <row r="36" spans="1:7" ht="15">
      <c r="A36" s="379">
        <v>13.2</v>
      </c>
      <c r="B36" s="557" t="s">
        <v>582</v>
      </c>
      <c r="C36" s="405">
        <f>'2. SOFP'!E35</f>
        <v>0</v>
      </c>
      <c r="D36" s="405"/>
      <c r="E36" s="635">
        <f>C36-D36</f>
        <v>0</v>
      </c>
      <c r="F36" s="15"/>
    </row>
    <row r="37" spans="1:7" ht="26.25" thickBot="1">
      <c r="A37" s="110"/>
      <c r="B37" s="204" t="s">
        <v>234</v>
      </c>
      <c r="C37" s="153">
        <f>SUM(C8,C12,C14,C15,C16,C20,C23,C24,C25,C28,C31,C34)</f>
        <v>484734281.03708017</v>
      </c>
      <c r="D37" s="153">
        <f>SUM(D8,D12,D14,D15,D16,D20,D23,D24,D25,D28,D31,D34)</f>
        <v>154882.46323972591</v>
      </c>
      <c r="E37" s="636">
        <f>SUM(E8,E12,E14,E15,E16,E20,E23,E24,E25,E28,E31,E34)</f>
        <v>484579398.57384044</v>
      </c>
    </row>
    <row r="38" spans="1:7">
      <c r="A38" s="5"/>
      <c r="B38" s="5"/>
      <c r="C38" s="5"/>
      <c r="D38" s="5"/>
      <c r="E38" s="5"/>
    </row>
    <row r="39" spans="1:7">
      <c r="A39" s="5"/>
      <c r="B39" s="5"/>
      <c r="C39" s="5"/>
      <c r="D39" s="5"/>
      <c r="E39" s="5"/>
    </row>
    <row r="41" spans="1:7" s="4" customFormat="1">
      <c r="B41" s="45"/>
      <c r="F41" s="5"/>
      <c r="G41" s="5"/>
    </row>
    <row r="42" spans="1:7" s="4" customFormat="1">
      <c r="B42" s="45"/>
      <c r="F42" s="5"/>
      <c r="G42" s="5"/>
    </row>
    <row r="43" spans="1:7" s="4" customFormat="1">
      <c r="B43" s="45"/>
      <c r="F43" s="5"/>
      <c r="G43" s="5"/>
    </row>
    <row r="44" spans="1:7" s="4" customFormat="1">
      <c r="B44" s="45"/>
      <c r="F44" s="5"/>
      <c r="G44" s="5"/>
    </row>
    <row r="45" spans="1:7" s="4" customFormat="1">
      <c r="B45" s="45"/>
      <c r="F45" s="5"/>
      <c r="G45" s="5"/>
    </row>
    <row r="46" spans="1:7" s="4" customFormat="1">
      <c r="B46" s="45"/>
      <c r="F46" s="5"/>
      <c r="G46" s="5"/>
    </row>
    <row r="47" spans="1:7" s="4" customFormat="1">
      <c r="B47" s="45"/>
      <c r="F47" s="5"/>
      <c r="G47" s="5"/>
    </row>
    <row r="48" spans="1:7" s="4" customFormat="1">
      <c r="B48" s="45"/>
      <c r="F48" s="5"/>
      <c r="G48" s="5"/>
    </row>
    <row r="49" spans="2:7" s="4" customFormat="1">
      <c r="B49" s="45"/>
      <c r="F49" s="5"/>
      <c r="G49" s="5"/>
    </row>
    <row r="50" spans="2:7" s="4" customFormat="1">
      <c r="B50" s="45"/>
      <c r="F50" s="5"/>
      <c r="G50" s="5"/>
    </row>
    <row r="51" spans="2:7" s="4" customFormat="1">
      <c r="B51" s="45"/>
      <c r="F51" s="5"/>
      <c r="G51" s="5"/>
    </row>
    <row r="52" spans="2:7" s="4" customFormat="1">
      <c r="B52" s="45"/>
      <c r="F52" s="5"/>
      <c r="G52" s="5"/>
    </row>
    <row r="53" spans="2:7" s="4" customFormat="1">
      <c r="B53" s="45"/>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537" t="str">
        <f>'1. key ratios '!B1</f>
        <v>JSC Isbank Georgia</v>
      </c>
    </row>
    <row r="2" spans="1:6" s="40" customFormat="1" ht="15.75" customHeight="1">
      <c r="A2" s="2" t="s">
        <v>31</v>
      </c>
      <c r="B2" s="538">
        <f>'1. key ratios '!B2</f>
        <v>45382</v>
      </c>
      <c r="C2" s="4"/>
      <c r="D2" s="4"/>
      <c r="E2" s="4"/>
      <c r="F2" s="4"/>
    </row>
    <row r="3" spans="1:6" s="40" customFormat="1" ht="15.75" customHeight="1">
      <c r="C3" s="4"/>
      <c r="D3" s="4"/>
      <c r="E3" s="4"/>
      <c r="F3" s="4"/>
    </row>
    <row r="4" spans="1:6" s="40" customFormat="1" ht="13.5" thickBot="1">
      <c r="A4" s="40" t="s">
        <v>46</v>
      </c>
      <c r="B4" s="205" t="s">
        <v>549</v>
      </c>
      <c r="C4" s="41" t="s">
        <v>35</v>
      </c>
      <c r="D4" s="4"/>
      <c r="E4" s="4"/>
      <c r="F4" s="4"/>
    </row>
    <row r="5" spans="1:6">
      <c r="A5" s="158">
        <v>1</v>
      </c>
      <c r="B5" s="206" t="s">
        <v>551</v>
      </c>
      <c r="C5" s="639">
        <f>'7. LI1 '!E37</f>
        <v>484579398.57384044</v>
      </c>
    </row>
    <row r="6" spans="1:6" s="159" customFormat="1">
      <c r="A6" s="46">
        <v>2.1</v>
      </c>
      <c r="B6" s="155" t="s">
        <v>214</v>
      </c>
      <c r="C6" s="102">
        <f>'4. Off-balance'!E27+'4. Off-balance'!E28+'4. Off-balance'!E29-'2. SOFP'!E46</f>
        <v>119920081.38126181</v>
      </c>
    </row>
    <row r="7" spans="1:6" s="26" customFormat="1" outlineLevel="1">
      <c r="A7" s="21">
        <v>2.2000000000000002</v>
      </c>
      <c r="B7" s="22" t="s">
        <v>215</v>
      </c>
      <c r="C7" s="160"/>
    </row>
    <row r="8" spans="1:6" s="26" customFormat="1">
      <c r="A8" s="21">
        <v>3</v>
      </c>
      <c r="B8" s="156" t="s">
        <v>550</v>
      </c>
      <c r="C8" s="640">
        <f>SUM(C5:C7)</f>
        <v>604499479.95510221</v>
      </c>
    </row>
    <row r="9" spans="1:6" s="159" customFormat="1">
      <c r="A9" s="46">
        <v>4</v>
      </c>
      <c r="B9" s="48" t="s">
        <v>48</v>
      </c>
      <c r="C9" s="102"/>
    </row>
    <row r="10" spans="1:6" s="26" customFormat="1" outlineLevel="1">
      <c r="A10" s="21">
        <v>5.0999999999999996</v>
      </c>
      <c r="B10" s="22" t="s">
        <v>216</v>
      </c>
      <c r="C10" s="160">
        <v>-50553685.269298702</v>
      </c>
    </row>
    <row r="11" spans="1:6" s="26" customFormat="1" outlineLevel="1">
      <c r="A11" s="21">
        <v>5.2</v>
      </c>
      <c r="B11" s="22" t="s">
        <v>217</v>
      </c>
      <c r="C11" s="160"/>
    </row>
    <row r="12" spans="1:6" s="26" customFormat="1">
      <c r="A12" s="21">
        <v>6</v>
      </c>
      <c r="B12" s="154" t="s">
        <v>356</v>
      </c>
      <c r="C12" s="160"/>
    </row>
    <row r="13" spans="1:6" s="26" customFormat="1" ht="13.5" thickBot="1">
      <c r="A13" s="23">
        <v>7</v>
      </c>
      <c r="B13" s="157" t="s">
        <v>177</v>
      </c>
      <c r="C13" s="641">
        <f>SUM(C8:C12)</f>
        <v>553945794.68580353</v>
      </c>
    </row>
    <row r="15" spans="1:6">
      <c r="A15" s="171"/>
      <c r="B15" s="27"/>
    </row>
    <row r="16" spans="1:6">
      <c r="A16" s="171"/>
      <c r="B16" s="171"/>
    </row>
    <row r="17" spans="1:5" ht="15">
      <c r="A17" s="166"/>
      <c r="B17" s="167"/>
      <c r="C17" s="171"/>
      <c r="D17" s="171"/>
      <c r="E17" s="171"/>
    </row>
    <row r="18" spans="1:5" ht="15">
      <c r="A18" s="172"/>
      <c r="B18" s="173"/>
      <c r="C18" s="171"/>
      <c r="D18" s="171"/>
      <c r="E18" s="171"/>
    </row>
    <row r="19" spans="1:5">
      <c r="A19" s="174"/>
      <c r="B19" s="168"/>
      <c r="C19" s="171"/>
      <c r="D19" s="171"/>
      <c r="E19" s="171"/>
    </row>
    <row r="20" spans="1:5">
      <c r="A20" s="175"/>
      <c r="B20" s="169"/>
      <c r="C20" s="171"/>
      <c r="D20" s="171"/>
      <c r="E20" s="171"/>
    </row>
    <row r="21" spans="1:5">
      <c r="A21" s="175"/>
      <c r="B21" s="173"/>
      <c r="C21" s="171"/>
      <c r="D21" s="171"/>
      <c r="E21" s="171"/>
    </row>
    <row r="22" spans="1:5">
      <c r="A22" s="174"/>
      <c r="B22" s="170"/>
      <c r="C22" s="171"/>
      <c r="D22" s="171"/>
      <c r="E22" s="171"/>
    </row>
    <row r="23" spans="1:5">
      <c r="A23" s="175"/>
      <c r="B23" s="169"/>
      <c r="C23" s="171"/>
      <c r="D23" s="171"/>
      <c r="E23" s="171"/>
    </row>
    <row r="24" spans="1:5">
      <c r="A24" s="175"/>
      <c r="B24" s="169"/>
      <c r="C24" s="171"/>
      <c r="D24" s="171"/>
      <c r="E24" s="171"/>
    </row>
    <row r="25" spans="1:5">
      <c r="A25" s="175"/>
      <c r="B25" s="176"/>
      <c r="C25" s="171"/>
      <c r="D25" s="171"/>
      <c r="E25" s="171"/>
    </row>
    <row r="26" spans="1:5">
      <c r="A26" s="175"/>
      <c r="B26" s="173"/>
      <c r="C26" s="171"/>
      <c r="D26" s="171"/>
      <c r="E26" s="171"/>
    </row>
    <row r="27" spans="1:5">
      <c r="A27" s="171"/>
      <c r="B27" s="177"/>
      <c r="C27" s="171"/>
      <c r="D27" s="171"/>
      <c r="E27" s="171"/>
    </row>
    <row r="28" spans="1:5">
      <c r="A28" s="171"/>
      <c r="B28" s="177"/>
      <c r="C28" s="171"/>
      <c r="D28" s="171"/>
      <c r="E28" s="171"/>
    </row>
    <row r="29" spans="1:5">
      <c r="A29" s="171"/>
      <c r="B29" s="177"/>
      <c r="C29" s="171"/>
      <c r="D29" s="171"/>
      <c r="E29" s="171"/>
    </row>
    <row r="30" spans="1:5">
      <c r="A30" s="171"/>
      <c r="B30" s="177"/>
      <c r="C30" s="171"/>
      <c r="D30" s="171"/>
      <c r="E30" s="171"/>
    </row>
    <row r="31" spans="1:5">
      <c r="A31" s="171"/>
      <c r="B31" s="177"/>
      <c r="C31" s="171"/>
      <c r="D31" s="171"/>
      <c r="E31" s="171"/>
    </row>
    <row r="32" spans="1:5">
      <c r="A32" s="171"/>
      <c r="B32" s="177"/>
      <c r="C32" s="171"/>
      <c r="D32" s="171"/>
      <c r="E32" s="171"/>
    </row>
    <row r="33" spans="1:5">
      <c r="A33" s="171"/>
      <c r="B33" s="177"/>
      <c r="C33" s="171"/>
      <c r="D33" s="171"/>
      <c r="E33" s="171"/>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+O47Fy3dhbBtH5R7zzngHFpXXcWCnq2lAQrHgqg2FRA=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rdMmdTmU4slTH8XqebcLe1AISbBrbwxv7s81yL740AY=</DigestValue>
    </Reference>
  </SignedInfo>
  <SignatureValue>JFU23BZjrNsXo7Xrhol+ZM7sJ/TaCjodRUHYXa3vUL/N+o/qKpc1XUCRI18jpWgGmYtinWSwj6AL
iwcgBvA7FUdin0a48d2fXD0vVPTvJ7xtagkIZrAzoqWuWzaEXSPtRpBI/PNTi9TWRdX+h8npAuTu
HMS1F2N5TUG1vlBdiHoTyV2K6ry2mMfQHfPmCzv2tS3yImbmBIu1jI2+V6yxwvyJThsVTOnQLonY
hpMpww0/NpNvgY9aClmrIC7R95G6T6CYbnmjxx++hoB3LXaxCgXt6RdkBxuIcDxwsaIwjm/tOrVj
OKpCtJ/AjmVynjL9Q6qgoJiugYzzss+t/DL0EQ==</SignatureValue>
  <KeyInfo>
    <X509Data>
      <X509Certificate>MIIGOzCCBSOgAwIBAgIKJm4EswADAAJFXTANBgkqhkiG9w0BAQsFADBKMRIwEAYKCZImiZPyLGQBGRYCZ2UxEzARBgoJkiaJk/IsZAEZFgNuYmcxHzAdBgNVBAMTFk5CRyBDbGFzcyAyIElOVCBTdWIgQ0EwHhcNMjMxMjA2MDk0NTU3WhcNMjUxMTI0MjI0OTMzWjA5MRswGQYDVQQKExJKU0MgSXNiYW5rIEdlb3JnaWExGjAYBgNVBAMTEUJJUyAtIEhha2FuIEt1cmFsMIIBIjANBgkqhkiG9w0BAQEFAAOCAQ8AMIIBCgKCAQEA5iezKWvytLL1vOySN9JDwEfw/24uKNYVv5XZMtpUT14bOpUxrmsTWhoo99o4YsBPZ01AOvo1LSXqt9wwptBtTpSiKfSm1WYZwXFSNVcu4cEBEL7fdOsKbT1Z022DABXPDTTyT7Qrn91IOBAah+if+KQ96zj7IeosVohHIhGFkfM1cc1S+XYRmipcZQ2aAb4iCx7QYJ4TYYtddtuaOEpKYC8/YUS6wbxLbdwjN7wYu7fortV/1DpVjmXZhBAYeRFZera+Zv1QDwWIgefzGoSTrBKjRnp3rf93P2TUYpLXHbkV7ysvQpPtVBwTrVV9cbJN8hJ3Jwyf4vLFB0IAgSxMTwIDAQABo4IDMjCCAy4wPAYJKwYBBAGCNxUHBC8wLQYlKwYBBAGCNxUI5rJgg431RIaBmQmDuKFKg76EcQSDxJEzhIOIXQIBZAIBIzAdBgNVHSUEFjAUBggrBgEFBQcDAgYIKwYBBQUHAwQwCwYDVR0PBAQDAgeAMCcGCSsGAQQBgjcVCgQaMBgwCgYIKwYBBQUHAwIwCgYIKwYBBQUHAwQwHQYDVR0OBBYEFNXKZgHvllVMxniALVcIpYHO3b16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LE+zRrqst+h+UXe8rOizyDIUn2X28kyN5kVHbf0wSXPprUkWrNz3+gDGcye/3D1LWIGJSGFDIs4/lCPM3yZw6l8VRgXrv06ExkSqWBKF+7/kRL8GvAturOX9N4xbErFumNx+z6r0UeBxhLPIkfmgk2T6cHyuVAZ8ZWzkKJqkgMsmH+cvLNpYqkt8wPr4kFNzyRfGS6/6ww63Whs2QQyqo/acu2DDCjUXK7MZG7J2bCppMLVWG8JsxUK5uVCpBmkQe6f0/goGE3WS14+gkKSwiskBLKAifcfxV+KHLN9VCmA3uByospH7NNOG1SfFhiSRESrwjYxpEHt00lthie8L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IOyF+1U1phDkKZwjE8yb2UrCSfUS3S9xlgo0e8b2u0c=</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i4RE0whOUrwF2Q/94akGMRdYT2sPtUPwsYyVjh1RT+4=</DigestValue>
      </Reference>
      <Reference URI="/xl/styles.xml?ContentType=application/vnd.openxmlformats-officedocument.spreadsheetml.styles+xml">
        <DigestMethod Algorithm="http://www.w3.org/2001/04/xmlenc#sha256"/>
        <DigestValue>ijAl9AqalkboX3Jq8vB51B4jWbg0NeNPmU8xcEcMw7Y=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Ve3yat+Ls4vIOiVw3sMRQ9cmMKhGfKDW9fsWUtxPZPc=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KfrSsDtdcgX3OhZ0LJ+Ysd7J2lvcL3HivbBnutrNd7Y=</DigestValue>
      </Reference>
      <Reference URI="/xl/worksheets/sheet10.xml?ContentType=application/vnd.openxmlformats-officedocument.spreadsheetml.worksheet+xml">
        <DigestMethod Algorithm="http://www.w3.org/2001/04/xmlenc#sha256"/>
        <DigestValue>voPMKTRPSbkiuSFelSijvAL5uEhiuind82sbbF5LX4I=</DigestValue>
      </Reference>
      <Reference URI="/xl/worksheets/sheet11.xml?ContentType=application/vnd.openxmlformats-officedocument.spreadsheetml.worksheet+xml">
        <DigestMethod Algorithm="http://www.w3.org/2001/04/xmlenc#sha256"/>
        <DigestValue>eNpEC59AtVjIiTB9BXf+e7nysAhsWRidO9VrggLoM9g=</DigestValue>
      </Reference>
      <Reference URI="/xl/worksheets/sheet12.xml?ContentType=application/vnd.openxmlformats-officedocument.spreadsheetml.worksheet+xml">
        <DigestMethod Algorithm="http://www.w3.org/2001/04/xmlenc#sha256"/>
        <DigestValue>UQSaIIVicpNAqfy86aCDn/CP4zQ2SsI+F+roDqDNFe0=</DigestValue>
      </Reference>
      <Reference URI="/xl/worksheets/sheet13.xml?ContentType=application/vnd.openxmlformats-officedocument.spreadsheetml.worksheet+xml">
        <DigestMethod Algorithm="http://www.w3.org/2001/04/xmlenc#sha256"/>
        <DigestValue>stmuQTF7QSpf+2u/9ICvZRLwoHCtIV7/78quX6eb2lo=</DigestValue>
      </Reference>
      <Reference URI="/xl/worksheets/sheet14.xml?ContentType=application/vnd.openxmlformats-officedocument.spreadsheetml.worksheet+xml">
        <DigestMethod Algorithm="http://www.w3.org/2001/04/xmlenc#sha256"/>
        <DigestValue>6CpKp9XtH3nML3kCJR8MJwgrConmLmZ7aLVdKHC9HgM=</DigestValue>
      </Reference>
      <Reference URI="/xl/worksheets/sheet15.xml?ContentType=application/vnd.openxmlformats-officedocument.spreadsheetml.worksheet+xml">
        <DigestMethod Algorithm="http://www.w3.org/2001/04/xmlenc#sha256"/>
        <DigestValue>SDpJkdoh++W95JnLX2EJsXjI63O4aPHvKjT26pW48so=</DigestValue>
      </Reference>
      <Reference URI="/xl/worksheets/sheet16.xml?ContentType=application/vnd.openxmlformats-officedocument.spreadsheetml.worksheet+xml">
        <DigestMethod Algorithm="http://www.w3.org/2001/04/xmlenc#sha256"/>
        <DigestValue>xm3Bv0MAP8nlGGiJ0sEDVOhy6Lg+5x3qPHlXirIQV/M=</DigestValue>
      </Reference>
      <Reference URI="/xl/worksheets/sheet17.xml?ContentType=application/vnd.openxmlformats-officedocument.spreadsheetml.worksheet+xml">
        <DigestMethod Algorithm="http://www.w3.org/2001/04/xmlenc#sha256"/>
        <DigestValue>N1EYIM/2T3ymEWpwnjnfq83dufCp8SoUPium8aebzcc=</DigestValue>
      </Reference>
      <Reference URI="/xl/worksheets/sheet18.xml?ContentType=application/vnd.openxmlformats-officedocument.spreadsheetml.worksheet+xml">
        <DigestMethod Algorithm="http://www.w3.org/2001/04/xmlenc#sha256"/>
        <DigestValue>K3nR3wztsBKnlUo/M13MGKXpjjMjfwovL0dnMNJrVkU=</DigestValue>
      </Reference>
      <Reference URI="/xl/worksheets/sheet19.xml?ContentType=application/vnd.openxmlformats-officedocument.spreadsheetml.worksheet+xml">
        <DigestMethod Algorithm="http://www.w3.org/2001/04/xmlenc#sha256"/>
        <DigestValue>3SRCPGWQcr+Fw2lGReuD7ZES3JLWWarHUjtNlA79ziE=</DigestValue>
      </Reference>
      <Reference URI="/xl/worksheets/sheet2.xml?ContentType=application/vnd.openxmlformats-officedocument.spreadsheetml.worksheet+xml">
        <DigestMethod Algorithm="http://www.w3.org/2001/04/xmlenc#sha256"/>
        <DigestValue>cUaojm4Gs5HAWehekiW8329YPHwMnioWfawr8puGqyA=</DigestValue>
      </Reference>
      <Reference URI="/xl/worksheets/sheet20.xml?ContentType=application/vnd.openxmlformats-officedocument.spreadsheetml.worksheet+xml">
        <DigestMethod Algorithm="http://www.w3.org/2001/04/xmlenc#sha256"/>
        <DigestValue>Mi4Y/NVehsjMRDPjg6tfCP/tr0ofk8Lgvv1IZ+NJ86o=</DigestValue>
      </Reference>
      <Reference URI="/xl/worksheets/sheet21.xml?ContentType=application/vnd.openxmlformats-officedocument.spreadsheetml.worksheet+xml">
        <DigestMethod Algorithm="http://www.w3.org/2001/04/xmlenc#sha256"/>
        <DigestValue>Zjv7MyLcuxXtwD/9uIcCW0MCC7iQ5TmBOywuQKLvT3Y=</DigestValue>
      </Reference>
      <Reference URI="/xl/worksheets/sheet22.xml?ContentType=application/vnd.openxmlformats-officedocument.spreadsheetml.worksheet+xml">
        <DigestMethod Algorithm="http://www.w3.org/2001/04/xmlenc#sha256"/>
        <DigestValue>FaP+clzqtS0NDKI7VLrsDlBKf0jee2pGYL+S0crUbhI=</DigestValue>
      </Reference>
      <Reference URI="/xl/worksheets/sheet23.xml?ContentType=application/vnd.openxmlformats-officedocument.spreadsheetml.worksheet+xml">
        <DigestMethod Algorithm="http://www.w3.org/2001/04/xmlenc#sha256"/>
        <DigestValue>n5d6jeDne9BPiQ+PNlQtx73jcBg1KIO2ZGHcf31Rh/M=</DigestValue>
      </Reference>
      <Reference URI="/xl/worksheets/sheet24.xml?ContentType=application/vnd.openxmlformats-officedocument.spreadsheetml.worksheet+xml">
        <DigestMethod Algorithm="http://www.w3.org/2001/04/xmlenc#sha256"/>
        <DigestValue>CSQfE64g21rE+1M1vk0bbuAWia1RdIpz5jT5X2D8q00=</DigestValue>
      </Reference>
      <Reference URI="/xl/worksheets/sheet25.xml?ContentType=application/vnd.openxmlformats-officedocument.spreadsheetml.worksheet+xml">
        <DigestMethod Algorithm="http://www.w3.org/2001/04/xmlenc#sha256"/>
        <DigestValue>M48Ng0PLb+9ZDfqbIdtaM93k+kI5RHKbGC/bTegFdg4=</DigestValue>
      </Reference>
      <Reference URI="/xl/worksheets/sheet26.xml?ContentType=application/vnd.openxmlformats-officedocument.spreadsheetml.worksheet+xml">
        <DigestMethod Algorithm="http://www.w3.org/2001/04/xmlenc#sha256"/>
        <DigestValue>FHEPBSur6TQISogmpHCDaY5siHGCovYsMHY616mogFM=</DigestValue>
      </Reference>
      <Reference URI="/xl/worksheets/sheet27.xml?ContentType=application/vnd.openxmlformats-officedocument.spreadsheetml.worksheet+xml">
        <DigestMethod Algorithm="http://www.w3.org/2001/04/xmlenc#sha256"/>
        <DigestValue>kBKrtkAKYZP5zAo4chQYei27FxUqloW/IYkvPQbY/Jo=</DigestValue>
      </Reference>
      <Reference URI="/xl/worksheets/sheet28.xml?ContentType=application/vnd.openxmlformats-officedocument.spreadsheetml.worksheet+xml">
        <DigestMethod Algorithm="http://www.w3.org/2001/04/xmlenc#sha256"/>
        <DigestValue>g9V3l+BzLAjn/71/9v1fH0Zw0G8aA8kf5TR82Mobxfw=</DigestValue>
      </Reference>
      <Reference URI="/xl/worksheets/sheet29.xml?ContentType=application/vnd.openxmlformats-officedocument.spreadsheetml.worksheet+xml">
        <DigestMethod Algorithm="http://www.w3.org/2001/04/xmlenc#sha256"/>
        <DigestValue>hKoNmbBj5PCzUb96VD7WPoytbw3m/D7Po2O3rxcYayI=</DigestValue>
      </Reference>
      <Reference URI="/xl/worksheets/sheet3.xml?ContentType=application/vnd.openxmlformats-officedocument.spreadsheetml.worksheet+xml">
        <DigestMethod Algorithm="http://www.w3.org/2001/04/xmlenc#sha256"/>
        <DigestValue>IQ9y0epUMWMKj66B4n7YgDkGJb6g60egQ4BWCHGE+fQ=</DigestValue>
      </Reference>
      <Reference URI="/xl/worksheets/sheet4.xml?ContentType=application/vnd.openxmlformats-officedocument.spreadsheetml.worksheet+xml">
        <DigestMethod Algorithm="http://www.w3.org/2001/04/xmlenc#sha256"/>
        <DigestValue>7knIqOXblyptRbPghZY0ranD7gsdONTlIrwW2ayIoK0=</DigestValue>
      </Reference>
      <Reference URI="/xl/worksheets/sheet5.xml?ContentType=application/vnd.openxmlformats-officedocument.spreadsheetml.worksheet+xml">
        <DigestMethod Algorithm="http://www.w3.org/2001/04/xmlenc#sha256"/>
        <DigestValue>We7Mr6DZ17Nj3FUuenGmZGgpcGF/qI4M8CCWsqL6wnA=</DigestValue>
      </Reference>
      <Reference URI="/xl/worksheets/sheet6.xml?ContentType=application/vnd.openxmlformats-officedocument.spreadsheetml.worksheet+xml">
        <DigestMethod Algorithm="http://www.w3.org/2001/04/xmlenc#sha256"/>
        <DigestValue>nAVwMNkqSCQHEffXP90MZFe61bxf6Hnx84R0UFf8i30=</DigestValue>
      </Reference>
      <Reference URI="/xl/worksheets/sheet7.xml?ContentType=application/vnd.openxmlformats-officedocument.spreadsheetml.worksheet+xml">
        <DigestMethod Algorithm="http://www.w3.org/2001/04/xmlenc#sha256"/>
        <DigestValue>qX8vZObLOM9tPJWEQ78H2duv+6UAu/TgVA9spYtz19o=</DigestValue>
      </Reference>
      <Reference URI="/xl/worksheets/sheet8.xml?ContentType=application/vnd.openxmlformats-officedocument.spreadsheetml.worksheet+xml">
        <DigestMethod Algorithm="http://www.w3.org/2001/04/xmlenc#sha256"/>
        <DigestValue>By7P+f9X3kUH8FKDeCV3Y36e2Nt0piyJiq07XyYY8o4=</DigestValue>
      </Reference>
      <Reference URI="/xl/worksheets/sheet9.xml?ContentType=application/vnd.openxmlformats-officedocument.spreadsheetml.worksheet+xml">
        <DigestMethod Algorithm="http://www.w3.org/2001/04/xmlenc#sha256"/>
        <DigestValue>zSqsSPaOAIWrIAdQUzWna+MHZE15VOqklohElC8teYw=</DigestValue>
      </Reference>
    </Manifest>
    <SignatureProperties>
      <SignatureProperty Id="idSignatureTime" Target="#idPackageSignature">
        <mdssi:SignatureTime xmlns:mdssi="http://schemas.openxmlformats.org/package/2006/digital-signature">
          <mdssi:Format>YYYY-MM-DDThh:mm:ssTZD</mdssi:Format>
          <mdssi:Value>2024-04-30T15:08:29Z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2024-04-30T15:08:29Z</xd:SigningTime>
          <xd:SigningCertificate>
            <xd:Cert>
              <xd:CertDigest>
                <DigestMethod Algorithm="http://www.w3.org/2001/04/xmlenc#sha256"/>
                <DigestValue>Lof8p3MnY5q8bluV9nf0BoNfF8jV5oFPhV7ZeAlq/ms=</DigestValue>
              </xd:CertDigest>
              <xd:IssuerSerial>
                <X509IssuerName>CN=NBG Class 2 INT Sub CA, DC=nbg, DC=ge</X509IssuerName>
                <X509SerialNumber>181479406811564436768093</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o2CmrDH+MpohGJWxVnJdgxdQGPug5eNgPQxhP3EsKQo=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PH1+kvxefPn7Uq8/GXNiY291H5/wCXpG2VJIcBNEEHk=</DigestValue>
    </Reference>
  </SignedInfo>
  <SignatureValue>cURkSaqVeitMzZZyHkmp6wV+uDx6Iyb+fcI6G3laGFvgPrqJcyhXpYGmvWYbDO4Vi4zXVUGIpoGM
f/dswgCGqy8luOFHz/pSg0Yg8BH0cIw7QCB1kq1N+az5Upa0mD4YrP257lYQJXVm5rbty27r8EaE
uPjuiXsOudPs743xR1KEdnSw2ym7BfQlguHstZ1cefTNtXJ2wIRXvHSI9sznNJJCwO4llPA521VG
RRy5fUUVjTHJCrfVynqh1/zGYfff6g9lUH+FWrFCqz9KBfJYQbOJB+gpBGQ7+8W0XnENp4t+ZQ85
2xEvFn2T733OiykuzkB+Wswb4Bi/m20WOpOGZQ==</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IOyF+1U1phDkKZwjE8yb2UrCSfUS3S9xlgo0e8b2u0c=</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i4RE0whOUrwF2Q/94akGMRdYT2sPtUPwsYyVjh1RT+4=</DigestValue>
      </Reference>
      <Reference URI="/xl/styles.xml?ContentType=application/vnd.openxmlformats-officedocument.spreadsheetml.styles+xml">
        <DigestMethod Algorithm="http://www.w3.org/2001/04/xmlenc#sha256"/>
        <DigestValue>ijAl9AqalkboX3Jq8vB51B4jWbg0NeNPmU8xcEcMw7Y=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Ve3yat+Ls4vIOiVw3sMRQ9cmMKhGfKDW9fsWUtxPZPc=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KfrSsDtdcgX3OhZ0LJ+Ysd7J2lvcL3HivbBnutrNd7Y=</DigestValue>
      </Reference>
      <Reference URI="/xl/worksheets/sheet10.xml?ContentType=application/vnd.openxmlformats-officedocument.spreadsheetml.worksheet+xml">
        <DigestMethod Algorithm="http://www.w3.org/2001/04/xmlenc#sha256"/>
        <DigestValue>voPMKTRPSbkiuSFelSijvAL5uEhiuind82sbbF5LX4I=</DigestValue>
      </Reference>
      <Reference URI="/xl/worksheets/sheet11.xml?ContentType=application/vnd.openxmlformats-officedocument.spreadsheetml.worksheet+xml">
        <DigestMethod Algorithm="http://www.w3.org/2001/04/xmlenc#sha256"/>
        <DigestValue>eNpEC59AtVjIiTB9BXf+e7nysAhsWRidO9VrggLoM9g=</DigestValue>
      </Reference>
      <Reference URI="/xl/worksheets/sheet12.xml?ContentType=application/vnd.openxmlformats-officedocument.spreadsheetml.worksheet+xml">
        <DigestMethod Algorithm="http://www.w3.org/2001/04/xmlenc#sha256"/>
        <DigestValue>UQSaIIVicpNAqfy86aCDn/CP4zQ2SsI+F+roDqDNFe0=</DigestValue>
      </Reference>
      <Reference URI="/xl/worksheets/sheet13.xml?ContentType=application/vnd.openxmlformats-officedocument.spreadsheetml.worksheet+xml">
        <DigestMethod Algorithm="http://www.w3.org/2001/04/xmlenc#sha256"/>
        <DigestValue>stmuQTF7QSpf+2u/9ICvZRLwoHCtIV7/78quX6eb2lo=</DigestValue>
      </Reference>
      <Reference URI="/xl/worksheets/sheet14.xml?ContentType=application/vnd.openxmlformats-officedocument.spreadsheetml.worksheet+xml">
        <DigestMethod Algorithm="http://www.w3.org/2001/04/xmlenc#sha256"/>
        <DigestValue>6CpKp9XtH3nML3kCJR8MJwgrConmLmZ7aLVdKHC9HgM=</DigestValue>
      </Reference>
      <Reference URI="/xl/worksheets/sheet15.xml?ContentType=application/vnd.openxmlformats-officedocument.spreadsheetml.worksheet+xml">
        <DigestMethod Algorithm="http://www.w3.org/2001/04/xmlenc#sha256"/>
        <DigestValue>SDpJkdoh++W95JnLX2EJsXjI63O4aPHvKjT26pW48so=</DigestValue>
      </Reference>
      <Reference URI="/xl/worksheets/sheet16.xml?ContentType=application/vnd.openxmlformats-officedocument.spreadsheetml.worksheet+xml">
        <DigestMethod Algorithm="http://www.w3.org/2001/04/xmlenc#sha256"/>
        <DigestValue>xm3Bv0MAP8nlGGiJ0sEDVOhy6Lg+5x3qPHlXirIQV/M=</DigestValue>
      </Reference>
      <Reference URI="/xl/worksheets/sheet17.xml?ContentType=application/vnd.openxmlformats-officedocument.spreadsheetml.worksheet+xml">
        <DigestMethod Algorithm="http://www.w3.org/2001/04/xmlenc#sha256"/>
        <DigestValue>N1EYIM/2T3ymEWpwnjnfq83dufCp8SoUPium8aebzcc=</DigestValue>
      </Reference>
      <Reference URI="/xl/worksheets/sheet18.xml?ContentType=application/vnd.openxmlformats-officedocument.spreadsheetml.worksheet+xml">
        <DigestMethod Algorithm="http://www.w3.org/2001/04/xmlenc#sha256"/>
        <DigestValue>K3nR3wztsBKnlUo/M13MGKXpjjMjfwovL0dnMNJrVkU=</DigestValue>
      </Reference>
      <Reference URI="/xl/worksheets/sheet19.xml?ContentType=application/vnd.openxmlformats-officedocument.spreadsheetml.worksheet+xml">
        <DigestMethod Algorithm="http://www.w3.org/2001/04/xmlenc#sha256"/>
        <DigestValue>3SRCPGWQcr+Fw2lGReuD7ZES3JLWWarHUjtNlA79ziE=</DigestValue>
      </Reference>
      <Reference URI="/xl/worksheets/sheet2.xml?ContentType=application/vnd.openxmlformats-officedocument.spreadsheetml.worksheet+xml">
        <DigestMethod Algorithm="http://www.w3.org/2001/04/xmlenc#sha256"/>
        <DigestValue>cUaojm4Gs5HAWehekiW8329YPHwMnioWfawr8puGqyA=</DigestValue>
      </Reference>
      <Reference URI="/xl/worksheets/sheet20.xml?ContentType=application/vnd.openxmlformats-officedocument.spreadsheetml.worksheet+xml">
        <DigestMethod Algorithm="http://www.w3.org/2001/04/xmlenc#sha256"/>
        <DigestValue>Mi4Y/NVehsjMRDPjg6tfCP/tr0ofk8Lgvv1IZ+NJ86o=</DigestValue>
      </Reference>
      <Reference URI="/xl/worksheets/sheet21.xml?ContentType=application/vnd.openxmlformats-officedocument.spreadsheetml.worksheet+xml">
        <DigestMethod Algorithm="http://www.w3.org/2001/04/xmlenc#sha256"/>
        <DigestValue>Zjv7MyLcuxXtwD/9uIcCW0MCC7iQ5TmBOywuQKLvT3Y=</DigestValue>
      </Reference>
      <Reference URI="/xl/worksheets/sheet22.xml?ContentType=application/vnd.openxmlformats-officedocument.spreadsheetml.worksheet+xml">
        <DigestMethod Algorithm="http://www.w3.org/2001/04/xmlenc#sha256"/>
        <DigestValue>FaP+clzqtS0NDKI7VLrsDlBKf0jee2pGYL+S0crUbhI=</DigestValue>
      </Reference>
      <Reference URI="/xl/worksheets/sheet23.xml?ContentType=application/vnd.openxmlformats-officedocument.spreadsheetml.worksheet+xml">
        <DigestMethod Algorithm="http://www.w3.org/2001/04/xmlenc#sha256"/>
        <DigestValue>n5d6jeDne9BPiQ+PNlQtx73jcBg1KIO2ZGHcf31Rh/M=</DigestValue>
      </Reference>
      <Reference URI="/xl/worksheets/sheet24.xml?ContentType=application/vnd.openxmlformats-officedocument.spreadsheetml.worksheet+xml">
        <DigestMethod Algorithm="http://www.w3.org/2001/04/xmlenc#sha256"/>
        <DigestValue>CSQfE64g21rE+1M1vk0bbuAWia1RdIpz5jT5X2D8q00=</DigestValue>
      </Reference>
      <Reference URI="/xl/worksheets/sheet25.xml?ContentType=application/vnd.openxmlformats-officedocument.spreadsheetml.worksheet+xml">
        <DigestMethod Algorithm="http://www.w3.org/2001/04/xmlenc#sha256"/>
        <DigestValue>M48Ng0PLb+9ZDfqbIdtaM93k+kI5RHKbGC/bTegFdg4=</DigestValue>
      </Reference>
      <Reference URI="/xl/worksheets/sheet26.xml?ContentType=application/vnd.openxmlformats-officedocument.spreadsheetml.worksheet+xml">
        <DigestMethod Algorithm="http://www.w3.org/2001/04/xmlenc#sha256"/>
        <DigestValue>FHEPBSur6TQISogmpHCDaY5siHGCovYsMHY616mogFM=</DigestValue>
      </Reference>
      <Reference URI="/xl/worksheets/sheet27.xml?ContentType=application/vnd.openxmlformats-officedocument.spreadsheetml.worksheet+xml">
        <DigestMethod Algorithm="http://www.w3.org/2001/04/xmlenc#sha256"/>
        <DigestValue>kBKrtkAKYZP5zAo4chQYei27FxUqloW/IYkvPQbY/Jo=</DigestValue>
      </Reference>
      <Reference URI="/xl/worksheets/sheet28.xml?ContentType=application/vnd.openxmlformats-officedocument.spreadsheetml.worksheet+xml">
        <DigestMethod Algorithm="http://www.w3.org/2001/04/xmlenc#sha256"/>
        <DigestValue>g9V3l+BzLAjn/71/9v1fH0Zw0G8aA8kf5TR82Mobxfw=</DigestValue>
      </Reference>
      <Reference URI="/xl/worksheets/sheet29.xml?ContentType=application/vnd.openxmlformats-officedocument.spreadsheetml.worksheet+xml">
        <DigestMethod Algorithm="http://www.w3.org/2001/04/xmlenc#sha256"/>
        <DigestValue>hKoNmbBj5PCzUb96VD7WPoytbw3m/D7Po2O3rxcYayI=</DigestValue>
      </Reference>
      <Reference URI="/xl/worksheets/sheet3.xml?ContentType=application/vnd.openxmlformats-officedocument.spreadsheetml.worksheet+xml">
        <DigestMethod Algorithm="http://www.w3.org/2001/04/xmlenc#sha256"/>
        <DigestValue>IQ9y0epUMWMKj66B4n7YgDkGJb6g60egQ4BWCHGE+fQ=</DigestValue>
      </Reference>
      <Reference URI="/xl/worksheets/sheet4.xml?ContentType=application/vnd.openxmlformats-officedocument.spreadsheetml.worksheet+xml">
        <DigestMethod Algorithm="http://www.w3.org/2001/04/xmlenc#sha256"/>
        <DigestValue>7knIqOXblyptRbPghZY0ranD7gsdONTlIrwW2ayIoK0=</DigestValue>
      </Reference>
      <Reference URI="/xl/worksheets/sheet5.xml?ContentType=application/vnd.openxmlformats-officedocument.spreadsheetml.worksheet+xml">
        <DigestMethod Algorithm="http://www.w3.org/2001/04/xmlenc#sha256"/>
        <DigestValue>We7Mr6DZ17Nj3FUuenGmZGgpcGF/qI4M8CCWsqL6wnA=</DigestValue>
      </Reference>
      <Reference URI="/xl/worksheets/sheet6.xml?ContentType=application/vnd.openxmlformats-officedocument.spreadsheetml.worksheet+xml">
        <DigestMethod Algorithm="http://www.w3.org/2001/04/xmlenc#sha256"/>
        <DigestValue>nAVwMNkqSCQHEffXP90MZFe61bxf6Hnx84R0UFf8i30=</DigestValue>
      </Reference>
      <Reference URI="/xl/worksheets/sheet7.xml?ContentType=application/vnd.openxmlformats-officedocument.spreadsheetml.worksheet+xml">
        <DigestMethod Algorithm="http://www.w3.org/2001/04/xmlenc#sha256"/>
        <DigestValue>qX8vZObLOM9tPJWEQ78H2duv+6UAu/TgVA9spYtz19o=</DigestValue>
      </Reference>
      <Reference URI="/xl/worksheets/sheet8.xml?ContentType=application/vnd.openxmlformats-officedocument.spreadsheetml.worksheet+xml">
        <DigestMethod Algorithm="http://www.w3.org/2001/04/xmlenc#sha256"/>
        <DigestValue>By7P+f9X3kUH8FKDeCV3Y36e2Nt0piyJiq07XyYY8o4=</DigestValue>
      </Reference>
      <Reference URI="/xl/worksheets/sheet9.xml?ContentType=application/vnd.openxmlformats-officedocument.spreadsheetml.worksheet+xml">
        <DigestMethod Algorithm="http://www.w3.org/2001/04/xmlenc#sha256"/>
        <DigestValue>zSqsSPaOAIWrIAdQUzWna+MHZE15VOqklohElC8teYw=</DigestValue>
      </Reference>
    </Manifest>
    <SignatureProperties>
      <SignatureProperty Id="idSignatureTime" Target="#idPackageSignature">
        <mdssi:SignatureTime xmlns:mdssi="http://schemas.openxmlformats.org/package/2006/digital-signature">
          <mdssi:Format>YYYY-MM-DDThh:mm:ssTZD</mdssi:Format>
          <mdssi:Value>2024-04-30T15:09:15Z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2024-04-30T15:09:15Z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2024-04-30T15:07:50Z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