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8"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H7" i="112" l="1"/>
  <c r="H8" i="112"/>
  <c r="H9" i="112"/>
  <c r="H10" i="112"/>
  <c r="H11" i="112"/>
  <c r="H12" i="112"/>
  <c r="H13" i="112"/>
  <c r="H14" i="112"/>
  <c r="H15" i="112"/>
  <c r="H16" i="112"/>
  <c r="H17" i="112"/>
  <c r="H18" i="112"/>
  <c r="H19" i="112"/>
  <c r="H20" i="112"/>
  <c r="D13" i="64" l="1"/>
  <c r="C6" i="73" l="1"/>
  <c r="D44" i="84" l="1"/>
  <c r="E44" i="84"/>
  <c r="D48" i="84"/>
  <c r="E48" i="84"/>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E19" i="120" s="1"/>
  <c r="F13" i="120"/>
  <c r="F19" i="120" s="1"/>
  <c r="G13" i="120"/>
  <c r="G19" i="120" s="1"/>
  <c r="H13" i="120"/>
  <c r="H19" i="120" s="1"/>
  <c r="I13" i="120"/>
  <c r="I19" i="120" s="1"/>
  <c r="J13" i="120"/>
  <c r="J19" i="120" s="1"/>
  <c r="K13" i="120"/>
  <c r="K19" i="120" s="1"/>
  <c r="L13" i="120"/>
  <c r="L19" i="120" s="1"/>
  <c r="M13" i="120"/>
  <c r="M19" i="120" s="1"/>
  <c r="N13" i="120"/>
  <c r="N19" i="120" s="1"/>
  <c r="O13" i="120"/>
  <c r="O19" i="120" s="1"/>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J24" i="93" s="1"/>
  <c r="I16" i="93"/>
  <c r="G16" i="93"/>
  <c r="F16" i="93"/>
  <c r="F24" i="93" s="1"/>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I24" i="93" l="1"/>
  <c r="K24" i="93" s="1"/>
  <c r="H16" i="93"/>
  <c r="G24" i="93"/>
  <c r="G25" i="93" s="1"/>
  <c r="E16" i="93"/>
  <c r="J25" i="93"/>
  <c r="F25" i="93"/>
  <c r="I25" i="93"/>
  <c r="K23" i="93"/>
  <c r="K16" i="93"/>
  <c r="K25" i="93" l="1"/>
  <c r="H24" i="93"/>
  <c r="H25" i="93" s="1"/>
  <c r="B2" i="90" l="1"/>
  <c r="B1" i="90"/>
  <c r="C65" i="69"/>
  <c r="C64" i="69"/>
  <c r="C63" i="69"/>
  <c r="C61" i="69"/>
  <c r="C60" i="69"/>
  <c r="C59" i="69"/>
  <c r="C57" i="69"/>
  <c r="C56" i="69"/>
  <c r="C55" i="69"/>
  <c r="C54" i="69"/>
  <c r="C51" i="69"/>
  <c r="C49" i="69"/>
  <c r="C48" i="69"/>
  <c r="C43" i="69"/>
  <c r="C39" i="69"/>
  <c r="C38" i="69"/>
  <c r="C37" i="69"/>
  <c r="C34" i="69"/>
  <c r="C33" i="69"/>
  <c r="C31" i="69"/>
  <c r="C27" i="69"/>
  <c r="C25" i="69"/>
  <c r="C22" i="69"/>
  <c r="C21" i="69"/>
  <c r="C17" i="69"/>
  <c r="C15" i="69"/>
  <c r="C13" i="69"/>
  <c r="C12" i="69"/>
  <c r="C11" i="69"/>
  <c r="C10" i="69"/>
  <c r="B2" i="69"/>
  <c r="B1" i="69"/>
  <c r="B2" i="94"/>
  <c r="B1" i="94"/>
  <c r="C7" i="89"/>
  <c r="B2" i="89"/>
  <c r="B1" i="89"/>
  <c r="B2" i="73"/>
  <c r="B1" i="73"/>
  <c r="E36" i="88"/>
  <c r="E35" i="88"/>
  <c r="E33" i="88"/>
  <c r="E29" i="88"/>
  <c r="E27" i="88"/>
  <c r="E24" i="88"/>
  <c r="E23" i="88"/>
  <c r="E19" i="88"/>
  <c r="E17" i="88"/>
  <c r="E15" i="88"/>
  <c r="E14" i="88"/>
  <c r="E13" i="88"/>
  <c r="E12" i="88"/>
  <c r="D29" i="88"/>
  <c r="C36" i="88"/>
  <c r="C35"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H30" i="110" s="1"/>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4" i="110" s="1"/>
  <c r="H13" i="110"/>
  <c r="E13" i="110"/>
  <c r="H12" i="110"/>
  <c r="E12" i="110"/>
  <c r="G11" i="110"/>
  <c r="H11" i="110" s="1"/>
  <c r="F11" i="110"/>
  <c r="E11" i="110"/>
  <c r="D11" i="110"/>
  <c r="C11" i="110"/>
  <c r="H10" i="110"/>
  <c r="E10" i="110"/>
  <c r="H9" i="110"/>
  <c r="E9" i="110"/>
  <c r="G8" i="110"/>
  <c r="H8" i="110" s="1"/>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H34" i="109"/>
  <c r="G34" i="109"/>
  <c r="F34" i="109"/>
  <c r="D34" i="109"/>
  <c r="C34" i="109"/>
  <c r="H33" i="109"/>
  <c r="E33" i="109"/>
  <c r="H32" i="109"/>
  <c r="E32" i="109"/>
  <c r="H31" i="109"/>
  <c r="E31" i="109"/>
  <c r="H30" i="109"/>
  <c r="E30" i="109"/>
  <c r="G29" i="109"/>
  <c r="F29" i="109"/>
  <c r="H29" i="109" s="1"/>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G43" i="109" s="1"/>
  <c r="G45" i="109" s="1"/>
  <c r="F6" i="109"/>
  <c r="F43" i="109" s="1"/>
  <c r="D6" i="109"/>
  <c r="C6" i="109"/>
  <c r="C43" i="109" s="1"/>
  <c r="G68" i="108"/>
  <c r="G69" i="108" s="1"/>
  <c r="F68" i="108"/>
  <c r="F69" i="108" s="1"/>
  <c r="H69" i="108" s="1"/>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H47" i="108" s="1"/>
  <c r="D47" i="108"/>
  <c r="C47" i="108"/>
  <c r="E47" i="108" s="1"/>
  <c r="H46" i="108"/>
  <c r="E46" i="108"/>
  <c r="C45" i="69" s="1"/>
  <c r="H45" i="108"/>
  <c r="E45" i="108"/>
  <c r="C44" i="69" s="1"/>
  <c r="H44" i="108"/>
  <c r="E44" i="108"/>
  <c r="H43" i="108"/>
  <c r="E43" i="108"/>
  <c r="C42" i="69" s="1"/>
  <c r="H42" i="108"/>
  <c r="E42" i="108"/>
  <c r="C41" i="69" s="1"/>
  <c r="G41" i="108"/>
  <c r="G53" i="108" s="1"/>
  <c r="F41" i="108"/>
  <c r="H41" i="108" s="1"/>
  <c r="D41" i="108"/>
  <c r="D53" i="108" s="1"/>
  <c r="C41" i="108"/>
  <c r="H40" i="108"/>
  <c r="E40" i="108"/>
  <c r="H39" i="108"/>
  <c r="E39" i="108"/>
  <c r="H38" i="108"/>
  <c r="E38" i="108"/>
  <c r="G36" i="108"/>
  <c r="H35" i="108"/>
  <c r="E35" i="108"/>
  <c r="H34" i="108"/>
  <c r="E34" i="108"/>
  <c r="H33" i="108"/>
  <c r="E33" i="108"/>
  <c r="C34" i="88" s="1"/>
  <c r="H32" i="108"/>
  <c r="E32" i="108"/>
  <c r="H31" i="108"/>
  <c r="E31" i="108"/>
  <c r="C32" i="88" s="1"/>
  <c r="G30" i="108"/>
  <c r="F30" i="108"/>
  <c r="H30" i="108" s="1"/>
  <c r="D30" i="108"/>
  <c r="C30" i="108"/>
  <c r="E30" i="108" s="1"/>
  <c r="H29" i="108"/>
  <c r="E29" i="108"/>
  <c r="C30" i="88" s="1"/>
  <c r="H28" i="108"/>
  <c r="E28" i="108"/>
  <c r="H27" i="108"/>
  <c r="G27" i="108"/>
  <c r="F27" i="108"/>
  <c r="D27" i="108"/>
  <c r="C27" i="108"/>
  <c r="E27" i="108" s="1"/>
  <c r="C15" i="89" s="1"/>
  <c r="H26" i="108"/>
  <c r="E26" i="108"/>
  <c r="H25" i="108"/>
  <c r="E25" i="108"/>
  <c r="C26" i="88" s="1"/>
  <c r="G24" i="108"/>
  <c r="H24" i="108" s="1"/>
  <c r="F24" i="108"/>
  <c r="D24" i="108"/>
  <c r="C24" i="108"/>
  <c r="E24" i="108" s="1"/>
  <c r="H23" i="108"/>
  <c r="E23" i="108"/>
  <c r="H22" i="108"/>
  <c r="E22" i="108"/>
  <c r="H21" i="108"/>
  <c r="E21" i="108"/>
  <c r="C22" i="88" s="1"/>
  <c r="H20" i="108"/>
  <c r="E20" i="108"/>
  <c r="C21" i="88" s="1"/>
  <c r="H19" i="108"/>
  <c r="G19" i="108"/>
  <c r="F19" i="108"/>
  <c r="D19" i="108"/>
  <c r="C19" i="108"/>
  <c r="E19" i="108" s="1"/>
  <c r="H18" i="108"/>
  <c r="E18" i="108"/>
  <c r="H17" i="108"/>
  <c r="E17" i="108"/>
  <c r="C18" i="88" s="1"/>
  <c r="H16" i="108"/>
  <c r="E16" i="108"/>
  <c r="G15" i="108"/>
  <c r="F15" i="108"/>
  <c r="H15" i="108" s="1"/>
  <c r="D15" i="108"/>
  <c r="C15" i="108"/>
  <c r="E15" i="108" s="1"/>
  <c r="H14" i="108"/>
  <c r="E14" i="108"/>
  <c r="H13" i="108"/>
  <c r="E13" i="108"/>
  <c r="H12" i="108"/>
  <c r="E12" i="108"/>
  <c r="H11" i="108"/>
  <c r="E11" i="108"/>
  <c r="H10" i="108"/>
  <c r="E10" i="108"/>
  <c r="C11" i="88" s="1"/>
  <c r="H9" i="108"/>
  <c r="E9" i="108"/>
  <c r="C10" i="88" s="1"/>
  <c r="H8" i="108"/>
  <c r="E8" i="108"/>
  <c r="C9" i="88" s="1"/>
  <c r="H7" i="108"/>
  <c r="G7" i="108"/>
  <c r="F7" i="108"/>
  <c r="F36" i="108" s="1"/>
  <c r="H36" i="108" s="1"/>
  <c r="E21" i="88" l="1"/>
  <c r="C19" i="69"/>
  <c r="E37" i="109"/>
  <c r="C66" i="69"/>
  <c r="C67" i="69" s="1"/>
  <c r="C11" i="89"/>
  <c r="C40" i="69"/>
  <c r="C52" i="69" s="1"/>
  <c r="E34" i="88"/>
  <c r="C32" i="69"/>
  <c r="C30" i="69"/>
  <c r="C29" i="69" s="1"/>
  <c r="E32" i="88"/>
  <c r="E31" i="88" s="1"/>
  <c r="C31" i="88"/>
  <c r="C28" i="69"/>
  <c r="C26" i="69" s="1"/>
  <c r="D30" i="88"/>
  <c r="D28" i="88" s="1"/>
  <c r="D37" i="88" s="1"/>
  <c r="E30" i="88"/>
  <c r="E28" i="88" s="1"/>
  <c r="C28" i="88"/>
  <c r="C24" i="69"/>
  <c r="C23" i="69" s="1"/>
  <c r="E26" i="88"/>
  <c r="E25" i="88" s="1"/>
  <c r="C25" i="88"/>
  <c r="E22" i="88"/>
  <c r="E20" i="88" s="1"/>
  <c r="C20" i="69"/>
  <c r="C18" i="69" s="1"/>
  <c r="C20" i="88"/>
  <c r="C16" i="69"/>
  <c r="C14" i="69" s="1"/>
  <c r="E18" i="88"/>
  <c r="E16" i="88" s="1"/>
  <c r="C16" i="88"/>
  <c r="C8" i="69"/>
  <c r="E10" i="88"/>
  <c r="C9" i="69"/>
  <c r="E11" i="88"/>
  <c r="C7" i="69"/>
  <c r="E9" i="88"/>
  <c r="C8" i="88"/>
  <c r="C37" i="88" s="1"/>
  <c r="E14" i="110"/>
  <c r="E29" i="109"/>
  <c r="E34" i="109"/>
  <c r="E6" i="109"/>
  <c r="C53" i="108"/>
  <c r="E53" i="108" s="1"/>
  <c r="C36" i="108"/>
  <c r="D36" i="108"/>
  <c r="E7" i="108"/>
  <c r="E17" i="110"/>
  <c r="H43" i="109"/>
  <c r="F45" i="109"/>
  <c r="H45" i="109" s="1"/>
  <c r="C45" i="109"/>
  <c r="H6" i="109"/>
  <c r="D43" i="109"/>
  <c r="D45" i="109" s="1"/>
  <c r="D69" i="108"/>
  <c r="H68" i="108"/>
  <c r="E41" i="108"/>
  <c r="F53" i="108"/>
  <c r="H53" i="108" s="1"/>
  <c r="C68" i="69" l="1"/>
  <c r="C6" i="69"/>
  <c r="C35" i="69" s="1"/>
  <c r="E8" i="88"/>
  <c r="E37" i="88" s="1"/>
  <c r="C69" i="108"/>
  <c r="E69" i="108" s="1"/>
  <c r="E36" i="108"/>
  <c r="E43" i="109"/>
  <c r="E45" i="109"/>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L5" i="84" s="1"/>
  <c r="F5" i="84"/>
  <c r="K5" i="84" s="1"/>
  <c r="E5" i="84"/>
  <c r="J5" i="84" s="1"/>
  <c r="D5" i="84"/>
  <c r="I5" i="84" s="1"/>
  <c r="C5" i="84"/>
  <c r="F13" i="86" l="1"/>
  <c r="G13" i="86"/>
  <c r="E6" i="86"/>
  <c r="E13" i="86" s="1"/>
  <c r="F6" i="86"/>
  <c r="G6" i="86"/>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M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<sst xmlns="http://schemas.openxmlformats.org/spreadsheetml/2006/main" count="1193" uniqueCount="735">
  <si>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</si>
  <si>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</si>
  <si>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</si>
  <si>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</si>
  <si>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</si>
  <si>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</si>
  <si>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</si>
  <si>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</si>
  <si>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</si>
  <si>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</si>
  <si>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</si>
  <si>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</si>
  <si>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</si>
  <si>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</si>
  <si>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</si>
  <si>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</si>
  <si>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</si>
  <si>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</si>
  <si>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</si>
  <si>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</si>
  <si>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</si>
  <si>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</si>
  <si>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</si>
  <si>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</si>
  <si>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</si>
  <si>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</si>
  <si>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</si>
  <si>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</si>
  <si>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</si>
  <si>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</si>
  <si>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</si>
  <si>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</si>
  <si>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</si>
  <si>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</si>
  <si>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</si>
  <si>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</si>
  <si>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</si>
  <si>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</si>
  <si>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</si>
  <si>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</si>
  <si>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</si>
  <si>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</si>
  <si>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</si>
  <si>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</si>
  <si>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</si>
  <si>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</si>
  <si>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</si>
  <si>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</si>
  <si>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</si>
  <si>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</si>
  <si>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</si>
  <si>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</si>
  <si>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</si>
  <si>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</si>
  <si>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</si>
  <si>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</si>
  <si>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</si>
  <si>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</si>
  <si>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</si>
  <si>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</si>
  <si>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</si>
  <si>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</si>
  <si>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</si>
  <si>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</si>
  <si>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</si>
  <si>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</si>
  <si>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</si>
  <si>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</si>
  <si>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</si>
  <si>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</si>
  <si>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</si>
  <si>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</si>
  <si>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</si>
  <si>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</si>
  <si>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</si>
  <si>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</si>
  <si>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</si>
  <si>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</si>
  <si>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</si>
  <si>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</si>
  <si>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</si>
  <si>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</si>
  <si>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</si>
  <si>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</si>
  <si>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</si>
  <si>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</si>
  <si>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</si>
  <si>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</si>
  <si>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</si>
  <si>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</si>
  <si>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</si>
  <si>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</si>
  <si>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</si>
  <si>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</si>
  <si>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</si>
  <si>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</si>
  <si>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</si>
  <si>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</si>
  <si>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</si>
  <si>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</si>
  <si>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</si>
  <si>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</si>
  <si>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</si>
  <si>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</si>
  <si>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</si>
  <si>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</si>
  <si>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</si>
  <si>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</si>
  <si>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</si>
  <si>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</si>
  <si>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</si>
  <si>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</si>
  <si>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</si>
  <si>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</si>
  <si>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</si>
  <si>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</si>
  <si>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</si>
  <si>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</si>
  <si>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</si>
  <si>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</si>
  <si>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</si>
  <si>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</si>
  <si>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</si>
  <si>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</si>
  <si>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</si>
  <si>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</si>
  <si>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</si>
  <si>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</si>
  <si>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</si>
  <si>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</si>
  <si>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</si>
  <si>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</si>
  <si>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</si>
  <si>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</si>
  <si>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</si>
  <si>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</si>
  <si>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</si>
  <si>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</si>
  <si>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</si>
  <si>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</si>
  <si>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</si>
  <si>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</si>
  <si>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</si>
  <si>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</si>
  <si>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</si>
  <si>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</si>
  <si>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</si>
  <si>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</si>
  <si>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</si>
  <si>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</si>
  <si>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</si>
  <si>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</si>
  <si>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</si>
  <si>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</si>
  <si>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</si>
  <si>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</si>
  <si>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</si>
  <si>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</si>
  <si>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</si>
  <si>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</si>
  <si>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</si>
  <si>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</si>
  <si>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</si>
  <si>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</si>
  <si>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</si>
  <si>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</si>
  <si>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</si>
  <si>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</si>
  <si>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</si>
  <si>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</si>
  <si>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</si>
  <si>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</si>
  <si>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</si>
  <si>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</si>
  <si>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</si>
  <si>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</si>
  <si>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</si>
  <si>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</si>
  <si>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</si>
  <si>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</si>
  <si>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</si>
  <si>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</si>
  <si>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</si>
  <si>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</si>
  <si>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</si>
  <si>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</si>
  <si>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</si>
  <si>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</si>
  <si>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</si>
  <si>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</si>
  <si>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</si>
  <si>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</si>
  <si>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</si>
  <si>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</si>
  <si>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</si>
  <si>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</si>
  <si>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</si>
  <si>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</si>
  <si>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</si>
  <si>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</si>
  <si>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</si>
  <si>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</si>
  <si>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</si>
  <si>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</si>
  <si>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</si>
  <si>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</si>
  <si>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</si>
  <si>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</si>
  <si>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</si>
  <si>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</si>
  <si>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</si>
  <si>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</si>
  <si>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</si>
  <si>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</si>
  <si>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</si>
  <si>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</si>
  <si>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</si>
  <si>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</si>
  <si>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</si>
  <si>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</si>
  <si>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</si>
  <si>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</si>
  <si>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</si>
  <si>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</si>
  <si>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</si>
  <si>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</si>
  <si>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</si>
  <si>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</si>
  <si>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</si>
  <si>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</si>
  <si>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</si>
  <si>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</si>
  <si>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</si>
  <si>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</si>
  <si>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</si>
  <si>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</si>
  <si>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</si>
  <si>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</si>
  <si>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</si>
  <si>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</si>
  <si>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</si>
  <si>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</si>
  <si>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</si>
  <si>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</si>
  <si>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</si>
  <si>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</si>
  <si>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</si>
  <si>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</si>
  <si>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</si>
  <si>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</si>
  <si>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</si>
  <si>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</si>
  <si>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</si>
  <si>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</si>
  <si>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</si>
  <si>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</si>
  <si>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</si>
  <si>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</si>
  <si>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</si>
  <si>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</si>
  <si>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</si>
  <si>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</si>
  <si>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</si>
  <si>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</si>
  <si>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</si>
  <si>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</si>
  <si>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</si>
  <si>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</si>
  <si>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</si>
  <si>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</si>
  <si>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</si>
  <si>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</si>
  <si>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</si>
  <si>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</si>
  <si>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</si>
  <si>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</si>
  <si>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</si>
  <si>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</si>
  <si>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</si>
  <si>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</si>
  <si>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</si>
  <si>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</si>
  <si>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</si>
  <si>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</si>
  <si>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</si>
  <si>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</si>
  <si>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</si>
  <si>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</si>
  <si>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</si>
  <si>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</si>
  <si>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</si>
  <si>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</si>
  <si>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</si>
  <si>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</si>
  <si>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</si>
  <si>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</si>
  <si>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</si>
  <si>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</si>
  <si>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</si>
  <si>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</si>
  <si>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</si>
  <si>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</si>
  <si>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</si>
  <si>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</si>
  <si>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</si>
  <si>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</si>
  <si>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</si>
  <si>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</si>
  <si>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</si>
  <si>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</si>
  <si>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</si>
  <si>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</si>
  <si>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</si>
  <si>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</si>
  <si>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</si>
  <si>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</si>
  <si>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</si>
  <si>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</si>
  <si>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</si>
  <si>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</si>
  <si>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</si>
  <si>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</si>
  <si>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</si>
  <si>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</si>
  <si>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</si>
  <si>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</si>
  <si>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</si>
  <si>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</si>
  <si>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</si>
  <si>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</si>
  <si>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</si>
  <si>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</si>
  <si>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</si>
  <si>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</si>
  <si>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</si>
  <si>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</si>
  <si>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</si>
  <si>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</si>
  <si>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</si>
  <si>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</si>
  <si>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</si>
  <si>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</si>
  <si>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</si>
  <si>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</si>
  <si>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</si>
  <si>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</si>
  <si>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</si>
  <si>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</si>
  <si>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</si>
  <si>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</si>
  <si>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</si>
  <si>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</si>
  <si>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</si>
  <si>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</si>
  <si>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</si>
  <si>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</si>
  <si>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</si>
  <si>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</si>
  <si>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</si>
  <si>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</si>
  <si>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</si>
  <si>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</si>
  <si>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</si>
  <si>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</si>
  <si>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</si>
  <si>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</si>
  <si>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</si>
  <si>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</si>
  <si>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</si>
  <si>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</si>
  <si>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</si>
  <si>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</si>
  <si>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</si>
  <si>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</si>
  <si>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</si>
  <si>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</si>
  <si>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</si>
  <si>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</si>
  <si>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</si>
  <si>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</si>
  <si>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</si>
  <si>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</si>
  <si>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</si>
  <si>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</si>
  <si>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</si>
  <si>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</si>
  <si>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</si>
  <si>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</si>
  <si>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</si>
  <si>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</si>
  <si>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</si>
  <si>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</si>
  <si>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</si>
  <si>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</si>
  <si>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</si>
  <si>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</si>
  <si>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</si>
  <si>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</si>
  <si>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</si>
  <si>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</si>
  <si>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</si>
  <si>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</si>
  <si>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</si>
  <si>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</si>
  <si>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</si>
  <si>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</si>
  <si>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</si>
  <si>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</si>
  <si>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</si>
  <si>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</si>
  <si>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</si>
  <si>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</si>
  <si>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</si>
  <si>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</si>
  <si>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</si>
  <si>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</si>
  <si>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</si>
  <si>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</si>
  <si>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</si>
  <si>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</si>
  <si>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</si>
  <si>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</si>
  <si>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</si>
  <si>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</si>
  <si>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</si>
  <si>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</si>
  <si>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</si>
  <si>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</si>
  <si>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</si>
  <si>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</si>
  <si>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</si>
  <si>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</si>
  <si>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</si>
  <si>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</si>
  <si>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</si>
  <si>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</si>
  <si>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</si>
  <si>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</si>
  <si>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</si>
  <si>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</si>
  <si>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</si>
  <si>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</si>
  <si>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</si>
  <si>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</si>
  <si>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</si>
  <si>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</si>
  <si>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</si>
  <si>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</si>
  <si>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</si>
  <si>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</si>
  <si>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</si>
  <si>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</si>
  <si>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</si>
  <si>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</si>
  <si>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</si>
  <si>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</si>
  <si>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</si>
  <si>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</si>
  <si>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</si>
  <si>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</si>
  <si>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</si>
  <si>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</si>
  <si>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</si>
  <si>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</si>
  <si>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</si>
  <si>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</si>
  <si>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</si>
  <si>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</si>
  <si>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</si>
  <si>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</si>
  <si>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</si>
  <si>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</si>
  <si>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</si>
  <si>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</si>
  <si>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</si>
  <si>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</si>
  <si>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</si>
  <si>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</si>
  <si>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</si>
  <si>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</si>
  <si>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</si>
  <si>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</si>
  <si>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</si>
  <si>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</si>
  <si>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</si>
  <si>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</si>
  <si>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</si>
  <si>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</si>
  <si>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</si>
  <si>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</si>
  <si>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</si>
  <si>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</si>
  <si>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</si>
  <si>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</si>
  <si>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</si>
  <si>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</si>
  <si>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</si>
  <si>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</si>
  <si>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</si>
  <si>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</si>
  <si>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</si>
  <si>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</si>
  <si>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</si>
  <si>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</si>
  <si>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</si>
  <si>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</si>
  <si>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</si>
  <si>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</si>
  <si>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</si>
  <si>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</si>
  <si>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</si>
  <si>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</si>
  <si>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</si>
  <si>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</si>
  <si>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</si>
  <si>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</si>
  <si>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</si>
  <si>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</si>
  <si>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</si>
  <si>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</si>
  <si>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</si>
  <si>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</si>
  <si>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</si>
  <si>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</si>
  <si>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</si>
  <si>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</si>
  <si>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</si>
  <si>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</si>
  <si>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</si>
  <si>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</si>
  <si>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</si>
  <si>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</si>
  <si>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</si>
  <si>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</si>
  <si>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</si>
  <si>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</si>
  <si>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</si>
  <si>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</si>
  <si>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</si>
  <si>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</si>
  <si>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</si>
  <si>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</si>
  <si>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</si>
  <si>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</si>
  <si>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</si>
  <si>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</si>
  <si>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</si>
  <si>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</si>
  <si>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</si>
  <si>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</si>
  <si>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</si>
  <si>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</si>
  <si>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</si>
  <si>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</si>
  <si>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</si>
  <si>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</si>
  <si>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</si>
  <si>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</si>
  <si>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</si>
  <si>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</si>
  <si>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</si>
  <si>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</si>
  <si>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</si>
  <si>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</si>
  <si>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</si>
  <si>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</si>
  <si>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</si>
  <si>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</si>
  <si>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</si>
  <si>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</si>
  <si>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</si>
  <si>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</si>
  <si>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</si>
  <si>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</si>
  <si>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</si>
  <si>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</si>
  <si>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</si>
  <si>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</si>
  <si>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</si>
  <si>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</si>
  <si>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</si>
  <si>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</si>
  <si>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</si>
  <si>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</si>
  <si>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</si>
  <si>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</si>
  <si>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</si>
  <si>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</si>
  <si>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</si>
  <si>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</si>
  <si>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</si>
  <si>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</si>
  <si>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</si>
  <si>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</si>
  <si>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</si>
  <si>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</si>
  <si>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</si>
  <si>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</si>
  <si>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</si>
  <si>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</si>
  <si>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</si>
  <si>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</si>
  <si>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</si>
  <si>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</si>
  <si>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</si>
  <si>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</si>
  <si>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</si>
  <si>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</si>
  <si>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</si>
  <si>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</si>
  <si>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</si>
  <si>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</si>
  <si>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</si>
  <si>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</si>
  <si>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</si>
  <si>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</si>
  <si>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</si>
  <si>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</si>
  <si>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</si>
  <si>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</si>
  <si>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</si>
  <si>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</si>
  <si>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</si>
  <si>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</si>
  <si>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</si>
  <si>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</si>
  <si>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</si>
  <si>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</si>
  <si>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</si>
  <si>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</si>
  <si>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</si>
  <si>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</si>
  <si>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</si>
  <si>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</si>
  <si>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</si>
  <si>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</si>
  <si>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</si>
  <si>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</si>
  <si>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</si>
  <si>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</si>
  <si>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</si>
  <si>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</si>
  <si>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</si>
  <si>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</si>
  <si>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</si>
  <si>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</si>
  <si>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</si>
  <si>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</si>
  <si>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</si>
  <si>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</si>
  <si>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</si>
  <si>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</si>
  <si>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</si>
  <si>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</si>
  <si>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</si>
  <si>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</si>
  <si>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</si>
  <si>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</si>
  <si>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</si>
  <si>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</si>
  <si>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</si>
  <si>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</si>
  <si>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</si>
  <si>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</si>
  <si>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</si>
  <si>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</si>
  <si>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</si>
  <si>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</si>
  <si>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</si>
  <si>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</si>
  <si>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</si>
  <si>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</si>
  <si>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</si>
  <si>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</si>
  <si>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</si>
  <si>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</si>
  <si>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</si>
  <si>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</si>
  <si>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</si>
  <si>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</si>
  <si>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</si>
  <si>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</si>
  <si>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</si>
  <si>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</si>
  <si>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</si>
  <si>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</si>
  <si>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</si>
  <si>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</si>
  <si>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</si>
  <si>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</si>
  <si>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</si>
  <si>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</si>
  <si>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</si>
  <si>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</si>
  <si>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</si>
  <si>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</si>
  <si>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</si>
  <si>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</si>
  <si>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</si>
  <si>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</si>
  <si>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</si>
  <si>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</si>
  <si>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</si>
  <si>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</si>
  <si>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</si>
  <si>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</si>
  <si>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</si>
  <si>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</si>
  <si>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</si>
  <si>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</si>
  <si>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</si>
  <si>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</si>
  <si>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</si>
  <si>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</si>
  <si>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</si>
  <si>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</si>
  <si>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</si>
  <si>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</si>
  <si>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</si>
  <si>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</si>
  <si>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</si>
  <si>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Hakan Kural</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</si>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</sst>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4" fillId="0" borderId="0"/>
  </cellStyleXfs>
  <cellXfs count="943">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9" fillId="0" borderId="0" xfId="0" applyFont="1"/>
    <xf numFmtId="0" fontId="46" fillId="0" borderId="0" xfId="0" applyFont="1" applyFill="1" applyBorder="1" applyAlignment="1" applyProtection="1">
      <alignment horizontal="right"/>
      <protection locked="0"/>
    </xf>
    <xf numFmtId="0" fontId="89"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2" fillId="0" borderId="0" xfId="0" applyNumberFormat="1" applyFont="1" applyBorder="1" applyAlignment="1">
      <alignment horizontal="center"/>
    </xf>
    <xf numFmtId="167" fontId="84" fillId="0" borderId="61" xfId="0" applyNumberFormat="1" applyFont="1" applyBorder="1" applyAlignment="1">
      <alignment horizontal="center"/>
    </xf>
    <xf numFmtId="167" fontId="90" fillId="0" borderId="0" xfId="0" applyNumberFormat="1" applyFont="1" applyFill="1" applyBorder="1" applyAlignment="1">
      <alignment horizontal="center"/>
    </xf>
    <xf numFmtId="193" fontId="88"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8"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78" xfId="0" applyFont="1" applyFill="1" applyBorder="1" applyAlignment="1">
      <alignment horizontal="left"/>
    </xf>
    <xf numFmtId="0" fontId="100"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5"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1"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1" xfId="5" applyNumberFormat="1" applyFont="1" applyFill="1" applyBorder="1" applyAlignment="1" applyProtection="1">
      <alignment horizontal="left" vertical="center"/>
      <protection locked="0"/>
    </xf>
    <xf numFmtId="0" fontId="103"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6" fillId="70" borderId="95" xfId="20964" applyFont="1" applyFill="1" applyBorder="1" applyAlignment="1">
      <alignment horizontal="center" vertical="center"/>
    </xf>
    <xf numFmtId="0" fontId="106" fillId="70" borderId="96" xfId="20964" applyFont="1" applyFill="1" applyBorder="1" applyAlignment="1">
      <alignment horizontal="left" vertical="center" wrapText="1"/>
    </xf>
    <xf numFmtId="164" fontId="106" fillId="0" borderId="97" xfId="7" applyNumberFormat="1" applyFont="1" applyFill="1" applyBorder="1" applyAlignment="1" applyProtection="1">
      <alignment horizontal="right" vertical="center"/>
      <protection locked="0"/>
    </xf>
    <xf numFmtId="0" fontId="105" fillId="77" borderId="97" xfId="20964" applyFont="1" applyFill="1" applyBorder="1" applyAlignment="1">
      <alignment horizontal="center" vertical="center"/>
    </xf>
    <xf numFmtId="0" fontId="105"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7" fillId="70" borderId="95" xfId="20964" applyFont="1" applyFill="1" applyBorder="1" applyAlignment="1">
      <alignment horizontal="center" vertical="center"/>
    </xf>
    <xf numFmtId="0" fontId="106" fillId="70" borderId="99" xfId="20964" applyFont="1" applyFill="1" applyBorder="1" applyAlignment="1">
      <alignment vertical="center" wrapText="1"/>
    </xf>
    <xf numFmtId="0" fontId="106" fillId="70" borderId="96" xfId="20964" applyFont="1" applyFill="1" applyBorder="1" applyAlignment="1">
      <alignment horizontal="left" vertical="center"/>
    </xf>
    <xf numFmtId="0" fontId="107" fillId="3" borderId="95" xfId="20964" applyFont="1" applyFill="1" applyBorder="1" applyAlignment="1">
      <alignment horizontal="center" vertical="center"/>
    </xf>
    <xf numFmtId="0" fontId="106" fillId="3" borderId="96" xfId="20964" applyFont="1" applyFill="1" applyBorder="1" applyAlignment="1">
      <alignment horizontal="left" vertical="center"/>
    </xf>
    <xf numFmtId="0" fontId="107" fillId="0" borderId="95" xfId="20964" applyFont="1" applyFill="1" applyBorder="1" applyAlignment="1">
      <alignment horizontal="center" vertical="center"/>
    </xf>
    <xf numFmtId="0" fontId="106" fillId="0" borderId="96" xfId="20964" applyFont="1" applyFill="1" applyBorder="1" applyAlignment="1">
      <alignment horizontal="left" vertical="center"/>
    </xf>
    <xf numFmtId="0" fontId="108" fillId="77" borderId="97" xfId="20964" applyFont="1" applyFill="1" applyBorder="1" applyAlignment="1">
      <alignment horizontal="center" vertical="center"/>
    </xf>
    <xf numFmtId="0" fontId="105" fillId="77" borderId="99" xfId="20964" applyFont="1" applyFill="1" applyBorder="1" applyAlignment="1">
      <alignment vertical="center"/>
    </xf>
    <xf numFmtId="164" fontId="106" fillId="77" borderId="97" xfId="7" applyNumberFormat="1" applyFont="1" applyFill="1" applyBorder="1" applyAlignment="1" applyProtection="1">
      <alignment horizontal="right" vertical="center"/>
      <protection locked="0"/>
    </xf>
    <xf numFmtId="0" fontId="105" fillId="76" borderId="98" xfId="20964" applyFont="1" applyFill="1" applyBorder="1" applyAlignment="1">
      <alignment vertical="center"/>
    </xf>
    <xf numFmtId="0" fontId="105" fillId="76" borderId="99" xfId="20964" applyFont="1" applyFill="1" applyBorder="1" applyAlignment="1">
      <alignment vertical="center"/>
    </xf>
    <xf numFmtId="164" fontId="105" fillId="76" borderId="96" xfId="7" applyNumberFormat="1" applyFont="1" applyFill="1" applyBorder="1" applyAlignment="1">
      <alignment horizontal="right" vertical="center"/>
    </xf>
    <xf numFmtId="0" fontId="110" fillId="3" borderId="95" xfId="20964" applyFont="1" applyFill="1" applyBorder="1" applyAlignment="1">
      <alignment horizontal="center" vertical="center"/>
    </xf>
    <xf numFmtId="0" fontId="111" fillId="77" borderId="97" xfId="20964" applyFont="1" applyFill="1" applyBorder="1" applyAlignment="1">
      <alignment horizontal="center" vertical="center"/>
    </xf>
    <xf numFmtId="0" fontId="45" fillId="77" borderId="99" xfId="20964" applyFont="1" applyFill="1" applyBorder="1" applyAlignment="1">
      <alignment vertical="center"/>
    </xf>
    <xf numFmtId="0" fontId="110" fillId="70" borderId="95" xfId="20964" applyFont="1" applyFill="1" applyBorder="1" applyAlignment="1">
      <alignment horizontal="center" vertical="center"/>
    </xf>
    <xf numFmtId="164" fontId="106" fillId="3" borderId="97" xfId="7" applyNumberFormat="1" applyFont="1" applyFill="1" applyBorder="1" applyAlignment="1" applyProtection="1">
      <alignment horizontal="right" vertical="center"/>
      <protection locked="0"/>
    </xf>
    <xf numFmtId="0" fontId="111" fillId="3" borderId="97" xfId="20964" applyFont="1" applyFill="1" applyBorder="1" applyAlignment="1">
      <alignment horizontal="center" vertical="center"/>
    </xf>
    <xf numFmtId="0" fontId="45" fillId="3" borderId="99" xfId="20964" applyFont="1" applyFill="1" applyBorder="1" applyAlignment="1">
      <alignment vertical="center"/>
    </xf>
    <xf numFmtId="0" fontId="107"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1" fillId="0" borderId="97" xfId="0" applyFont="1" applyFill="1" applyBorder="1" applyAlignment="1">
      <alignment horizontal="left" vertical="center" wrapText="1"/>
    </xf>
    <xf numFmtId="10" fontId="97"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1"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3"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100"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2" fillId="3" borderId="63" xfId="0" applyFont="1" applyFill="1" applyBorder="1" applyAlignment="1">
      <alignment horizontal="left"/>
    </xf>
    <xf numFmtId="0" fontId="112"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100"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193" fontId="87" fillId="2" borderId="89" xfId="0" applyNumberFormat="1" applyFont="1" applyFill="1" applyBorder="1" applyAlignment="1" applyProtection="1">
      <alignment vertical="center"/>
      <protection locked="0"/>
    </xf>
    <xf numFmtId="0" fontId="113" fillId="0" borderId="0" xfId="11" applyFont="1" applyFill="1" applyBorder="1" applyProtection="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Fill="1"/>
    <xf numFmtId="0" fontId="116" fillId="0" borderId="68" xfId="0" applyNumberFormat="1" applyFont="1" applyFill="1" applyBorder="1" applyAlignment="1">
      <alignment horizontal="left" vertical="center" wrapText="1"/>
    </xf>
    <xf numFmtId="0" fontId="6" fillId="0" borderId="112" xfId="17" applyBorder="1" applyAlignment="1" applyProtection="1"/>
    <xf numFmtId="0" fontId="114"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7" fillId="3" borderId="118" xfId="0" applyFont="1" applyFill="1" applyBorder="1" applyAlignment="1">
      <alignment horizontal="left" vertical="center" wrapText="1"/>
    </xf>
    <xf numFmtId="0" fontId="125" fillId="0" borderId="118" xfId="0" applyFont="1" applyFill="1" applyBorder="1" applyAlignment="1">
      <alignment horizontal="left" vertical="center" wrapText="1"/>
    </xf>
    <xf numFmtId="0" fontId="127" fillId="0" borderId="118" xfId="0" applyFont="1" applyFill="1" applyBorder="1" applyAlignment="1">
      <alignment horizontal="left" vertical="center" wrapText="1"/>
    </xf>
    <xf numFmtId="0" fontId="127" fillId="0" borderId="118" xfId="0" applyFont="1" applyFill="1" applyBorder="1" applyAlignment="1">
      <alignment vertical="center" wrapText="1"/>
    </xf>
    <xf numFmtId="0" fontId="128" fillId="0" borderId="118" xfId="0" applyFont="1" applyFill="1" applyBorder="1" applyAlignment="1">
      <alignment horizontal="left" vertical="center" wrapText="1" indent="1"/>
    </xf>
    <xf numFmtId="0" fontId="128" fillId="3" borderId="118" xfId="0" applyFont="1" applyFill="1" applyBorder="1" applyAlignment="1">
      <alignment horizontal="left" vertical="center" wrapText="1" indent="1"/>
    </xf>
    <xf numFmtId="0" fontId="127" fillId="3" borderId="119" xfId="0" applyFont="1" applyFill="1" applyBorder="1" applyAlignment="1">
      <alignment horizontal="left" vertical="center" wrapText="1"/>
    </xf>
    <xf numFmtId="0" fontId="127" fillId="3" borderId="120" xfId="0" applyFont="1" applyFill="1" applyBorder="1" applyAlignment="1">
      <alignment horizontal="left" vertical="center" wrapText="1"/>
    </xf>
    <xf numFmtId="0" fontId="0" fillId="0" borderId="121" xfId="0" applyBorder="1" applyAlignment="1">
      <alignment horizontal="center"/>
    </xf>
    <xf numFmtId="0" fontId="126" fillId="3" borderId="121" xfId="20966" applyFont="1" applyFill="1" applyBorder="1" applyAlignment="1">
      <alignment horizontal="left" vertical="center" wrapText="1" indent="1"/>
    </xf>
    <xf numFmtId="0" fontId="126" fillId="3" borderId="118" xfId="0" applyFont="1" applyFill="1" applyBorder="1" applyAlignment="1">
      <alignment horizontal="left" vertical="center" wrapText="1" indent="1"/>
    </xf>
    <xf numFmtId="0" fontId="126" fillId="0" borderId="121" xfId="20966" applyFont="1" applyFill="1" applyBorder="1" applyAlignment="1">
      <alignment horizontal="left" vertical="center" wrapText="1" indent="1"/>
    </xf>
    <xf numFmtId="0" fontId="127" fillId="0" borderId="121" xfId="20966" applyFont="1" applyFill="1" applyBorder="1" applyAlignment="1">
      <alignment horizontal="left" vertical="center" wrapText="1"/>
    </xf>
    <xf numFmtId="0" fontId="127" fillId="0" borderId="121" xfId="0" applyFont="1" applyFill="1" applyBorder="1" applyAlignment="1">
      <alignment vertical="center" wrapText="1"/>
    </xf>
    <xf numFmtId="0" fontId="129" fillId="0" borderId="121" xfId="20966" applyFont="1" applyFill="1" applyBorder="1" applyAlignment="1">
      <alignment horizontal="center" vertical="center" wrapText="1"/>
    </xf>
    <xf numFmtId="0" fontId="127" fillId="3" borderId="121" xfId="20966" applyFont="1" applyFill="1" applyBorder="1" applyAlignment="1">
      <alignment horizontal="left" vertical="center" wrapText="1"/>
    </xf>
    <xf numFmtId="0" fontId="127"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7" fillId="0" borderId="126" xfId="0" applyFont="1" applyFill="1" applyBorder="1" applyAlignment="1">
      <alignment horizontal="justify" vertical="center" wrapText="1"/>
    </xf>
    <xf numFmtId="0" fontId="126" fillId="0" borderId="118" xfId="0" applyFont="1" applyFill="1" applyBorder="1" applyAlignment="1">
      <alignment horizontal="left" vertical="center" wrapText="1" indent="1"/>
    </xf>
    <xf numFmtId="0" fontId="126" fillId="0" borderId="119" xfId="0" applyFont="1" applyFill="1" applyBorder="1" applyAlignment="1">
      <alignment horizontal="left" vertical="center" wrapText="1" indent="1"/>
    </xf>
    <xf numFmtId="0" fontId="127" fillId="0" borderId="118" xfId="0" applyFont="1" applyFill="1" applyBorder="1" applyAlignment="1">
      <alignment horizontal="justify" vertical="center" wrapText="1"/>
    </xf>
    <xf numFmtId="0" fontId="125" fillId="0" borderId="118" xfId="0" applyFont="1" applyFill="1" applyBorder="1" applyAlignment="1">
      <alignment horizontal="justify" vertical="center" wrapText="1"/>
    </xf>
    <xf numFmtId="0" fontId="127" fillId="3" borderId="118" xfId="0" applyFont="1" applyFill="1" applyBorder="1" applyAlignment="1">
      <alignment horizontal="justify" vertical="center" wrapText="1"/>
    </xf>
    <xf numFmtId="0" fontId="127" fillId="0" borderId="119" xfId="0" applyFont="1" applyFill="1" applyBorder="1" applyAlignment="1">
      <alignment horizontal="justify" vertical="center" wrapText="1"/>
    </xf>
    <xf numFmtId="0" fontId="127" fillId="0" borderId="120" xfId="0" applyFont="1" applyFill="1" applyBorder="1" applyAlignment="1">
      <alignment horizontal="justify" vertical="center" wrapText="1"/>
    </xf>
    <xf numFmtId="0" fontId="125" fillId="0" borderId="118" xfId="0" applyFont="1" applyFill="1" applyBorder="1" applyAlignment="1">
      <alignment vertical="center" wrapText="1"/>
    </xf>
    <xf numFmtId="0" fontId="126" fillId="0" borderId="118" xfId="0" applyFont="1" applyFill="1" applyBorder="1" applyAlignment="1">
      <alignment horizontal="left" vertical="center" wrapText="1"/>
    </xf>
    <xf numFmtId="0" fontId="127" fillId="0" borderId="127" xfId="0" applyFont="1" applyFill="1" applyBorder="1" applyAlignment="1">
      <alignment vertical="center" wrapText="1"/>
    </xf>
    <xf numFmtId="0" fontId="127" fillId="3" borderId="118" xfId="0" applyFont="1" applyFill="1" applyBorder="1" applyAlignment="1">
      <alignment vertical="center" wrapText="1"/>
    </xf>
    <xf numFmtId="193" fontId="95"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6" fillId="3" borderId="119" xfId="0" applyFont="1" applyFill="1" applyBorder="1" applyAlignment="1">
      <alignment horizontal="left" vertical="center" wrapText="1" indent="1"/>
    </xf>
    <xf numFmtId="0" fontId="126" fillId="3" borderId="121" xfId="0" applyFont="1" applyFill="1" applyBorder="1" applyAlignment="1">
      <alignment horizontal="left" vertical="center" wrapText="1" indent="1"/>
    </xf>
    <xf numFmtId="0" fontId="127" fillId="0" borderId="121" xfId="0" applyFont="1" applyBorder="1" applyAlignment="1">
      <alignment horizontal="left" vertical="center" wrapText="1"/>
    </xf>
    <xf numFmtId="0" fontId="84" fillId="0" borderId="121" xfId="0" applyFont="1" applyBorder="1"/>
    <xf numFmtId="0" fontId="126" fillId="0" borderId="121" xfId="0" applyFont="1" applyBorder="1" applyAlignment="1">
      <alignment horizontal="left" vertical="center" wrapText="1" indent="1"/>
    </xf>
    <xf numFmtId="0" fontId="127" fillId="3" borderId="121" xfId="0" applyFont="1" applyFill="1" applyBorder="1" applyAlignment="1">
      <alignment horizontal="left" vertical="center" wrapText="1"/>
    </xf>
    <xf numFmtId="0" fontId="128" fillId="3" borderId="121" xfId="0" applyFont="1" applyFill="1" applyBorder="1" applyAlignment="1">
      <alignment horizontal="left" vertical="center" wrapText="1" indent="1"/>
    </xf>
    <xf numFmtId="0" fontId="130"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8"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6" fillId="0" borderId="121" xfId="0" applyFont="1" applyFill="1" applyBorder="1" applyAlignment="1">
      <alignment horizontal="left" vertical="center" wrapText="1" indent="1"/>
    </xf>
    <xf numFmtId="0" fontId="114" fillId="0" borderId="0" xfId="0" applyFont="1"/>
    <xf numFmtId="0" fontId="117" fillId="0" borderId="121" xfId="0" applyFont="1" applyBorder="1"/>
    <xf numFmtId="49" fontId="119" fillId="0" borderId="121" xfId="5" applyNumberFormat="1" applyFont="1" applyFill="1" applyBorder="1" applyAlignment="1" applyProtection="1">
      <alignment horizontal="right" vertical="center"/>
      <protection locked="0"/>
    </xf>
    <xf numFmtId="0" fontId="118" fillId="3" borderId="121" xfId="13" applyFont="1" applyFill="1" applyBorder="1" applyAlignment="1" applyProtection="1">
      <alignment horizontal="left" vertical="center" wrapText="1"/>
      <protection locked="0"/>
    </xf>
    <xf numFmtId="49" fontId="118" fillId="3" borderId="121" xfId="5" applyNumberFormat="1" applyFont="1" applyFill="1" applyBorder="1" applyAlignment="1" applyProtection="1">
      <alignment horizontal="right" vertical="center"/>
      <protection locked="0"/>
    </xf>
    <xf numFmtId="0" fontId="118" fillId="0" borderId="121" xfId="13" applyFont="1" applyFill="1" applyBorder="1" applyAlignment="1" applyProtection="1">
      <alignment horizontal="left" vertical="center" wrapText="1"/>
      <protection locked="0"/>
    </xf>
    <xf numFmtId="49" fontId="118" fillId="0" borderId="121" xfId="5" applyNumberFormat="1" applyFont="1" applyFill="1" applyBorder="1" applyAlignment="1" applyProtection="1">
      <alignment horizontal="right" vertical="center"/>
      <protection locked="0"/>
    </xf>
    <xf numFmtId="0" fontId="120" fillId="0" borderId="121" xfId="13" applyFont="1" applyFill="1" applyBorder="1" applyAlignment="1" applyProtection="1">
      <alignment horizontal="left" vertical="center" wrapText="1"/>
      <protection locked="0"/>
    </xf>
    <xf numFmtId="0" fontId="117" fillId="0" borderId="121" xfId="0" applyFont="1" applyFill="1" applyBorder="1" applyAlignment="1">
      <alignment horizontal="center" vertical="center" wrapText="1"/>
    </xf>
    <xf numFmtId="0" fontId="114" fillId="0" borderId="0" xfId="0" applyFont="1" applyAlignment="1">
      <alignment wrapText="1"/>
    </xf>
    <xf numFmtId="0" fontId="113" fillId="0" borderId="121" xfId="0" applyFont="1" applyBorder="1"/>
    <xf numFmtId="0" fontId="113" fillId="0" borderId="121" xfId="0" applyFont="1" applyFill="1" applyBorder="1"/>
    <xf numFmtId="0" fontId="113" fillId="0" borderId="121" xfId="0" applyFont="1" applyBorder="1" applyAlignment="1">
      <alignment horizontal="left" indent="8"/>
    </xf>
    <xf numFmtId="0" fontId="113" fillId="0" borderId="121" xfId="0" applyFont="1" applyBorder="1" applyAlignment="1">
      <alignment wrapText="1"/>
    </xf>
    <xf numFmtId="0" fontId="117" fillId="0" borderId="0" xfId="0" applyFont="1"/>
    <xf numFmtId="0" fontId="116" fillId="0" borderId="121" xfId="0" applyFont="1" applyBorder="1"/>
    <xf numFmtId="49" fontId="119" fillId="0" borderId="121" xfId="5" applyNumberFormat="1" applyFont="1" applyFill="1" applyBorder="1" applyAlignment="1" applyProtection="1">
      <alignment horizontal="right" vertical="center" wrapText="1"/>
      <protection locked="0"/>
    </xf>
    <xf numFmtId="49" fontId="118" fillId="3" borderId="121" xfId="5" applyNumberFormat="1" applyFont="1" applyFill="1" applyBorder="1" applyAlignment="1" applyProtection="1">
      <alignment horizontal="right" vertical="center" wrapText="1"/>
      <protection locked="0"/>
    </xf>
    <xf numFmtId="49" fontId="118" fillId="0" borderId="121" xfId="5" applyNumberFormat="1" applyFont="1" applyFill="1" applyBorder="1" applyAlignment="1" applyProtection="1">
      <alignment horizontal="right" vertical="center" wrapText="1"/>
      <protection locked="0"/>
    </xf>
    <xf numFmtId="0" fontId="113" fillId="0" borderId="121" xfId="0" applyFont="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1"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Border="1"/>
    <xf numFmtId="0" fontId="114" fillId="0" borderId="0" xfId="0" applyFont="1" applyBorder="1" applyAlignment="1">
      <alignment horizontal="left"/>
    </xf>
    <xf numFmtId="0" fontId="116" fillId="0" borderId="121" xfId="0" applyFont="1" applyFill="1" applyBorder="1"/>
    <xf numFmtId="0" fontId="113" fillId="0" borderId="121" xfId="0" applyNumberFormat="1" applyFont="1" applyFill="1" applyBorder="1" applyAlignment="1">
      <alignment horizontal="left" vertical="center" wrapText="1"/>
    </xf>
    <xf numFmtId="0" fontId="116" fillId="0" borderId="121" xfId="0" applyFont="1" applyFill="1" applyBorder="1" applyAlignment="1">
      <alignment horizontal="left" wrapText="1" indent="1"/>
    </xf>
    <xf numFmtId="0" fontId="116" fillId="0" borderId="121" xfId="0" applyFont="1" applyFill="1" applyBorder="1" applyAlignment="1">
      <alignment horizontal="left" vertical="center" indent="1"/>
    </xf>
    <xf numFmtId="0" fontId="113" fillId="0" borderId="121" xfId="0" applyFont="1" applyFill="1" applyBorder="1" applyAlignment="1">
      <alignment horizontal="left" wrapText="1" indent="1"/>
    </xf>
    <xf numFmtId="0" fontId="113" fillId="0" borderId="121" xfId="0" applyFont="1" applyFill="1" applyBorder="1" applyAlignment="1">
      <alignment horizontal="left" indent="1"/>
    </xf>
    <xf numFmtId="0" fontId="113" fillId="0" borderId="121" xfId="0" applyFont="1" applyFill="1" applyBorder="1" applyAlignment="1">
      <alignment horizontal="left" wrapText="1" indent="4"/>
    </xf>
    <xf numFmtId="0" fontId="113" fillId="0" borderId="121" xfId="0" applyNumberFormat="1" applyFont="1" applyFill="1" applyBorder="1" applyAlignment="1">
      <alignment horizontal="left" indent="3"/>
    </xf>
    <xf numFmtId="0" fontId="116" fillId="0" borderId="121" xfId="0" applyFont="1" applyFill="1" applyBorder="1" applyAlignment="1">
      <alignment horizontal="left" indent="1"/>
    </xf>
    <xf numFmtId="0" fontId="114" fillId="78" borderId="121" xfId="0" applyFont="1" applyFill="1" applyBorder="1"/>
    <xf numFmtId="0" fontId="117" fillId="0" borderId="7" xfId="0" applyFont="1" applyBorder="1"/>
    <xf numFmtId="0" fontId="117" fillId="0" borderId="121" xfId="0" applyFont="1" applyFill="1" applyBorder="1"/>
    <xf numFmtId="0" fontId="114" fillId="0" borderId="121" xfId="0" applyFont="1" applyFill="1" applyBorder="1" applyAlignment="1">
      <alignment horizontal="left" wrapText="1" indent="2"/>
    </xf>
    <xf numFmtId="0" fontId="114" fillId="0" borderId="121" xfId="0" applyFont="1" applyFill="1" applyBorder="1"/>
    <xf numFmtId="0" fontId="114" fillId="0" borderId="121" xfId="0" applyFont="1" applyFill="1" applyBorder="1" applyAlignment="1">
      <alignment horizontal="left" wrapText="1"/>
    </xf>
    <xf numFmtId="0" fontId="113" fillId="0" borderId="0" xfId="0" applyFont="1" applyBorder="1"/>
    <xf numFmtId="0" fontId="116" fillId="76" borderId="121" xfId="0" applyFont="1" applyFill="1" applyBorder="1"/>
    <xf numFmtId="0" fontId="113" fillId="0" borderId="121" xfId="0" applyFont="1" applyBorder="1" applyAlignment="1">
      <alignment horizontal="left" indent="1"/>
    </xf>
    <xf numFmtId="0" fontId="113" fillId="0" borderId="121" xfId="0" applyFont="1" applyBorder="1" applyAlignment="1">
      <alignment horizontal="center"/>
    </xf>
    <xf numFmtId="0" fontId="113" fillId="0" borderId="0" xfId="0" applyFont="1" applyBorder="1" applyAlignment="1">
      <alignment horizontal="center" vertical="center"/>
    </xf>
    <xf numFmtId="0" fontId="113" fillId="0" borderId="121"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0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05" xfId="0" applyFont="1" applyFill="1" applyBorder="1" applyAlignment="1">
      <alignment horizontal="center" vertical="center" wrapText="1"/>
    </xf>
    <xf numFmtId="0" fontId="113" fillId="0" borderId="0" xfId="0" applyFont="1" applyFill="1"/>
    <xf numFmtId="0" fontId="113" fillId="0" borderId="23" xfId="0" applyFont="1" applyFill="1" applyBorder="1"/>
    <xf numFmtId="0" fontId="113" fillId="0" borderId="22" xfId="0" applyFont="1" applyFill="1" applyBorder="1"/>
    <xf numFmtId="0" fontId="113" fillId="0" borderId="25" xfId="0" applyFont="1" applyFill="1" applyBorder="1"/>
    <xf numFmtId="49" fontId="113" fillId="0" borderId="21" xfId="0" applyNumberFormat="1" applyFont="1" applyFill="1" applyBorder="1" applyAlignment="1">
      <alignment horizontal="left" wrapText="1" indent="1"/>
    </xf>
    <xf numFmtId="49" fontId="113" fillId="0" borderId="23" xfId="0" applyNumberFormat="1" applyFont="1" applyFill="1" applyBorder="1" applyAlignment="1">
      <alignment horizontal="left" wrapText="1" indent="1"/>
    </xf>
    <xf numFmtId="0" fontId="113" fillId="0" borderId="21" xfId="0" applyNumberFormat="1" applyFont="1" applyFill="1" applyBorder="1" applyAlignment="1">
      <alignment horizontal="left" wrapText="1" indent="1"/>
    </xf>
    <xf numFmtId="0" fontId="113" fillId="0" borderId="81" xfId="0" applyFont="1" applyFill="1" applyBorder="1"/>
    <xf numFmtId="0" fontId="113" fillId="0" borderId="124" xfId="0" applyFont="1" applyFill="1" applyBorder="1"/>
    <xf numFmtId="49" fontId="113" fillId="0" borderId="18" xfId="0" applyNumberFormat="1" applyFont="1" applyFill="1" applyBorder="1" applyAlignment="1">
      <alignment horizontal="left" wrapText="1" indent="1"/>
    </xf>
    <xf numFmtId="49" fontId="113" fillId="0" borderId="81" xfId="0" applyNumberFormat="1" applyFont="1" applyFill="1" applyBorder="1" applyAlignment="1">
      <alignment horizontal="left" wrapText="1" indent="1"/>
    </xf>
    <xf numFmtId="0" fontId="113" fillId="0" borderId="18" xfId="0" applyNumberFormat="1" applyFont="1" applyFill="1" applyBorder="1" applyAlignment="1">
      <alignment horizontal="left" wrapText="1" indent="1"/>
    </xf>
    <xf numFmtId="49" fontId="113" fillId="0" borderId="18"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2"/>
    </xf>
    <xf numFmtId="49" fontId="113" fillId="0" borderId="18" xfId="0" applyNumberFormat="1" applyFont="1" applyBorder="1" applyAlignment="1">
      <alignment horizontal="left" wrapText="1" indent="2"/>
    </xf>
    <xf numFmtId="49" fontId="113" fillId="0" borderId="81" xfId="0" applyNumberFormat="1" applyFont="1" applyFill="1" applyBorder="1" applyAlignment="1">
      <alignment horizontal="left" vertical="top" wrapText="1" indent="2"/>
    </xf>
    <xf numFmtId="0" fontId="113" fillId="79" borderId="81" xfId="0" applyFont="1" applyFill="1" applyBorder="1"/>
    <xf numFmtId="0" fontId="113" fillId="79" borderId="121" xfId="0" applyFont="1" applyFill="1" applyBorder="1"/>
    <xf numFmtId="0" fontId="113" fillId="79" borderId="124" xfId="0" applyFont="1" applyFill="1" applyBorder="1"/>
    <xf numFmtId="49" fontId="113" fillId="0" borderId="81" xfId="0" applyNumberFormat="1" applyFont="1" applyFill="1" applyBorder="1" applyAlignment="1">
      <alignment horizontal="left" indent="1"/>
    </xf>
    <xf numFmtId="0" fontId="113" fillId="0" borderId="18" xfId="0" applyNumberFormat="1" applyFont="1" applyBorder="1" applyAlignment="1">
      <alignment horizontal="left" indent="1"/>
    </xf>
    <xf numFmtId="0" fontId="113" fillId="0" borderId="81" xfId="0" applyFont="1" applyBorder="1"/>
    <xf numFmtId="0" fontId="113" fillId="0" borderId="124" xfId="0" applyFont="1" applyBorder="1"/>
    <xf numFmtId="49" fontId="113" fillId="0" borderId="18" xfId="0" applyNumberFormat="1" applyFont="1" applyBorder="1" applyAlignment="1">
      <alignment horizontal="left" indent="1"/>
    </xf>
    <xf numFmtId="49" fontId="113" fillId="0" borderId="81" xfId="0" applyNumberFormat="1" applyFont="1" applyFill="1" applyBorder="1" applyAlignment="1">
      <alignment horizontal="left" indent="3"/>
    </xf>
    <xf numFmtId="49" fontId="113" fillId="0" borderId="18" xfId="0" applyNumberFormat="1" applyFont="1" applyBorder="1" applyAlignment="1">
      <alignment horizontal="left" indent="3"/>
    </xf>
    <xf numFmtId="0" fontId="113" fillId="0" borderId="18" xfId="0" applyFont="1" applyBorder="1" applyAlignment="1">
      <alignment horizontal="left" indent="2"/>
    </xf>
    <xf numFmtId="0" fontId="113" fillId="0" borderId="81" xfId="0" applyFont="1" applyBorder="1" applyAlignment="1">
      <alignment horizontal="left" indent="2"/>
    </xf>
    <xf numFmtId="0" fontId="113" fillId="0" borderId="18" xfId="0" applyFont="1" applyBorder="1" applyAlignment="1">
      <alignment horizontal="left" indent="1"/>
    </xf>
    <xf numFmtId="0" fontId="113" fillId="0" borderId="81" xfId="0" applyFont="1" applyBorder="1" applyAlignment="1">
      <alignment horizontal="left" indent="1"/>
    </xf>
    <xf numFmtId="0" fontId="116" fillId="0" borderId="64" xfId="0" applyFont="1" applyBorder="1"/>
    <xf numFmtId="0" fontId="113" fillId="0" borderId="67" xfId="0" applyFont="1" applyBorder="1"/>
    <xf numFmtId="0" fontId="113" fillId="0" borderId="75" xfId="0" applyFont="1" applyBorder="1" applyAlignment="1">
      <alignment horizontal="center" vertical="center" wrapText="1"/>
    </xf>
    <xf numFmtId="0" fontId="113" fillId="0" borderId="81" xfId="0" applyFont="1" applyFill="1" applyBorder="1" applyAlignment="1">
      <alignment horizontal="center" vertical="center" wrapText="1"/>
    </xf>
    <xf numFmtId="0" fontId="113" fillId="0" borderId="0" xfId="0" applyFont="1" applyBorder="1" applyAlignment="1">
      <alignment wrapText="1"/>
    </xf>
    <xf numFmtId="14" fontId="113" fillId="0" borderId="0" xfId="0" applyNumberFormat="1" applyFont="1" applyBorder="1"/>
    <xf numFmtId="0" fontId="113" fillId="0" borderId="0" xfId="0" applyFont="1" applyAlignment="1">
      <alignment horizontal="center" vertical="center"/>
    </xf>
    <xf numFmtId="0" fontId="113" fillId="0" borderId="0" xfId="0" applyFont="1" applyBorder="1" applyAlignment="1">
      <alignment horizontal="left"/>
    </xf>
    <xf numFmtId="0" fontId="116" fillId="0" borderId="121"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118" fillId="0" borderId="0" xfId="0" applyFont="1"/>
    <xf numFmtId="0" fontId="95" fillId="0" borderId="0" xfId="0" applyFont="1" applyFill="1" applyBorder="1" applyAlignment="1">
      <alignment wrapText="1"/>
    </xf>
    <xf numFmtId="0" fontId="118" fillId="0" borderId="121" xfId="0" applyFont="1" applyBorder="1"/>
    <xf numFmtId="0" fontId="116" fillId="0" borderId="121"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6" xfId="0" applyNumberFormat="1" applyFont="1" applyFill="1" applyBorder="1" applyAlignment="1">
      <alignment horizontal="left" vertical="center" wrapText="1" indent="1" readingOrder="1"/>
    </xf>
    <xf numFmtId="0" fontId="134" fillId="0" borderId="121" xfId="0" applyFont="1" applyBorder="1" applyAlignment="1">
      <alignment horizontal="left" indent="3"/>
    </xf>
    <xf numFmtId="0" fontId="116" fillId="0" borderId="121" xfId="0" applyNumberFormat="1" applyFont="1" applyFill="1" applyBorder="1" applyAlignment="1">
      <alignment vertical="center" wrapText="1" readingOrder="1"/>
    </xf>
    <xf numFmtId="0" fontId="134" fillId="0" borderId="121" xfId="0" applyFont="1" applyFill="1" applyBorder="1" applyAlignment="1">
      <alignment horizontal="left" indent="2"/>
    </xf>
    <xf numFmtId="0" fontId="113" fillId="0" borderId="117" xfId="0" applyNumberFormat="1" applyFont="1" applyFill="1" applyBorder="1" applyAlignment="1">
      <alignment vertical="center" wrapText="1" readingOrder="1"/>
    </xf>
    <xf numFmtId="0" fontId="134" fillId="0" borderId="125" xfId="0" applyFont="1" applyBorder="1" applyAlignment="1">
      <alignment horizontal="left" indent="2"/>
    </xf>
    <xf numFmtId="0" fontId="113" fillId="0" borderId="116" xfId="0" applyNumberFormat="1" applyFont="1" applyFill="1" applyBorder="1" applyAlignment="1">
      <alignment vertical="center" wrapText="1" readingOrder="1"/>
    </xf>
    <xf numFmtId="0" fontId="134" fillId="0" borderId="121" xfId="0" applyFont="1" applyBorder="1" applyAlignment="1">
      <alignment horizontal="left" indent="2"/>
    </xf>
    <xf numFmtId="0" fontId="113" fillId="0" borderId="115" xfId="0" applyNumberFormat="1" applyFont="1" applyFill="1" applyBorder="1" applyAlignment="1">
      <alignment vertical="center" wrapText="1" readingOrder="1"/>
    </xf>
    <xf numFmtId="0" fontId="134"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193" fontId="84" fillId="0" borderId="18" xfId="0" applyNumberFormat="1" applyFont="1" applyFill="1" applyBorder="1" applyAlignment="1" applyProtection="1">
      <alignment vertical="center" wrapText="1"/>
      <protection locked="0"/>
    </xf>
    <xf numFmtId="193" fontId="84" fillId="0" borderId="121" xfId="0" applyNumberFormat="1" applyFont="1" applyFill="1" applyBorder="1" applyAlignment="1" applyProtection="1">
      <alignment vertical="center" wrapText="1"/>
      <protection locked="0"/>
    </xf>
    <xf numFmtId="193" fontId="84" fillId="0" borderId="81" xfId="0" applyNumberFormat="1" applyFont="1" applyFill="1" applyBorder="1" applyAlignment="1" applyProtection="1">
      <alignment vertical="center" wrapText="1"/>
      <protection locked="0"/>
    </xf>
    <xf numFmtId="193" fontId="87" fillId="2" borderId="18" xfId="0" applyNumberFormat="1" applyFont="1" applyFill="1" applyBorder="1" applyAlignment="1" applyProtection="1">
      <alignment vertical="center"/>
      <protection locked="0"/>
    </xf>
    <xf numFmtId="193" fontId="87" fillId="2" borderId="121" xfId="0" applyNumberFormat="1" applyFont="1" applyFill="1" applyBorder="1" applyAlignment="1" applyProtection="1">
      <alignment vertical="center"/>
      <protection locked="0"/>
    </xf>
    <xf numFmtId="193" fontId="87" fillId="2" borderId="81" xfId="0" applyNumberFormat="1" applyFont="1" applyFill="1" applyBorder="1" applyAlignment="1" applyProtection="1">
      <alignment vertical="center"/>
      <protection locked="0"/>
    </xf>
    <xf numFmtId="193" fontId="87" fillId="2" borderId="86" xfId="0" applyNumberFormat="1" applyFont="1" applyFill="1" applyBorder="1" applyAlignment="1" applyProtection="1">
      <alignment vertical="center"/>
      <protection locked="0"/>
    </xf>
    <xf numFmtId="193" fontId="87" fillId="2" borderId="125" xfId="0" applyNumberFormat="1" applyFont="1" applyFill="1" applyBorder="1" applyAlignment="1" applyProtection="1">
      <alignment vertical="center"/>
      <protection locked="0"/>
    </xf>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10" fontId="84" fillId="0" borderId="121" xfId="20962" applyNumberFormat="1" applyFont="1" applyBorder="1" applyAlignment="1" applyProtection="1">
      <alignment vertical="center" wrapText="1"/>
      <protection locked="0"/>
    </xf>
    <xf numFmtId="10" fontId="84" fillId="0" borderId="81" xfId="20962" applyNumberFormat="1" applyFont="1" applyBorder="1" applyAlignment="1" applyProtection="1">
      <alignment vertical="center" wrapText="1"/>
      <protection locked="0"/>
    </xf>
    <xf numFmtId="10" fontId="87" fillId="2" borderId="121" xfId="20962" applyNumberFormat="1" applyFont="1" applyFill="1" applyBorder="1" applyAlignment="1" applyProtection="1">
      <alignment vertical="center"/>
      <protection locked="0"/>
    </xf>
    <xf numFmtId="10" fontId="87" fillId="2" borderId="81" xfId="20962" applyNumberFormat="1" applyFont="1" applyFill="1" applyBorder="1" applyAlignment="1" applyProtection="1">
      <alignment vertical="center"/>
      <protection locked="0"/>
    </xf>
    <xf numFmtId="10" fontId="84" fillId="0" borderId="121" xfId="20962" applyNumberFormat="1" applyFont="1" applyFill="1" applyBorder="1" applyAlignment="1" applyProtection="1">
      <alignment horizontal="right" vertical="center" wrapText="1"/>
      <protection locked="0"/>
    </xf>
    <xf numFmtId="10" fontId="84" fillId="0" borderId="81" xfId="20962" applyNumberFormat="1" applyFont="1" applyFill="1" applyBorder="1" applyAlignment="1" applyProtection="1">
      <alignment horizontal="right" vertical="center" wrapText="1"/>
      <protection locked="0"/>
    </xf>
    <xf numFmtId="10" fontId="87" fillId="2" borderId="125" xfId="20962" applyNumberFormat="1" applyFont="1" applyFill="1" applyBorder="1" applyAlignment="1" applyProtection="1">
      <alignment vertical="center"/>
      <protection locked="0"/>
    </xf>
    <xf numFmtId="10" fontId="87" fillId="2" borderId="89"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7" fillId="2" borderId="23" xfId="20962" applyNumberFormat="1" applyFont="1" applyFill="1" applyBorder="1" applyAlignment="1" applyProtection="1">
      <alignment vertical="center"/>
      <protection locked="0"/>
    </xf>
    <xf numFmtId="10" fontId="84" fillId="0" borderId="18" xfId="20962" applyNumberFormat="1" applyFont="1" applyBorder="1" applyAlignment="1" applyProtection="1">
      <alignment vertical="center" wrapText="1"/>
      <protection locked="0"/>
    </xf>
    <xf numFmtId="10" fontId="87" fillId="2" borderId="18" xfId="20962" applyNumberFormat="1" applyFont="1" applyFill="1" applyBorder="1" applyAlignment="1" applyProtection="1">
      <alignment vertical="center"/>
      <protection locked="0"/>
    </xf>
    <xf numFmtId="10" fontId="84" fillId="0" borderId="18" xfId="20962" applyNumberFormat="1" applyFont="1" applyFill="1" applyBorder="1" applyAlignment="1" applyProtection="1">
      <alignment horizontal="right" vertical="center" wrapText="1"/>
      <protection locked="0"/>
    </xf>
    <xf numFmtId="10" fontId="87" fillId="2" borderId="86" xfId="20962" applyNumberFormat="1" applyFont="1" applyFill="1" applyBorder="1" applyAlignment="1" applyProtection="1">
      <alignment vertical="center"/>
      <protection locked="0"/>
    </xf>
    <xf numFmtId="10" fontId="87" fillId="2" borderId="21" xfId="20962" applyNumberFormat="1" applyFont="1" applyFill="1" applyBorder="1" applyAlignment="1" applyProtection="1">
      <alignment vertical="center"/>
      <protection locked="0"/>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0" fillId="36" borderId="121" xfId="7" applyNumberFormat="1" applyFont="1" applyFill="1" applyBorder="1"/>
    <xf numFmtId="164" fontId="137" fillId="36" borderId="121" xfId="7" applyNumberFormat="1" applyFont="1" applyFill="1" applyBorder="1"/>
    <xf numFmtId="164" fontId="137" fillId="0" borderId="121" xfId="7" applyNumberFormat="1" applyFont="1" applyBorder="1"/>
    <xf numFmtId="0" fontId="136" fillId="0" borderId="121" xfId="0" applyFont="1" applyFill="1" applyBorder="1" applyAlignment="1" applyProtection="1">
      <alignment horizontal="center" vertical="center" wrapText="1"/>
    </xf>
    <xf numFmtId="0" fontId="136" fillId="0" borderId="81" xfId="0" applyFont="1" applyFill="1" applyBorder="1" applyAlignment="1" applyProtection="1">
      <alignment horizontal="center" vertical="center" wrapText="1"/>
    </xf>
    <xf numFmtId="0" fontId="0" fillId="0" borderId="18" xfId="0" applyBorder="1" applyAlignment="1">
      <alignment horizontal="center"/>
    </xf>
    <xf numFmtId="0" fontId="125" fillId="3" borderId="121" xfId="20966" applyFont="1" applyFill="1" applyBorder="1" applyAlignment="1">
      <alignment horizontal="left" vertical="center" wrapText="1"/>
    </xf>
    <xf numFmtId="164" fontId="0" fillId="36" borderId="81" xfId="7" applyNumberFormat="1" applyFont="1" applyFill="1" applyBorder="1"/>
    <xf numFmtId="164" fontId="0" fillId="0" borderId="121" xfId="7" applyNumberFormat="1" applyFont="1" applyBorder="1" applyAlignment="1">
      <alignment vertical="center"/>
    </xf>
    <xf numFmtId="164" fontId="137" fillId="36" borderId="121" xfId="7" applyNumberFormat="1" applyFont="1" applyFill="1" applyBorder="1" applyAlignment="1">
      <alignment vertical="center"/>
    </xf>
    <xf numFmtId="164" fontId="0" fillId="36" borderId="81" xfId="7" applyNumberFormat="1" applyFont="1" applyFill="1" applyBorder="1" applyAlignment="1">
      <alignment vertical="center"/>
    </xf>
    <xf numFmtId="0" fontId="128" fillId="0" borderId="121" xfId="20966" applyFont="1" applyFill="1" applyBorder="1" applyAlignment="1">
      <alignment horizontal="left" vertical="center" wrapText="1" indent="1"/>
    </xf>
    <xf numFmtId="0" fontId="130" fillId="0" borderId="0" xfId="0" applyFont="1" applyBorder="1" applyAlignment="1">
      <alignment horizontal="justify"/>
    </xf>
    <xf numFmtId="0" fontId="0" fillId="0" borderId="21" xfId="0" applyBorder="1" applyAlignment="1">
      <alignment horizontal="center"/>
    </xf>
    <xf numFmtId="0" fontId="127" fillId="0" borderId="22" xfId="0" applyFont="1" applyFill="1" applyBorder="1" applyAlignment="1">
      <alignment horizontal="left" vertical="center" wrapText="1"/>
    </xf>
    <xf numFmtId="164" fontId="137" fillId="0" borderId="22" xfId="7" applyNumberFormat="1" applyFont="1" applyBorder="1"/>
    <xf numFmtId="164" fontId="137" fillId="36" borderId="22" xfId="7" applyNumberFormat="1" applyFont="1" applyFill="1" applyBorder="1"/>
    <xf numFmtId="164" fontId="0" fillId="0" borderId="22" xfId="7" applyNumberFormat="1" applyFont="1" applyBorder="1"/>
    <xf numFmtId="164" fontId="0" fillId="36" borderId="23" xfId="7" applyNumberFormat="1" applyFont="1" applyFill="1" applyBorder="1"/>
    <xf numFmtId="0" fontId="112" fillId="0" borderId="122" xfId="0" applyFont="1" applyBorder="1" applyAlignment="1">
      <alignment horizontal="center" vertical="center"/>
    </xf>
    <xf numFmtId="0" fontId="125" fillId="3" borderId="122" xfId="20966" applyFont="1" applyFill="1" applyBorder="1" applyAlignment="1">
      <alignment horizontal="left" vertical="center" wrapText="1"/>
    </xf>
    <xf numFmtId="0" fontId="126" fillId="0" borderId="122" xfId="20966" applyFont="1" applyFill="1" applyBorder="1" applyAlignment="1">
      <alignment horizontal="left" vertical="center" wrapText="1" indent="1"/>
    </xf>
    <xf numFmtId="0" fontId="127" fillId="3" borderId="131" xfId="0" applyFont="1" applyFill="1" applyBorder="1" applyAlignment="1">
      <alignment horizontal="left" vertical="center" wrapText="1"/>
    </xf>
    <xf numFmtId="0" fontId="126" fillId="3" borderId="122" xfId="20966" applyFont="1" applyFill="1" applyBorder="1" applyAlignment="1">
      <alignment horizontal="left" vertical="center" wrapText="1" indent="1"/>
    </xf>
    <xf numFmtId="0" fontId="125" fillId="0" borderId="131" xfId="0" applyFont="1" applyFill="1" applyBorder="1" applyAlignment="1">
      <alignment horizontal="left" vertical="center" wrapText="1"/>
    </xf>
    <xf numFmtId="0" fontId="127" fillId="0" borderId="131" xfId="0" applyFont="1" applyFill="1" applyBorder="1" applyAlignment="1">
      <alignment horizontal="left" vertical="center" wrapText="1"/>
    </xf>
    <xf numFmtId="0" fontId="127" fillId="0" borderId="131" xfId="0" applyFont="1" applyFill="1" applyBorder="1" applyAlignment="1">
      <alignment vertical="center" wrapText="1"/>
    </xf>
    <xf numFmtId="0" fontId="128" fillId="0" borderId="131" xfId="0" applyFont="1" applyFill="1" applyBorder="1" applyAlignment="1">
      <alignment horizontal="left" vertical="center" wrapText="1" indent="1"/>
    </xf>
    <xf numFmtId="0" fontId="128" fillId="3" borderId="131" xfId="0" applyFont="1" applyFill="1" applyBorder="1" applyAlignment="1">
      <alignment horizontal="left" vertical="center" wrapText="1" indent="1"/>
    </xf>
    <xf numFmtId="0" fontId="127" fillId="3" borderId="132" xfId="0" applyFont="1" applyFill="1" applyBorder="1" applyAlignment="1">
      <alignment horizontal="left" vertical="center" wrapText="1"/>
    </xf>
    <xf numFmtId="0" fontId="128" fillId="0" borderId="122" xfId="20966" applyFont="1" applyFill="1" applyBorder="1" applyAlignment="1">
      <alignment horizontal="left" vertical="center" wrapText="1" indent="1"/>
    </xf>
    <xf numFmtId="0" fontId="127" fillId="0" borderId="122" xfId="0" applyFont="1" applyFill="1" applyBorder="1" applyAlignment="1">
      <alignment horizontal="left" vertical="center" wrapText="1"/>
    </xf>
    <xf numFmtId="0" fontId="129" fillId="0" borderId="122" xfId="20966" applyFont="1" applyFill="1" applyBorder="1" applyAlignment="1">
      <alignment horizontal="center" vertical="center" wrapText="1"/>
    </xf>
    <xf numFmtId="0" fontId="127" fillId="3" borderId="133" xfId="0" applyFont="1" applyFill="1" applyBorder="1" applyAlignment="1">
      <alignment horizontal="left" vertical="center" wrapText="1"/>
    </xf>
    <xf numFmtId="0" fontId="126" fillId="3" borderId="131" xfId="0" applyFont="1" applyFill="1" applyBorder="1" applyAlignment="1">
      <alignment horizontal="left" vertical="center" wrapText="1" indent="1"/>
    </xf>
    <xf numFmtId="0" fontId="127" fillId="0" borderId="131" xfId="0" applyFont="1" applyBorder="1" applyAlignment="1">
      <alignment horizontal="left" vertical="center" wrapText="1"/>
    </xf>
    <xf numFmtId="0" fontId="126" fillId="0" borderId="131" xfId="0" applyFont="1" applyBorder="1" applyAlignment="1">
      <alignment horizontal="left" vertical="center" wrapText="1" indent="1"/>
    </xf>
    <xf numFmtId="0" fontId="126" fillId="0" borderId="132" xfId="0" applyFont="1" applyBorder="1" applyAlignment="1">
      <alignment horizontal="left" vertical="center" wrapText="1" indent="1"/>
    </xf>
    <xf numFmtId="0" fontId="127" fillId="0" borderId="122" xfId="20966" applyFont="1" applyFill="1" applyBorder="1" applyAlignment="1">
      <alignment horizontal="left" vertical="center" wrapText="1"/>
    </xf>
    <xf numFmtId="0" fontId="127" fillId="0" borderId="122" xfId="0" applyFont="1" applyFill="1" applyBorder="1" applyAlignment="1">
      <alignment vertical="center" wrapText="1"/>
    </xf>
    <xf numFmtId="0" fontId="127" fillId="3" borderId="122" xfId="20966" applyFont="1" applyFill="1" applyBorder="1" applyAlignment="1">
      <alignment horizontal="left" vertical="center" wrapText="1"/>
    </xf>
    <xf numFmtId="0" fontId="126" fillId="0" borderId="131" xfId="0" applyFont="1" applyFill="1" applyBorder="1" applyAlignment="1">
      <alignment horizontal="left" vertical="center" wrapText="1" indent="1"/>
    </xf>
    <xf numFmtId="0" fontId="127" fillId="0" borderId="24" xfId="0" applyFont="1" applyFill="1" applyBorder="1" applyAlignment="1">
      <alignment horizontal="left" vertical="center" wrapText="1"/>
    </xf>
    <xf numFmtId="0" fontId="136" fillId="0" borderId="18" xfId="0" applyFont="1" applyFill="1" applyBorder="1" applyAlignment="1" applyProtection="1">
      <alignment horizontal="center" vertical="center" wrapText="1"/>
    </xf>
    <xf numFmtId="164" fontId="0" fillId="0" borderId="18" xfId="7" applyNumberFormat="1" applyFont="1" applyBorder="1"/>
    <xf numFmtId="164" fontId="137" fillId="0" borderId="18" xfId="7" applyNumberFormat="1" applyFont="1" applyBorder="1"/>
    <xf numFmtId="164" fontId="137" fillId="0" borderId="21" xfId="7" applyNumberFormat="1" applyFont="1" applyBorder="1"/>
    <xf numFmtId="164" fontId="0" fillId="0" borderId="121" xfId="7" applyNumberFormat="1" applyFont="1" applyBorder="1" applyProtection="1"/>
    <xf numFmtId="0" fontId="105"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2" fillId="0" borderId="122" xfId="0" applyFont="1" applyBorder="1" applyAlignment="1">
      <alignment vertical="center"/>
    </xf>
    <xf numFmtId="0" fontId="96" fillId="0" borderId="122" xfId="0" applyNumberFormat="1" applyFont="1" applyFill="1" applyBorder="1" applyAlignment="1">
      <alignment vertical="center" wrapText="1"/>
    </xf>
    <xf numFmtId="0" fontId="97"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5" fillId="0" borderId="18" xfId="7" applyNumberFormat="1" applyFont="1" applyFill="1" applyBorder="1" applyAlignment="1" applyProtection="1">
      <alignment horizontal="right"/>
    </xf>
    <xf numFmtId="164" fontId="95" fillId="0" borderId="121" xfId="7" applyNumberFormat="1" applyFont="1" applyFill="1" applyBorder="1" applyAlignment="1" applyProtection="1">
      <alignment horizontal="right"/>
    </xf>
    <xf numFmtId="164" fontId="95" fillId="36" borderId="81" xfId="7" applyNumberFormat="1" applyFont="1" applyFill="1" applyBorder="1" applyAlignment="1" applyProtection="1">
      <alignment horizontal="right"/>
    </xf>
    <xf numFmtId="164" fontId="95" fillId="0" borderId="21" xfId="7" applyNumberFormat="1" applyFont="1" applyFill="1" applyBorder="1" applyAlignment="1" applyProtection="1">
      <alignment horizontal="right"/>
    </xf>
    <xf numFmtId="164" fontId="95" fillId="0" borderId="22" xfId="7" applyNumberFormat="1" applyFont="1" applyFill="1" applyBorder="1" applyAlignment="1" applyProtection="1">
      <alignment horizontal="right"/>
    </xf>
    <xf numFmtId="164" fontId="95" fillId="36" borderId="23" xfId="7" applyNumberFormat="1" applyFont="1" applyFill="1" applyBorder="1" applyAlignment="1" applyProtection="1">
      <alignment horizontal="right"/>
    </xf>
    <xf numFmtId="164" fontId="138" fillId="36" borderId="121" xfId="7" applyNumberFormat="1" applyFont="1" applyFill="1" applyBorder="1" applyAlignment="1" applyProtection="1">
      <alignment horizontal="right"/>
    </xf>
    <xf numFmtId="164" fontId="138"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4" fillId="0" borderId="18" xfId="7" applyNumberFormat="1" applyFont="1" applyBorder="1" applyAlignment="1">
      <alignment vertical="center" wrapText="1"/>
    </xf>
    <xf numFmtId="164" fontId="104" fillId="0" borderId="121" xfId="7" applyNumberFormat="1" applyFont="1" applyBorder="1" applyAlignment="1">
      <alignment vertical="center" wrapText="1"/>
    </xf>
    <xf numFmtId="164" fontId="104" fillId="0" borderId="81" xfId="7" applyNumberFormat="1" applyFont="1" applyBorder="1" applyAlignment="1">
      <alignment vertical="center" wrapText="1"/>
    </xf>
    <xf numFmtId="164" fontId="104" fillId="0" borderId="18" xfId="7" applyNumberFormat="1" applyFont="1" applyFill="1" applyBorder="1" applyAlignment="1">
      <alignment vertical="center" wrapText="1"/>
    </xf>
    <xf numFmtId="164" fontId="104" fillId="0" borderId="121" xfId="7" applyNumberFormat="1" applyFont="1" applyFill="1" applyBorder="1" applyAlignment="1">
      <alignment vertical="center" wrapText="1"/>
    </xf>
    <xf numFmtId="164" fontId="104"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9" fillId="36" borderId="18" xfId="7" applyNumberFormat="1" applyFont="1" applyFill="1" applyBorder="1" applyAlignment="1">
      <alignment vertical="center" wrapText="1"/>
    </xf>
    <xf numFmtId="164" fontId="139" fillId="36" borderId="121" xfId="7" applyNumberFormat="1" applyFont="1" applyFill="1" applyBorder="1" applyAlignment="1">
      <alignment vertical="center" wrapText="1"/>
    </xf>
    <xf numFmtId="164" fontId="139" fillId="36" borderId="81" xfId="7" applyNumberFormat="1" applyFont="1" applyFill="1" applyBorder="1" applyAlignment="1">
      <alignment vertical="center" wrapText="1"/>
    </xf>
    <xf numFmtId="164" fontId="140" fillId="36" borderId="21" xfId="7" applyNumberFormat="1" applyFont="1" applyFill="1" applyBorder="1" applyAlignment="1">
      <alignment vertical="center" wrapText="1"/>
    </xf>
    <xf numFmtId="164" fontId="140" fillId="36" borderId="22" xfId="7" applyNumberFormat="1" applyFont="1" applyFill="1" applyBorder="1" applyAlignment="1">
      <alignment vertical="center" wrapText="1"/>
    </xf>
    <xf numFmtId="164" fontId="140"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41" fillId="0" borderId="121" xfId="7" applyFont="1" applyFill="1" applyBorder="1" applyAlignment="1">
      <alignment horizontal="center" vertical="center"/>
    </xf>
    <xf numFmtId="43" fontId="141" fillId="0" borderId="81" xfId="7" applyFont="1" applyFill="1" applyBorder="1" applyAlignment="1">
      <alignment horizontal="center" vertical="center"/>
    </xf>
    <xf numFmtId="193" fontId="141" fillId="36" borderId="17" xfId="0" applyNumberFormat="1" applyFont="1" applyFill="1" applyBorder="1" applyAlignment="1">
      <alignment horizontal="center" vertical="center"/>
    </xf>
    <xf numFmtId="193" fontId="141" fillId="36" borderId="19" xfId="0" applyNumberFormat="1" applyFont="1" applyFill="1" applyBorder="1" applyAlignment="1">
      <alignment horizontal="center" vertical="center" wrapText="1"/>
    </xf>
    <xf numFmtId="193" fontId="141" fillId="36" borderId="23" xfId="0" applyNumberFormat="1" applyFont="1" applyFill="1" applyBorder="1" applyAlignment="1">
      <alignment horizontal="center" vertical="center" wrapText="1"/>
    </xf>
    <xf numFmtId="0" fontId="142" fillId="0" borderId="121" xfId="0" applyFont="1" applyBorder="1"/>
    <xf numFmtId="0" fontId="143" fillId="0" borderId="121" xfId="17" applyFont="1" applyBorder="1" applyAlignment="1" applyProtection="1"/>
    <xf numFmtId="193" fontId="136" fillId="36" borderId="19" xfId="2" applyNumberFormat="1" applyFont="1" applyFill="1" applyBorder="1" applyAlignment="1" applyProtection="1">
      <alignment vertical="top"/>
    </xf>
    <xf numFmtId="193" fontId="136"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6" fillId="0" borderId="0" xfId="11" applyFont="1" applyFill="1" applyBorder="1" applyProtection="1"/>
    <xf numFmtId="193" fontId="141" fillId="0" borderId="12" xfId="0" applyNumberFormat="1" applyFont="1" applyBorder="1" applyAlignment="1">
      <alignment horizontal="center" vertical="center"/>
    </xf>
    <xf numFmtId="193" fontId="141" fillId="0" borderId="31" xfId="0" applyNumberFormat="1" applyFont="1" applyBorder="1" applyAlignment="1">
      <alignment horizontal="center" vertical="center"/>
    </xf>
    <xf numFmtId="193" fontId="141" fillId="0" borderId="11" xfId="0" applyNumberFormat="1" applyFont="1" applyBorder="1" applyAlignment="1">
      <alignment horizontal="center" vertical="center"/>
    </xf>
    <xf numFmtId="193" fontId="144" fillId="0" borderId="11" xfId="0" applyNumberFormat="1" applyFont="1" applyFill="1" applyBorder="1" applyAlignment="1">
      <alignment horizontal="center" vertical="center"/>
    </xf>
    <xf numFmtId="193" fontId="141" fillId="0" borderId="11" xfId="0" applyNumberFormat="1" applyFont="1" applyFill="1" applyBorder="1" applyAlignment="1">
      <alignment horizontal="center" vertical="center"/>
    </xf>
    <xf numFmtId="193" fontId="141" fillId="0" borderId="14" xfId="0" applyNumberFormat="1" applyFont="1" applyBorder="1" applyAlignment="1">
      <alignment horizontal="center" vertical="center"/>
    </xf>
    <xf numFmtId="193" fontId="145" fillId="0" borderId="13" xfId="0" applyNumberFormat="1" applyFont="1" applyFill="1" applyBorder="1" applyAlignment="1">
      <alignment horizontal="center" vertical="center"/>
    </xf>
    <xf numFmtId="193" fontId="141" fillId="0" borderId="13" xfId="0" applyNumberFormat="1" applyFont="1" applyFill="1" applyBorder="1" applyAlignment="1">
      <alignment horizontal="center" vertical="center"/>
    </xf>
    <xf numFmtId="0" fontId="141"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41" fillId="0" borderId="134" xfId="0" applyNumberFormat="1" applyFont="1" applyBorder="1" applyAlignment="1">
      <alignment horizontal="center" vertical="center"/>
    </xf>
    <xf numFmtId="0" fontId="84" fillId="0" borderId="23" xfId="0" applyFont="1" applyBorder="1"/>
    <xf numFmtId="167" fontId="146" fillId="80" borderId="57" xfId="0" applyNumberFormat="1" applyFont="1" applyFill="1" applyBorder="1" applyAlignment="1">
      <alignment horizontal="center"/>
    </xf>
    <xf numFmtId="167" fontId="141" fillId="0" borderId="3" xfId="0" applyNumberFormat="1" applyFont="1" applyBorder="1" applyAlignment="1"/>
    <xf numFmtId="167" fontId="141" fillId="36" borderId="22" xfId="0" applyNumberFormat="1" applyFont="1" applyFill="1" applyBorder="1"/>
    <xf numFmtId="193" fontId="141" fillId="36" borderId="22" xfId="0" applyNumberFormat="1" applyFont="1" applyFill="1" applyBorder="1"/>
    <xf numFmtId="193" fontId="141" fillId="36" borderId="52" xfId="0" applyNumberFormat="1" applyFont="1" applyFill="1" applyBorder="1" applyAlignment="1"/>
    <xf numFmtId="193" fontId="141" fillId="36" borderId="53" xfId="0" applyNumberFormat="1" applyFont="1" applyFill="1" applyBorder="1"/>
    <xf numFmtId="193" fontId="141" fillId="36" borderId="21" xfId="0" applyNumberFormat="1" applyFont="1" applyFill="1" applyBorder="1"/>
    <xf numFmtId="193" fontId="141" fillId="36" borderId="23" xfId="0" applyNumberFormat="1" applyFont="1" applyFill="1" applyBorder="1"/>
    <xf numFmtId="9" fontId="147" fillId="0" borderId="19" xfId="20962" applyFont="1" applyBorder="1"/>
    <xf numFmtId="9" fontId="147" fillId="36" borderId="23" xfId="20962" applyFont="1" applyFill="1" applyBorder="1"/>
    <xf numFmtId="193" fontId="147"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6" fillId="0" borderId="97" xfId="20962" applyNumberFormat="1" applyFont="1" applyFill="1" applyBorder="1" applyAlignment="1" applyProtection="1">
      <alignment horizontal="right" vertical="center"/>
      <protection locked="0"/>
    </xf>
    <xf numFmtId="0" fontId="147" fillId="0" borderId="0" xfId="0" applyFont="1"/>
    <xf numFmtId="164" fontId="147" fillId="0" borderId="97" xfId="7" applyNumberFormat="1" applyFont="1" applyBorder="1"/>
    <xf numFmtId="164" fontId="147" fillId="0" borderId="81" xfId="7" applyNumberFormat="1" applyFont="1" applyBorder="1"/>
    <xf numFmtId="164" fontId="147" fillId="0" borderId="97" xfId="7" applyNumberFormat="1" applyFont="1" applyBorder="1" applyAlignment="1">
      <alignment vertical="center"/>
    </xf>
    <xf numFmtId="164" fontId="148" fillId="0" borderId="121" xfId="7" applyNumberFormat="1" applyFont="1" applyBorder="1"/>
    <xf numFmtId="164" fontId="117" fillId="0" borderId="121" xfId="7" applyNumberFormat="1" applyFont="1" applyBorder="1"/>
    <xf numFmtId="164" fontId="113" fillId="0" borderId="121" xfId="7" applyNumberFormat="1" applyFont="1" applyBorder="1"/>
    <xf numFmtId="164" fontId="113" fillId="0" borderId="121" xfId="7" applyNumberFormat="1" applyFont="1" applyFill="1" applyBorder="1"/>
    <xf numFmtId="164" fontId="116" fillId="0" borderId="121" xfId="7" applyNumberFormat="1" applyFont="1" applyBorder="1"/>
    <xf numFmtId="164" fontId="149" fillId="36" borderId="121" xfId="7" applyNumberFormat="1" applyFont="1" applyFill="1" applyBorder="1"/>
    <xf numFmtId="164" fontId="114" fillId="0" borderId="121" xfId="7" applyNumberFormat="1" applyFont="1" applyBorder="1"/>
    <xf numFmtId="164" fontId="150" fillId="0" borderId="121" xfId="7" applyNumberFormat="1" applyFont="1" applyBorder="1"/>
    <xf numFmtId="164" fontId="113" fillId="0" borderId="121" xfId="7" applyNumberFormat="1" applyFont="1" applyBorder="1" applyAlignment="1">
      <alignment horizontal="left" indent="1"/>
    </xf>
    <xf numFmtId="164" fontId="116" fillId="76" borderId="121" xfId="7" applyNumberFormat="1" applyFont="1" applyFill="1" applyBorder="1"/>
    <xf numFmtId="164" fontId="151" fillId="0" borderId="121" xfId="7" applyNumberFormat="1" applyFont="1" applyBorder="1"/>
    <xf numFmtId="164" fontId="149" fillId="0" borderId="121" xfId="7" applyNumberFormat="1" applyFont="1" applyBorder="1"/>
    <xf numFmtId="164" fontId="113" fillId="0" borderId="81" xfId="7" applyNumberFormat="1" applyFont="1" applyBorder="1"/>
    <xf numFmtId="164" fontId="113" fillId="0" borderId="18" xfId="7" applyNumberFormat="1" applyFont="1" applyBorder="1" applyAlignment="1">
      <alignment horizontal="left" indent="1"/>
    </xf>
    <xf numFmtId="164" fontId="113" fillId="0" borderId="18" xfId="7" applyNumberFormat="1" applyFont="1" applyBorder="1" applyAlignment="1">
      <alignment horizontal="left" indent="2"/>
    </xf>
    <xf numFmtId="164" fontId="113" fillId="0" borderId="18" xfId="7" applyNumberFormat="1" applyFont="1" applyFill="1" applyBorder="1" applyAlignment="1">
      <alignment horizontal="left" indent="3"/>
    </xf>
    <xf numFmtId="164" fontId="113" fillId="0" borderId="18" xfId="7" applyNumberFormat="1" applyFont="1" applyFill="1" applyBorder="1" applyAlignment="1">
      <alignment horizontal="left" indent="1"/>
    </xf>
    <xf numFmtId="164" fontId="113" fillId="79" borderId="18" xfId="7" applyNumberFormat="1" applyFont="1" applyFill="1" applyBorder="1"/>
    <xf numFmtId="164" fontId="113" fillId="79" borderId="121" xfId="7" applyNumberFormat="1" applyFont="1" applyFill="1" applyBorder="1"/>
    <xf numFmtId="164" fontId="113" fillId="79" borderId="81" xfId="7" applyNumberFormat="1" applyFont="1" applyFill="1" applyBorder="1"/>
    <xf numFmtId="164" fontId="113" fillId="0" borderId="18" xfId="7" applyNumberFormat="1" applyFont="1" applyFill="1" applyBorder="1" applyAlignment="1">
      <alignment horizontal="left" vertical="top" wrapText="1" indent="2"/>
    </xf>
    <xf numFmtId="164" fontId="113" fillId="0" borderId="81" xfId="7" applyNumberFormat="1" applyFont="1" applyFill="1" applyBorder="1"/>
    <xf numFmtId="164" fontId="113" fillId="0" borderId="18" xfId="7" applyNumberFormat="1" applyFont="1" applyFill="1" applyBorder="1" applyAlignment="1">
      <alignment horizontal="left" wrapText="1" indent="3"/>
    </xf>
    <xf numFmtId="164" fontId="113" fillId="0" borderId="18" xfId="7" applyNumberFormat="1" applyFont="1" applyFill="1" applyBorder="1" applyAlignment="1">
      <alignment horizontal="left" wrapText="1" indent="2"/>
    </xf>
    <xf numFmtId="164" fontId="149" fillId="0" borderId="18" xfId="7" applyNumberFormat="1" applyFont="1" applyBorder="1"/>
    <xf numFmtId="164" fontId="149" fillId="0" borderId="81" xfId="7" applyNumberFormat="1" applyFont="1" applyBorder="1"/>
    <xf numFmtId="164" fontId="113" fillId="0" borderId="121" xfId="7" applyNumberFormat="1" applyFont="1" applyFill="1" applyBorder="1" applyAlignment="1">
      <alignment horizontal="left" vertical="center" wrapText="1"/>
    </xf>
    <xf numFmtId="164" fontId="113" fillId="0" borderId="121" xfId="7" applyNumberFormat="1" applyFont="1" applyBorder="1" applyAlignment="1">
      <alignment horizontal="center" vertical="center" wrapText="1"/>
    </xf>
    <xf numFmtId="164" fontId="113" fillId="0" borderId="121" xfId="7" applyNumberFormat="1" applyFont="1" applyBorder="1" applyAlignment="1">
      <alignment horizontal="center" vertical="center"/>
    </xf>
    <xf numFmtId="164" fontId="116" fillId="0" borderId="121" xfId="7" applyNumberFormat="1" applyFont="1" applyFill="1" applyBorder="1" applyAlignment="1">
      <alignment horizontal="left" vertical="center" wrapText="1"/>
    </xf>
    <xf numFmtId="164" fontId="118" fillId="0" borderId="121" xfId="7" applyNumberFormat="1" applyFont="1" applyBorder="1"/>
    <xf numFmtId="164" fontId="118" fillId="0" borderId="125" xfId="7" applyNumberFormat="1" applyFont="1" applyBorder="1"/>
    <xf numFmtId="164" fontId="152" fillId="0" borderId="121" xfId="7" applyNumberFormat="1" applyFont="1" applyBorder="1"/>
    <xf numFmtId="10" fontId="118" fillId="0" borderId="121" xfId="20962" applyNumberFormat="1" applyFont="1" applyBorder="1"/>
    <xf numFmtId="10" fontId="118"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8" fillId="0" borderId="18" xfId="7" applyNumberFormat="1" applyFont="1" applyFill="1" applyBorder="1" applyAlignment="1" applyProtection="1">
      <alignment horizontal="right"/>
    </xf>
    <xf numFmtId="164" fontId="138"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7" fillId="0" borderId="18" xfId="7" applyNumberFormat="1" applyFont="1" applyBorder="1" applyAlignment="1">
      <alignment vertical="center"/>
    </xf>
    <xf numFmtId="164" fontId="137" fillId="0" borderId="121" xfId="7" applyNumberFormat="1" applyFont="1" applyBorder="1" applyAlignment="1">
      <alignment vertical="center"/>
    </xf>
    <xf numFmtId="38" fontId="137" fillId="0" borderId="121" xfId="7" applyNumberFormat="1" applyFont="1" applyBorder="1"/>
    <xf numFmtId="38" fontId="137" fillId="36" borderId="121" xfId="7" applyNumberFormat="1" applyFont="1" applyFill="1" applyBorder="1"/>
    <xf numFmtId="38" fontId="0" fillId="0" borderId="121" xfId="7" applyNumberFormat="1" applyFont="1" applyBorder="1"/>
    <xf numFmtId="0" fontId="94" fillId="0" borderId="66" xfId="0" applyFont="1" applyBorder="1" applyAlignment="1">
      <alignment horizontal="left" wrapText="1"/>
    </xf>
    <xf numFmtId="0" fontId="94" fillId="0" borderId="65" xfId="0" applyFont="1" applyBorder="1" applyAlignment="1">
      <alignment horizontal="left" wrapText="1"/>
    </xf>
    <xf numFmtId="0" fontId="94" fillId="0" borderId="129" xfId="0" applyFont="1" applyBorder="1" applyAlignment="1">
      <alignment horizontal="center" vertical="center"/>
    </xf>
    <xf numFmtId="0" fontId="94" fillId="0" borderId="30" xfId="0" applyFont="1" applyBorder="1" applyAlignment="1">
      <alignment horizontal="center" vertical="center"/>
    </xf>
    <xf numFmtId="0" fontId="94" fillId="0" borderId="130" xfId="0" applyFont="1" applyBorder="1" applyAlignment="1">
      <alignment horizontal="center" vertical="center"/>
    </xf>
    <xf numFmtId="0" fontId="135" fillId="0" borderId="129" xfId="0" applyFont="1" applyBorder="1" applyAlignment="1">
      <alignment horizontal="center"/>
    </xf>
    <xf numFmtId="0" fontId="135" fillId="0" borderId="30" xfId="0" applyFont="1" applyBorder="1" applyAlignment="1">
      <alignment horizontal="center"/>
    </xf>
    <xf numFmtId="0" fontId="135" fillId="0" borderId="130" xfId="0" applyFont="1" applyBorder="1" applyAlignment="1">
      <alignment horizont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2" fillId="0" borderId="59" xfId="0" applyFont="1" applyBorder="1" applyAlignment="1">
      <alignment horizontal="center" vertical="center"/>
    </xf>
    <xf numFmtId="0" fontId="122" fillId="0" borderId="85" xfId="0" applyFont="1" applyBorder="1" applyAlignment="1">
      <alignment horizontal="center" vertical="center"/>
    </xf>
    <xf numFmtId="0" fontId="123" fillId="0" borderId="15" xfId="0" applyFont="1" applyFill="1" applyBorder="1" applyAlignment="1" applyProtection="1">
      <alignment horizontal="center" vertical="center"/>
    </xf>
    <xf numFmtId="0" fontId="123" fillId="0" borderId="16" xfId="0" applyFont="1" applyFill="1" applyBorder="1" applyAlignment="1" applyProtection="1">
      <alignment horizontal="center" vertical="center"/>
    </xf>
    <xf numFmtId="0" fontId="123"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2" fillId="0" borderId="125" xfId="0" applyFont="1" applyBorder="1" applyAlignment="1">
      <alignment horizontal="center" vertical="center" wrapText="1"/>
    </xf>
    <xf numFmtId="0" fontId="122" fillId="0" borderId="7" xfId="0" applyFont="1" applyBorder="1" applyAlignment="1">
      <alignment horizontal="center" vertical="center" wrapText="1"/>
    </xf>
    <xf numFmtId="0" fontId="137" fillId="0" borderId="15" xfId="0" applyFont="1" applyBorder="1" applyAlignment="1">
      <alignment horizontal="center" vertical="center"/>
    </xf>
    <xf numFmtId="0" fontId="137" fillId="0" borderId="18" xfId="0" applyFont="1" applyBorder="1" applyAlignment="1">
      <alignment horizontal="center" vertical="center"/>
    </xf>
    <xf numFmtId="0" fontId="137" fillId="0" borderId="26" xfId="0" applyFont="1" applyBorder="1" applyAlignment="1">
      <alignment horizontal="center" vertical="center" wrapText="1"/>
    </xf>
    <xf numFmtId="0" fontId="137"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1" xfId="13" applyFont="1" applyFill="1" applyBorder="1" applyAlignment="1" applyProtection="1">
      <alignment horizontal="center" vertical="center" wrapText="1"/>
      <protection locked="0"/>
    </xf>
    <xf numFmtId="0" fontId="99"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4" xfId="0" applyFont="1" applyFill="1" applyBorder="1" applyAlignment="1">
      <alignment horizontal="left" vertical="center"/>
    </xf>
    <xf numFmtId="0" fontId="100"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6" fillId="0" borderId="102" xfId="0" applyNumberFormat="1" applyFont="1" applyFill="1" applyBorder="1" applyAlignment="1">
      <alignment horizontal="left" vertical="center" wrapText="1"/>
    </xf>
    <xf numFmtId="0" fontId="116" fillId="0" borderId="103" xfId="0" applyNumberFormat="1" applyFont="1" applyFill="1" applyBorder="1" applyAlignment="1">
      <alignment horizontal="left" vertical="center" wrapText="1"/>
    </xf>
    <xf numFmtId="0" fontId="116" fillId="0" borderId="107" xfId="0" applyNumberFormat="1" applyFont="1" applyFill="1" applyBorder="1" applyAlignment="1">
      <alignment horizontal="left" vertical="center" wrapText="1"/>
    </xf>
    <xf numFmtId="0" fontId="116" fillId="0" borderId="108" xfId="0" applyNumberFormat="1" applyFont="1" applyFill="1" applyBorder="1" applyAlignment="1">
      <alignment horizontal="left" vertical="center" wrapText="1"/>
    </xf>
    <xf numFmtId="0" fontId="116" fillId="0" borderId="110" xfId="0" applyNumberFormat="1" applyFont="1" applyFill="1" applyBorder="1" applyAlignment="1">
      <alignment horizontal="left" vertical="center" wrapText="1"/>
    </xf>
    <xf numFmtId="0" fontId="116" fillId="0" borderId="111" xfId="0" applyNumberFormat="1" applyFont="1" applyFill="1" applyBorder="1" applyAlignment="1">
      <alignment horizontal="left" vertical="center" wrapText="1"/>
    </xf>
    <xf numFmtId="0" fontId="117" fillId="0" borderId="104" xfId="0" applyFont="1" applyFill="1" applyBorder="1" applyAlignment="1">
      <alignment horizontal="center" vertical="center" wrapText="1"/>
    </xf>
    <xf numFmtId="0" fontId="117" fillId="0" borderId="105" xfId="0" applyFont="1" applyFill="1" applyBorder="1" applyAlignment="1">
      <alignment horizontal="center" vertical="center" wrapText="1"/>
    </xf>
    <xf numFmtId="0" fontId="117" fillId="0" borderId="106" xfId="0" applyFont="1" applyFill="1" applyBorder="1" applyAlignment="1">
      <alignment horizontal="center" vertical="center" wrapText="1"/>
    </xf>
    <xf numFmtId="0" fontId="117" fillId="0" borderId="85" xfId="0" applyFont="1" applyFill="1" applyBorder="1" applyAlignment="1">
      <alignment horizontal="center" vertical="center" wrapText="1"/>
    </xf>
    <xf numFmtId="0" fontId="117" fillId="0" borderId="109" xfId="0" applyFont="1" applyFill="1" applyBorder="1" applyAlignment="1">
      <alignment horizontal="center" vertical="center" wrapText="1"/>
    </xf>
    <xf numFmtId="0" fontId="117" fillId="0" borderId="75" xfId="0" applyFont="1" applyFill="1" applyBorder="1" applyAlignment="1">
      <alignment horizontal="center" vertical="center" wrapText="1"/>
    </xf>
    <xf numFmtId="0" fontId="113" fillId="0" borderId="12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1" xfId="0" applyFont="1" applyBorder="1" applyAlignment="1">
      <alignment horizontal="center" vertical="center" wrapText="1"/>
    </xf>
    <xf numFmtId="0" fontId="121" fillId="0" borderId="121" xfId="0" applyFont="1" applyFill="1" applyBorder="1" applyAlignment="1">
      <alignment horizontal="center" vertical="center"/>
    </xf>
    <xf numFmtId="0" fontId="121" fillId="0" borderId="104" xfId="0" applyFont="1" applyFill="1" applyBorder="1" applyAlignment="1">
      <alignment horizontal="center" vertical="center"/>
    </xf>
    <xf numFmtId="0" fontId="121" fillId="0" borderId="106" xfId="0" applyFont="1" applyFill="1" applyBorder="1" applyAlignment="1">
      <alignment horizontal="center" vertical="center"/>
    </xf>
    <xf numFmtId="0" fontId="121" fillId="0" borderId="85" xfId="0" applyFont="1" applyFill="1" applyBorder="1" applyAlignment="1">
      <alignment horizontal="center" vertical="center"/>
    </xf>
    <xf numFmtId="0" fontId="121" fillId="0" borderId="75" xfId="0" applyFont="1" applyFill="1" applyBorder="1" applyAlignment="1">
      <alignment horizontal="center" vertical="center"/>
    </xf>
    <xf numFmtId="0" fontId="117" fillId="0" borderId="121" xfId="0" applyFont="1" applyFill="1" applyBorder="1" applyAlignment="1">
      <alignment horizontal="center" vertical="center" wrapText="1"/>
    </xf>
    <xf numFmtId="0" fontId="113" fillId="0" borderId="124" xfId="0" applyFont="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70" xfId="0" applyFont="1" applyFill="1" applyBorder="1" applyAlignment="1">
      <alignment horizontal="center" vertical="center" wrapText="1"/>
    </xf>
    <xf numFmtId="0" fontId="116" fillId="0" borderId="68"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75" xfId="0" applyFont="1" applyBorder="1" applyAlignment="1">
      <alignment horizontal="center" vertical="center" wrapText="1"/>
    </xf>
    <xf numFmtId="0" fontId="116" fillId="0" borderId="54" xfId="0" applyNumberFormat="1" applyFont="1" applyFill="1" applyBorder="1" applyAlignment="1">
      <alignment horizontal="left" vertical="top" wrapText="1"/>
    </xf>
    <xf numFmtId="0" fontId="116" fillId="0" borderId="77" xfId="0" applyNumberFormat="1" applyFont="1" applyFill="1" applyBorder="1" applyAlignment="1">
      <alignment horizontal="left" vertical="top" wrapText="1"/>
    </xf>
    <xf numFmtId="0" fontId="116" fillId="0" borderId="63" xfId="0" applyNumberFormat="1" applyFont="1" applyFill="1" applyBorder="1" applyAlignment="1">
      <alignment horizontal="left" vertical="top" wrapText="1"/>
    </xf>
    <xf numFmtId="0" fontId="116" fillId="0" borderId="94" xfId="0" applyNumberFormat="1" applyFont="1" applyFill="1" applyBorder="1" applyAlignment="1">
      <alignment horizontal="left" vertical="top" wrapText="1"/>
    </xf>
    <xf numFmtId="0" fontId="116" fillId="0" borderId="101" xfId="0" applyNumberFormat="1" applyFont="1" applyFill="1" applyBorder="1" applyAlignment="1">
      <alignment horizontal="left" vertical="top" wrapText="1"/>
    </xf>
    <xf numFmtId="0" fontId="116" fillId="0" borderId="128" xfId="0" applyNumberFormat="1" applyFont="1" applyFill="1" applyBorder="1" applyAlignment="1">
      <alignment horizontal="left" vertical="top" wrapText="1"/>
    </xf>
    <xf numFmtId="0" fontId="116" fillId="0" borderId="86"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64" xfId="0" applyFont="1" applyBorder="1" applyAlignment="1">
      <alignment horizontal="center" vertical="center" wrapText="1"/>
    </xf>
    <xf numFmtId="0" fontId="113" fillId="0" borderId="69" xfId="0" applyFont="1" applyFill="1" applyBorder="1" applyAlignment="1">
      <alignment horizontal="center" vertical="center" wrapText="1"/>
    </xf>
    <xf numFmtId="0" fontId="113" fillId="0" borderId="27" xfId="0" applyFont="1" applyFill="1" applyBorder="1" applyAlignment="1">
      <alignment horizontal="center" vertical="center" wrapText="1"/>
    </xf>
    <xf numFmtId="0" fontId="113" fillId="0" borderId="28" xfId="0" applyFont="1" applyFill="1" applyBorder="1" applyAlignment="1">
      <alignment horizontal="center" vertical="center" wrapText="1"/>
    </xf>
    <xf numFmtId="0" fontId="113" fillId="0" borderId="104" xfId="0" applyFont="1" applyBorder="1" applyAlignment="1">
      <alignment horizontal="center" vertical="top" wrapText="1"/>
    </xf>
    <xf numFmtId="0" fontId="113" fillId="0" borderId="105" xfId="0" applyFont="1" applyBorder="1" applyAlignment="1">
      <alignment horizontal="center" vertical="top" wrapText="1"/>
    </xf>
    <xf numFmtId="0" fontId="113" fillId="0" borderId="104"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124" xfId="0" applyFont="1" applyFill="1" applyBorder="1" applyAlignment="1">
      <alignment horizontal="center" vertical="top" wrapText="1"/>
    </xf>
    <xf numFmtId="0" fontId="133" fillId="0" borderId="113" xfId="0" applyNumberFormat="1" applyFont="1" applyFill="1" applyBorder="1" applyAlignment="1">
      <alignment horizontal="left" vertical="top" wrapText="1"/>
    </xf>
    <xf numFmtId="0" fontId="133" fillId="0" borderId="114" xfId="0" applyNumberFormat="1" applyFont="1" applyFill="1" applyBorder="1" applyAlignment="1">
      <alignment horizontal="left" vertical="top" wrapText="1"/>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5" xfId="0" applyFont="1" applyBorder="1" applyAlignment="1">
      <alignment horizontal="center" vertical="center"/>
    </xf>
    <xf numFmtId="0" fontId="119" fillId="0" borderId="75" xfId="0" applyFont="1" applyBorder="1" applyAlignment="1">
      <alignment horizontal="center" vertical="center"/>
    </xf>
    <xf numFmtId="0" fontId="118" fillId="0" borderId="121" xfId="0" applyFont="1" applyBorder="1" applyAlignment="1">
      <alignment horizontal="center" vertical="center" wrapText="1"/>
    </xf>
    <xf numFmtId="0" fontId="118"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8"/>
      <c r="B1" s="143" t="s">
        <v>222</v>
      </c>
      <c r="C1" s="108"/>
    </row>
    <row r="2" spans="1:3">
      <c r="A2" s="144">
        <v>1</v>
      </c>
      <c r="B2" s="254" t="s">
        <v>223</v>
      </c>
      <c r="C2" s="675" t="s">
        <v>709</v>
      </c>
    </row>
    <row r="3" spans="1:3">
      <c r="A3" s="144">
        <v>2</v>
      </c>
      <c r="B3" s="255" t="s">
        <v>219</v>
      </c>
      <c r="C3" s="675" t="s">
        <v>710</v>
      </c>
    </row>
    <row r="4" spans="1:3">
      <c r="A4" s="144">
        <v>3</v>
      </c>
      <c r="B4" s="256" t="s">
        <v>224</v>
      </c>
      <c r="C4" s="675" t="s">
        <v>711</v>
      </c>
    </row>
    <row r="5" spans="1:3">
      <c r="A5" s="145">
        <v>4</v>
      </c>
      <c r="B5" s="257" t="s">
        <v>220</v>
      </c>
      <c r="C5" s="676" t="s">
        <v>712</v>
      </c>
    </row>
    <row r="6" spans="1:3" s="146" customFormat="1" ht="45.75" customHeight="1">
      <c r="A6" s="815" t="s">
        <v>296</v>
      </c>
      <c r="B6" s="816"/>
      <c r="C6" s="816"/>
    </row>
    <row r="7" spans="1:3">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369</v>
      </c>
    </row>
    <row r="26" spans="1:2">
      <c r="A26" s="307">
        <v>17</v>
      </c>
      <c r="B26" s="309" t="s">
        <v>410</v>
      </c>
    </row>
    <row r="27" spans="1:2">
      <c r="A27" s="307">
        <v>18</v>
      </c>
      <c r="B27" s="309" t="s">
        <v>699</v>
      </c>
    </row>
    <row r="28" spans="1:2">
      <c r="A28" s="307">
        <v>19</v>
      </c>
      <c r="B28" s="309" t="s">
        <v>700</v>
      </c>
    </row>
    <row r="29" spans="1:2">
      <c r="A29" s="307">
        <v>20</v>
      </c>
      <c r="B29" s="369" t="s">
        <v>701</v>
      </c>
    </row>
    <row r="30" spans="1:2">
      <c r="A30" s="307">
        <v>21</v>
      </c>
      <c r="B30" s="309" t="s">
        <v>526</v>
      </c>
    </row>
    <row r="31" spans="1:2">
      <c r="A31" s="307">
        <v>22</v>
      </c>
      <c r="B31" s="309" t="s">
        <v>702</v>
      </c>
    </row>
    <row r="32" spans="1:2">
      <c r="A32" s="307">
        <v>23</v>
      </c>
      <c r="B32" s="309" t="s">
        <v>703</v>
      </c>
    </row>
    <row r="33" spans="1:2">
      <c r="A33" s="307">
        <v>24</v>
      </c>
      <c r="B33" s="309" t="s">
        <v>704</v>
      </c>
    </row>
    <row r="34" spans="1:2">
      <c r="A34" s="307">
        <v>25</v>
      </c>
      <c r="B34" s="309" t="s">
        <v>411</v>
      </c>
    </row>
    <row r="35" spans="1:2">
      <c r="A35" s="307">
        <v>26</v>
      </c>
      <c r="B35" s="309" t="s">
        <v>548</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09375" defaultRowHeight="13.2"/>
  <cols>
    <col min="1" max="1" width="9.5546875" style="50" bestFit="1" customWidth="1"/>
    <col min="2" max="2" width="132.44140625" style="4" customWidth="1"/>
    <col min="3" max="3" width="18.44140625" style="4" customWidth="1"/>
    <col min="4" max="16384" width="9.109375" style="4"/>
  </cols>
  <sheetData>
    <row r="1" spans="1:3">
      <c r="A1" s="2" t="s">
        <v>30</v>
      </c>
      <c r="B1" s="546" t="str">
        <f>'1. key ratios '!B1</f>
        <v>JSC Isbank Georgia</v>
      </c>
    </row>
    <row r="2" spans="1:3" s="40" customFormat="1" ht="15.75" customHeight="1">
      <c r="A2" s="40" t="s">
        <v>31</v>
      </c>
      <c r="B2" s="547">
        <f>'1. key ratios '!B2</f>
        <v>45199</v>
      </c>
    </row>
    <row r="3" spans="1:3" s="40" customFormat="1" ht="15.75" customHeight="1"/>
    <row r="4" spans="1:3" ht="13.8" thickBot="1">
      <c r="A4" s="50" t="s">
        <v>143</v>
      </c>
      <c r="B4" s="93" t="s">
        <v>142</v>
      </c>
    </row>
    <row r="5" spans="1:3">
      <c r="A5" s="51" t="s">
        <v>6</v>
      </c>
      <c r="B5" s="52"/>
      <c r="C5" s="53" t="s">
        <v>35</v>
      </c>
    </row>
    <row r="6" spans="1:3">
      <c r="A6" s="54">
        <v>1</v>
      </c>
      <c r="B6" s="55" t="s">
        <v>141</v>
      </c>
      <c r="C6" s="677">
        <f>SUM(C7:C11)</f>
        <v>130966063.00861134</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61804463.008611336</v>
      </c>
    </row>
    <row r="12" spans="1:3" s="26" customFormat="1">
      <c r="A12" s="54">
        <v>7</v>
      </c>
      <c r="B12" s="55" t="s">
        <v>135</v>
      </c>
      <c r="C12" s="60">
        <f>SUM(C13:C28)</f>
        <v>177648.31928219183</v>
      </c>
    </row>
    <row r="13" spans="1:3" s="26" customFormat="1">
      <c r="A13" s="54">
        <v>8</v>
      </c>
      <c r="B13" s="61" t="s">
        <v>134</v>
      </c>
      <c r="C13" s="62"/>
    </row>
    <row r="14" spans="1:3" s="26" customFormat="1" ht="26.4">
      <c r="A14" s="54">
        <v>9</v>
      </c>
      <c r="B14" s="63" t="s">
        <v>133</v>
      </c>
      <c r="C14" s="62"/>
    </row>
    <row r="15" spans="1:3" s="26" customFormat="1">
      <c r="A15" s="54">
        <v>10</v>
      </c>
      <c r="B15" s="64" t="s">
        <v>132</v>
      </c>
      <c r="C15" s="62">
        <f>'2. SOFP'!E27</f>
        <v>177648.31928219183</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6.4">
      <c r="A21" s="54">
        <v>16</v>
      </c>
      <c r="B21" s="63" t="s">
        <v>126</v>
      </c>
      <c r="C21" s="62"/>
    </row>
    <row r="22" spans="1:3" s="26" customFormat="1">
      <c r="A22" s="54">
        <v>17</v>
      </c>
      <c r="B22" s="66" t="s">
        <v>125</v>
      </c>
      <c r="C22" s="62"/>
    </row>
    <row r="23" spans="1:3" s="26" customFormat="1">
      <c r="A23" s="54">
        <v>18</v>
      </c>
      <c r="B23" s="545" t="s">
        <v>549</v>
      </c>
      <c r="C23" s="371"/>
    </row>
    <row r="24" spans="1:3" s="26" customFormat="1">
      <c r="A24" s="54">
        <v>19</v>
      </c>
      <c r="B24" s="63" t="s">
        <v>124</v>
      </c>
      <c r="C24" s="62"/>
    </row>
    <row r="25" spans="1:3" s="26" customFormat="1" ht="26.4">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78">
        <f>C6-C12</f>
        <v>130788414.68932915</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c r="A39" s="69">
        <v>33</v>
      </c>
      <c r="B39" s="63" t="s">
        <v>112</v>
      </c>
      <c r="C39" s="62"/>
    </row>
    <row r="40" spans="1:3" s="26" customFormat="1" ht="26.4">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6.4">
      <c r="A52" s="69">
        <v>45</v>
      </c>
      <c r="B52" s="63" t="s">
        <v>101</v>
      </c>
      <c r="C52" s="62"/>
    </row>
    <row r="53" spans="1:3" s="26" customFormat="1" ht="13.8"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109375" defaultRowHeight="13.8"/>
  <cols>
    <col min="1" max="1" width="9.44140625" style="192" bestFit="1" customWidth="1"/>
    <col min="2" max="2" width="59" style="192" customWidth="1"/>
    <col min="3" max="3" width="16.6640625" style="192" bestFit="1" customWidth="1"/>
    <col min="4" max="4" width="13.33203125" style="192" bestFit="1" customWidth="1"/>
    <col min="5" max="16384" width="9.109375" style="192"/>
  </cols>
  <sheetData>
    <row r="1" spans="1:4">
      <c r="A1" s="238" t="s">
        <v>30</v>
      </c>
      <c r="B1" s="546" t="str">
        <f>'1. key ratios '!B1</f>
        <v>JSC Isbank Georgia</v>
      </c>
    </row>
    <row r="2" spans="1:4" s="166" customFormat="1" ht="15.75" customHeight="1">
      <c r="A2" s="166" t="s">
        <v>31</v>
      </c>
      <c r="B2" s="547">
        <f>'1. key ratios '!B2</f>
        <v>45199</v>
      </c>
    </row>
    <row r="3" spans="1:4" s="166" customFormat="1" ht="15.75" customHeight="1"/>
    <row r="4" spans="1:4" ht="14.4"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79">
        <f>C7*'5. RWA '!$C$13</f>
        <v>21397905.549584541</v>
      </c>
    </row>
    <row r="8" spans="1:4" s="248" customFormat="1">
      <c r="A8" s="243" t="s">
        <v>273</v>
      </c>
      <c r="B8" s="299" t="s">
        <v>288</v>
      </c>
      <c r="C8" s="292">
        <v>0.06</v>
      </c>
      <c r="D8" s="679">
        <f>C8*'5. RWA '!$C$13</f>
        <v>28530540.732779391</v>
      </c>
    </row>
    <row r="9" spans="1:4" s="248" customFormat="1">
      <c r="A9" s="243" t="s">
        <v>274</v>
      </c>
      <c r="B9" s="299" t="s">
        <v>289</v>
      </c>
      <c r="C9" s="292">
        <v>0.08</v>
      </c>
      <c r="D9" s="679">
        <f>C9*'5. RWA '!$C$13</f>
        <v>38040720.977039188</v>
      </c>
    </row>
    <row r="10" spans="1:4" s="248" customFormat="1">
      <c r="A10" s="241" t="s">
        <v>275</v>
      </c>
      <c r="B10" s="298" t="s">
        <v>290</v>
      </c>
      <c r="C10" s="293"/>
      <c r="D10" s="680"/>
    </row>
    <row r="11" spans="1:4" s="249" customFormat="1">
      <c r="A11" s="244" t="s">
        <v>276</v>
      </c>
      <c r="B11" s="290" t="s">
        <v>734</v>
      </c>
      <c r="C11" s="294">
        <v>2.5000000000000001E-2</v>
      </c>
      <c r="D11" s="679">
        <f>C11*'5. RWA '!$C$13</f>
        <v>11887725.305324748</v>
      </c>
    </row>
    <row r="12" spans="1:4" s="249" customFormat="1">
      <c r="A12" s="244" t="s">
        <v>277</v>
      </c>
      <c r="B12" s="290" t="s">
        <v>291</v>
      </c>
      <c r="C12" s="294">
        <v>0</v>
      </c>
      <c r="D12" s="679">
        <f>C12*'5. RWA '!$C$13</f>
        <v>0</v>
      </c>
    </row>
    <row r="13" spans="1:4" s="249" customFormat="1">
      <c r="A13" s="244" t="s">
        <v>278</v>
      </c>
      <c r="B13" s="290" t="s">
        <v>292</v>
      </c>
      <c r="C13" s="294"/>
      <c r="D13" s="679">
        <f>C13*'5. RWA '!$C$13</f>
        <v>0</v>
      </c>
    </row>
    <row r="14" spans="1:4" s="249" customFormat="1">
      <c r="A14" s="241" t="s">
        <v>279</v>
      </c>
      <c r="B14" s="298" t="s">
        <v>353</v>
      </c>
      <c r="C14" s="295"/>
      <c r="D14" s="680"/>
    </row>
    <row r="15" spans="1:4" s="249" customFormat="1">
      <c r="A15" s="244">
        <v>3.1</v>
      </c>
      <c r="B15" s="290" t="s">
        <v>297</v>
      </c>
      <c r="C15" s="294">
        <v>5.6650252057858314E-2</v>
      </c>
      <c r="D15" s="679">
        <f>C15*'5. RWA '!$C$13</f>
        <v>26937705.397649102</v>
      </c>
    </row>
    <row r="16" spans="1:4" s="249" customFormat="1">
      <c r="A16" s="244">
        <v>3.2</v>
      </c>
      <c r="B16" s="290" t="s">
        <v>298</v>
      </c>
      <c r="C16" s="294">
        <v>7.2779509011262428E-2</v>
      </c>
      <c r="D16" s="679">
        <f>C16*'5. RWA '!$C$13</f>
        <v>34607312.43929179</v>
      </c>
    </row>
    <row r="17" spans="1:6" s="248" customFormat="1">
      <c r="A17" s="244">
        <v>3.3</v>
      </c>
      <c r="B17" s="290" t="s">
        <v>299</v>
      </c>
      <c r="C17" s="294">
        <v>9.4002215528899452E-2</v>
      </c>
      <c r="D17" s="679">
        <f>C17*'5. RWA '!$C$13</f>
        <v>44698900.651979558</v>
      </c>
    </row>
    <row r="18" spans="1:6" s="247" customFormat="1" ht="12.75" customHeight="1">
      <c r="A18" s="300"/>
      <c r="B18" s="301" t="s">
        <v>352</v>
      </c>
      <c r="C18" s="296" t="s">
        <v>283</v>
      </c>
      <c r="D18" s="681" t="s">
        <v>284</v>
      </c>
    </row>
    <row r="19" spans="1:6" s="248" customFormat="1">
      <c r="A19" s="245">
        <v>4</v>
      </c>
      <c r="B19" s="290" t="s">
        <v>293</v>
      </c>
      <c r="C19" s="294">
        <f>C7+C11+C12+C13+C15</f>
        <v>0.12665025205785832</v>
      </c>
      <c r="D19" s="679">
        <f>C19*'5. RWA '!$C$13</f>
        <v>60223336.252558395</v>
      </c>
    </row>
    <row r="20" spans="1:6" s="248" customFormat="1">
      <c r="A20" s="245">
        <v>5</v>
      </c>
      <c r="B20" s="290" t="s">
        <v>90</v>
      </c>
      <c r="C20" s="294">
        <f>C8+C11+C12+C13+C16</f>
        <v>0.15777950901126242</v>
      </c>
      <c r="D20" s="679">
        <f>C20*'5. RWA '!$C$13</f>
        <v>75025578.477395922</v>
      </c>
    </row>
    <row r="21" spans="1:6" s="248" customFormat="1" ht="14.4" thickBot="1">
      <c r="A21" s="250" t="s">
        <v>280</v>
      </c>
      <c r="B21" s="251" t="s">
        <v>294</v>
      </c>
      <c r="C21" s="297">
        <f>C9+C11+C12+C13+C17</f>
        <v>0.19900221552889946</v>
      </c>
      <c r="D21" s="682">
        <f>C21*'5. RWA '!$C$13</f>
        <v>94627346.934343502</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683" t="s">
        <v>30</v>
      </c>
      <c r="B1" s="546" t="str">
        <f>'1. key ratios '!B1</f>
        <v>JSC Isbank Georgia</v>
      </c>
      <c r="E1" s="4"/>
      <c r="F1" s="4"/>
    </row>
    <row r="2" spans="1:6" s="40" customFormat="1" ht="15.75" customHeight="1">
      <c r="A2" s="683" t="s">
        <v>31</v>
      </c>
      <c r="B2" s="547">
        <f>'1. key ratios '!B2</f>
        <v>45199</v>
      </c>
    </row>
    <row r="3" spans="1:6" s="40" customFormat="1" ht="15.75" customHeight="1">
      <c r="A3" s="76"/>
    </row>
    <row r="4" spans="1:6" s="40" customFormat="1" ht="15.75" customHeight="1" thickBot="1">
      <c r="A4" s="40" t="s">
        <v>47</v>
      </c>
      <c r="B4" s="161" t="s">
        <v>178</v>
      </c>
      <c r="D4" s="18" t="s">
        <v>35</v>
      </c>
    </row>
    <row r="5" spans="1:6" ht="26.4">
      <c r="A5" s="77" t="s">
        <v>6</v>
      </c>
      <c r="B5" s="182" t="s">
        <v>218</v>
      </c>
      <c r="C5" s="78" t="s">
        <v>656</v>
      </c>
      <c r="D5" s="79" t="s">
        <v>49</v>
      </c>
    </row>
    <row r="6" spans="1:6" ht="14.4">
      <c r="A6" s="579">
        <v>1</v>
      </c>
      <c r="B6" s="580" t="s">
        <v>557</v>
      </c>
      <c r="C6" s="685">
        <f>SUM(C7:C9)</f>
        <v>126375595.30674212</v>
      </c>
      <c r="D6" s="80"/>
      <c r="E6" s="81"/>
    </row>
    <row r="7" spans="1:6" ht="14.4">
      <c r="A7" s="579">
        <v>1.1000000000000001</v>
      </c>
      <c r="B7" s="383" t="s">
        <v>558</v>
      </c>
      <c r="C7" s="420">
        <f>'7. LI1 '!C9</f>
        <v>2270470.7790999999</v>
      </c>
      <c r="D7" s="82"/>
      <c r="E7" s="81"/>
    </row>
    <row r="8" spans="1:6" ht="14.4">
      <c r="A8" s="579">
        <v>1.2</v>
      </c>
      <c r="B8" s="383" t="s">
        <v>559</v>
      </c>
      <c r="C8" s="420">
        <f>'7. LI1 '!C10</f>
        <v>79401790.668326303</v>
      </c>
      <c r="D8" s="82"/>
      <c r="E8" s="81"/>
    </row>
    <row r="9" spans="1:6" ht="14.4">
      <c r="A9" s="579">
        <v>1.3</v>
      </c>
      <c r="B9" s="383" t="s">
        <v>560</v>
      </c>
      <c r="C9" s="420">
        <f>'7. LI1 '!C11</f>
        <v>44703333.859315813</v>
      </c>
      <c r="D9" s="416"/>
      <c r="E9" s="81"/>
    </row>
    <row r="10" spans="1:6" ht="14.4">
      <c r="A10" s="579">
        <v>2</v>
      </c>
      <c r="B10" s="372" t="s">
        <v>561</v>
      </c>
      <c r="C10" s="686">
        <f>'7. LI1 '!C12</f>
        <v>0</v>
      </c>
      <c r="D10" s="416"/>
      <c r="E10" s="81"/>
    </row>
    <row r="11" spans="1:6" ht="14.4">
      <c r="A11" s="579">
        <v>2.1</v>
      </c>
      <c r="B11" s="381" t="s">
        <v>562</v>
      </c>
      <c r="C11" s="420">
        <f>'7. LI1 '!C13</f>
        <v>0</v>
      </c>
      <c r="D11" s="417"/>
      <c r="E11" s="83"/>
    </row>
    <row r="12" spans="1:6" ht="14.4">
      <c r="A12" s="579">
        <v>3</v>
      </c>
      <c r="B12" s="373" t="s">
        <v>563</v>
      </c>
      <c r="C12" s="686">
        <f>'7. LI1 '!C14</f>
        <v>0</v>
      </c>
      <c r="D12" s="417"/>
      <c r="E12" s="83"/>
    </row>
    <row r="13" spans="1:6" ht="14.4">
      <c r="A13" s="579">
        <v>4</v>
      </c>
      <c r="B13" s="374" t="s">
        <v>564</v>
      </c>
      <c r="C13" s="686">
        <f>'7. LI1 '!C15</f>
        <v>0</v>
      </c>
      <c r="D13" s="417"/>
      <c r="E13" s="83"/>
    </row>
    <row r="14" spans="1:6" ht="14.4">
      <c r="A14" s="579">
        <v>5</v>
      </c>
      <c r="B14" s="375" t="s">
        <v>565</v>
      </c>
      <c r="C14" s="687">
        <f>SUM(C15:C17)</f>
        <v>0</v>
      </c>
      <c r="D14" s="417"/>
      <c r="E14" s="83"/>
    </row>
    <row r="15" spans="1:6" ht="14.4">
      <c r="A15" s="579">
        <v>5.0999999999999996</v>
      </c>
      <c r="B15" s="376" t="s">
        <v>566</v>
      </c>
      <c r="C15" s="420">
        <f>'7. LI1 '!C17</f>
        <v>0</v>
      </c>
      <c r="D15" s="417"/>
      <c r="E15" s="81"/>
    </row>
    <row r="16" spans="1:6" ht="14.4">
      <c r="A16" s="579">
        <v>5.2</v>
      </c>
      <c r="B16" s="376" t="s">
        <v>567</v>
      </c>
      <c r="C16" s="420">
        <f>'7. LI1 '!C18</f>
        <v>0</v>
      </c>
      <c r="D16" s="416"/>
      <c r="E16" s="81"/>
    </row>
    <row r="17" spans="1:5" ht="14.4">
      <c r="A17" s="579">
        <v>5.3</v>
      </c>
      <c r="B17" s="377" t="s">
        <v>568</v>
      </c>
      <c r="C17" s="420">
        <f>'7. LI1 '!C19</f>
        <v>0</v>
      </c>
      <c r="D17" s="416"/>
      <c r="E17" s="81"/>
    </row>
    <row r="18" spans="1:5" ht="14.4">
      <c r="A18" s="579">
        <v>6</v>
      </c>
      <c r="B18" s="373" t="s">
        <v>569</v>
      </c>
      <c r="C18" s="688">
        <f>SUM(C19:C20)</f>
        <v>303213116.3300615</v>
      </c>
      <c r="D18" s="416"/>
      <c r="E18" s="81"/>
    </row>
    <row r="19" spans="1:5" ht="14.4">
      <c r="A19" s="579">
        <v>6.1</v>
      </c>
      <c r="B19" s="376" t="s">
        <v>567</v>
      </c>
      <c r="C19" s="420">
        <f>'7. LI1 '!C21</f>
        <v>65752574.387231566</v>
      </c>
      <c r="D19" s="416"/>
      <c r="E19" s="81"/>
    </row>
    <row r="20" spans="1:5" ht="14.4">
      <c r="A20" s="579">
        <v>6.2</v>
      </c>
      <c r="B20" s="377" t="s">
        <v>568</v>
      </c>
      <c r="C20" s="420">
        <f>'7. LI1 '!C22</f>
        <v>237460541.94282991</v>
      </c>
      <c r="D20" s="416"/>
      <c r="E20" s="81"/>
    </row>
    <row r="21" spans="1:5" ht="14.4">
      <c r="A21" s="579">
        <v>7</v>
      </c>
      <c r="B21" s="372" t="s">
        <v>570</v>
      </c>
      <c r="C21" s="686">
        <f>'7. LI1 '!C23</f>
        <v>0</v>
      </c>
      <c r="D21" s="416"/>
      <c r="E21" s="81"/>
    </row>
    <row r="22" spans="1:5" ht="14.4">
      <c r="A22" s="579">
        <v>8</v>
      </c>
      <c r="B22" s="378" t="s">
        <v>571</v>
      </c>
      <c r="C22" s="686">
        <f>'7. LI1 '!C24</f>
        <v>0</v>
      </c>
      <c r="D22" s="416"/>
      <c r="E22" s="81"/>
    </row>
    <row r="23" spans="1:5" ht="14.4">
      <c r="A23" s="579">
        <v>9</v>
      </c>
      <c r="B23" s="374" t="s">
        <v>572</v>
      </c>
      <c r="C23" s="688">
        <f>SUM(C24:C25)</f>
        <v>6073902.7700000005</v>
      </c>
      <c r="D23" s="418"/>
      <c r="E23" s="81"/>
    </row>
    <row r="24" spans="1:5" ht="14.4">
      <c r="A24" s="579">
        <v>9.1</v>
      </c>
      <c r="B24" s="376" t="s">
        <v>573</v>
      </c>
      <c r="C24" s="420">
        <f>'7. LI1 '!C26</f>
        <v>6073902.7700000005</v>
      </c>
      <c r="D24" s="419"/>
      <c r="E24" s="81"/>
    </row>
    <row r="25" spans="1:5" ht="14.4">
      <c r="A25" s="579">
        <v>9.1999999999999993</v>
      </c>
      <c r="B25" s="376" t="s">
        <v>574</v>
      </c>
      <c r="C25" s="420">
        <f>'7. LI1 '!C27</f>
        <v>0</v>
      </c>
      <c r="D25" s="415"/>
      <c r="E25" s="85"/>
    </row>
    <row r="26" spans="1:5" ht="14.4">
      <c r="A26" s="579">
        <v>10</v>
      </c>
      <c r="B26" s="374" t="s">
        <v>575</v>
      </c>
      <c r="C26" s="689">
        <f>SUM(C27:C28)</f>
        <v>177648.31928219183</v>
      </c>
      <c r="D26" s="698" t="s">
        <v>698</v>
      </c>
      <c r="E26" s="81"/>
    </row>
    <row r="27" spans="1:5" ht="14.4">
      <c r="A27" s="579">
        <v>10.1</v>
      </c>
      <c r="B27" s="376" t="s">
        <v>576</v>
      </c>
      <c r="C27" s="420">
        <f>'7. LI1 '!C29</f>
        <v>0</v>
      </c>
      <c r="D27" s="82"/>
      <c r="E27" s="81"/>
    </row>
    <row r="28" spans="1:5" ht="14.4">
      <c r="A28" s="579">
        <v>10.199999999999999</v>
      </c>
      <c r="B28" s="376" t="s">
        <v>577</v>
      </c>
      <c r="C28" s="420">
        <f>'7. LI1 '!C30</f>
        <v>177648.31928219183</v>
      </c>
      <c r="D28" s="82"/>
      <c r="E28" s="81"/>
    </row>
    <row r="29" spans="1:5" ht="14.4">
      <c r="A29" s="579">
        <v>11</v>
      </c>
      <c r="B29" s="374" t="s">
        <v>578</v>
      </c>
      <c r="C29" s="686">
        <f>SUM(C30:C31)</f>
        <v>4126977.25</v>
      </c>
      <c r="D29" s="82"/>
      <c r="E29" s="81"/>
    </row>
    <row r="30" spans="1:5" ht="14.4">
      <c r="A30" s="579">
        <v>11.1</v>
      </c>
      <c r="B30" s="376" t="s">
        <v>579</v>
      </c>
      <c r="C30" s="420">
        <f>'7. LI1 '!C32</f>
        <v>4126977.25</v>
      </c>
      <c r="D30" s="82"/>
      <c r="E30" s="81"/>
    </row>
    <row r="31" spans="1:5" ht="14.4">
      <c r="A31" s="579">
        <v>11.2</v>
      </c>
      <c r="B31" s="376" t="s">
        <v>580</v>
      </c>
      <c r="C31" s="420">
        <f>'7. LI1 '!C33</f>
        <v>0</v>
      </c>
      <c r="D31" s="82"/>
      <c r="E31" s="81"/>
    </row>
    <row r="32" spans="1:5" ht="14.4">
      <c r="A32" s="579">
        <v>13</v>
      </c>
      <c r="B32" s="374" t="s">
        <v>581</v>
      </c>
      <c r="C32" s="686">
        <f>'7. LI1 '!C34</f>
        <v>3674178.8664237075</v>
      </c>
      <c r="D32" s="82"/>
      <c r="E32" s="81"/>
    </row>
    <row r="33" spans="1:5" ht="14.4">
      <c r="A33" s="579">
        <v>13.1</v>
      </c>
      <c r="B33" s="585" t="s">
        <v>582</v>
      </c>
      <c r="C33" s="420">
        <f>'7. LI1 '!C35</f>
        <v>1349093.18</v>
      </c>
      <c r="D33" s="82"/>
      <c r="E33" s="81"/>
    </row>
    <row r="34" spans="1:5" ht="14.4">
      <c r="A34" s="579">
        <v>13.2</v>
      </c>
      <c r="B34" s="585" t="s">
        <v>583</v>
      </c>
      <c r="C34" s="420">
        <f>'7. LI1 '!C36</f>
        <v>0</v>
      </c>
      <c r="D34" s="84"/>
      <c r="E34" s="81"/>
    </row>
    <row r="35" spans="1:5" ht="14.4">
      <c r="A35" s="579">
        <v>14</v>
      </c>
      <c r="B35" s="388" t="s">
        <v>584</v>
      </c>
      <c r="C35" s="684">
        <f>SUM(C6,C10,C12,C13,C14,C18,C21,C22,C23,C26,C29,C32)</f>
        <v>443641418.84250951</v>
      </c>
      <c r="D35" s="84"/>
      <c r="E35" s="81"/>
    </row>
    <row r="36" spans="1:5" ht="14.4">
      <c r="A36" s="579"/>
      <c r="B36" s="386" t="s">
        <v>585</v>
      </c>
      <c r="C36" s="86"/>
      <c r="D36" s="87"/>
      <c r="E36" s="81"/>
    </row>
    <row r="37" spans="1:5" ht="14.4">
      <c r="A37" s="579">
        <v>15</v>
      </c>
      <c r="B37" s="379" t="s">
        <v>586</v>
      </c>
      <c r="C37" s="421">
        <f>'2. SOFP'!E38</f>
        <v>0</v>
      </c>
      <c r="D37" s="415"/>
      <c r="E37" s="85"/>
    </row>
    <row r="38" spans="1:5" ht="14.4">
      <c r="A38" s="579">
        <v>15.1</v>
      </c>
      <c r="B38" s="381" t="s">
        <v>562</v>
      </c>
      <c r="C38" s="690">
        <f>'2. SOFP'!E39</f>
        <v>0</v>
      </c>
      <c r="D38" s="82"/>
      <c r="E38" s="81"/>
    </row>
    <row r="39" spans="1:5" ht="14.4">
      <c r="A39" s="579">
        <v>16</v>
      </c>
      <c r="B39" s="372" t="s">
        <v>587</v>
      </c>
      <c r="C39" s="691">
        <f>'2. SOFP'!E40</f>
        <v>0</v>
      </c>
      <c r="D39" s="82"/>
      <c r="E39" s="81"/>
    </row>
    <row r="40" spans="1:5" ht="14.4">
      <c r="A40" s="579">
        <v>17</v>
      </c>
      <c r="B40" s="372" t="s">
        <v>588</v>
      </c>
      <c r="C40" s="686">
        <f>SUM(C41:C44)</f>
        <v>305000374.84109408</v>
      </c>
      <c r="D40" s="82"/>
      <c r="E40" s="81"/>
    </row>
    <row r="41" spans="1:5" ht="14.4">
      <c r="A41" s="579">
        <v>17.100000000000001</v>
      </c>
      <c r="B41" s="382" t="s">
        <v>589</v>
      </c>
      <c r="C41" s="690">
        <f>'2. SOFP'!E42</f>
        <v>255211561.2245757</v>
      </c>
      <c r="D41" s="82"/>
      <c r="E41" s="81"/>
    </row>
    <row r="42" spans="1:5" ht="14.4">
      <c r="A42" s="579">
        <v>17.2</v>
      </c>
      <c r="B42" s="383" t="s">
        <v>590</v>
      </c>
      <c r="C42" s="690">
        <f>'2. SOFP'!E43</f>
        <v>44963468.295112357</v>
      </c>
      <c r="D42" s="82"/>
      <c r="E42" s="81"/>
    </row>
    <row r="43" spans="1:5" ht="14.4">
      <c r="A43" s="579">
        <v>17.3</v>
      </c>
      <c r="B43" s="407" t="s">
        <v>591</v>
      </c>
      <c r="C43" s="690">
        <f>'2. SOFP'!E44</f>
        <v>0</v>
      </c>
      <c r="D43" s="84"/>
      <c r="E43" s="81"/>
    </row>
    <row r="44" spans="1:5" ht="14.4">
      <c r="A44" s="579">
        <v>17.399999999999999</v>
      </c>
      <c r="B44" s="408" t="s">
        <v>592</v>
      </c>
      <c r="C44" s="690">
        <f>'2. SOFP'!E45</f>
        <v>4825345.3214060003</v>
      </c>
      <c r="D44" s="693"/>
      <c r="E44" s="81"/>
    </row>
    <row r="45" spans="1:5" ht="14.4">
      <c r="A45" s="579">
        <v>18</v>
      </c>
      <c r="B45" s="409" t="s">
        <v>593</v>
      </c>
      <c r="C45" s="691">
        <f>'2. SOFP'!E46</f>
        <v>410196.47129417607</v>
      </c>
      <c r="D45" s="694"/>
      <c r="E45" s="85"/>
    </row>
    <row r="46" spans="1:5" ht="14.4">
      <c r="A46" s="579">
        <v>19</v>
      </c>
      <c r="B46" s="409" t="s">
        <v>594</v>
      </c>
      <c r="C46" s="691">
        <f>SUM(C47:C48)</f>
        <v>4422961.04</v>
      </c>
      <c r="D46" s="695"/>
    </row>
    <row r="47" spans="1:5" ht="14.4">
      <c r="A47" s="579">
        <v>19.100000000000001</v>
      </c>
      <c r="B47" s="411" t="s">
        <v>595</v>
      </c>
      <c r="C47" s="690">
        <f>'2. SOFP'!E48</f>
        <v>4422961.04</v>
      </c>
      <c r="D47" s="695"/>
    </row>
    <row r="48" spans="1:5" ht="14.4">
      <c r="A48" s="579">
        <v>19.2</v>
      </c>
      <c r="B48" s="411" t="s">
        <v>596</v>
      </c>
      <c r="C48" s="690">
        <f>'2. SOFP'!E49</f>
        <v>0</v>
      </c>
      <c r="D48" s="695"/>
    </row>
    <row r="49" spans="1:4" ht="14.4">
      <c r="A49" s="579">
        <v>20</v>
      </c>
      <c r="B49" s="384" t="s">
        <v>597</v>
      </c>
      <c r="C49" s="691">
        <f>'2. SOFP'!E50</f>
        <v>0</v>
      </c>
      <c r="D49" s="695"/>
    </row>
    <row r="50" spans="1:4" ht="14.4">
      <c r="A50" s="579">
        <v>21</v>
      </c>
      <c r="B50" s="412" t="s">
        <v>598</v>
      </c>
      <c r="C50" s="691">
        <f>'2. SOFP'!E51</f>
        <v>2841823.4815099174</v>
      </c>
      <c r="D50" s="695"/>
    </row>
    <row r="51" spans="1:4" ht="14.4">
      <c r="A51" s="579">
        <v>21.1</v>
      </c>
      <c r="B51" s="383" t="s">
        <v>599</v>
      </c>
      <c r="C51" s="690">
        <f>'2. SOFP'!E52</f>
        <v>0</v>
      </c>
      <c r="D51" s="695"/>
    </row>
    <row r="52" spans="1:4" ht="14.4">
      <c r="A52" s="579">
        <v>22</v>
      </c>
      <c r="B52" s="385" t="s">
        <v>600</v>
      </c>
      <c r="C52" s="684">
        <f>SUM(C37,C39,C40,C45,C46,C49,C50)</f>
        <v>312675355.83389819</v>
      </c>
      <c r="D52" s="695"/>
    </row>
    <row r="53" spans="1:4" ht="14.4">
      <c r="A53" s="579"/>
      <c r="B53" s="386" t="s">
        <v>601</v>
      </c>
      <c r="C53" s="410"/>
      <c r="D53" s="695"/>
    </row>
    <row r="54" spans="1:4" ht="14.4">
      <c r="A54" s="579">
        <v>23</v>
      </c>
      <c r="B54" s="384" t="s">
        <v>602</v>
      </c>
      <c r="C54" s="691">
        <f>'2. SOFP'!E55</f>
        <v>69161600</v>
      </c>
      <c r="D54" s="698" t="s">
        <v>730</v>
      </c>
    </row>
    <row r="55" spans="1:4" ht="14.4">
      <c r="A55" s="579">
        <v>24</v>
      </c>
      <c r="B55" s="384" t="s">
        <v>603</v>
      </c>
      <c r="C55" s="691">
        <f>'2. SOFP'!E56</f>
        <v>0</v>
      </c>
      <c r="D55" s="695"/>
    </row>
    <row r="56" spans="1:4" ht="14.4">
      <c r="A56" s="579">
        <v>25</v>
      </c>
      <c r="B56" s="409" t="s">
        <v>604</v>
      </c>
      <c r="C56" s="691">
        <f>'2. SOFP'!E57</f>
        <v>0</v>
      </c>
      <c r="D56" s="695"/>
    </row>
    <row r="57" spans="1:4" ht="14.4">
      <c r="A57" s="579">
        <v>26</v>
      </c>
      <c r="B57" s="409" t="s">
        <v>605</v>
      </c>
      <c r="C57" s="691">
        <f>'2. SOFP'!E58</f>
        <v>0</v>
      </c>
      <c r="D57" s="695"/>
    </row>
    <row r="58" spans="1:4" ht="14.4">
      <c r="A58" s="579">
        <v>27</v>
      </c>
      <c r="B58" s="409" t="s">
        <v>606</v>
      </c>
      <c r="C58" s="692">
        <f>SUM(C59:C60)</f>
        <v>0</v>
      </c>
      <c r="D58" s="695"/>
    </row>
    <row r="59" spans="1:4" ht="14.4">
      <c r="A59" s="579">
        <v>27.1</v>
      </c>
      <c r="B59" s="408" t="s">
        <v>607</v>
      </c>
      <c r="C59" s="690">
        <f>'2. SOFP'!E60</f>
        <v>0</v>
      </c>
      <c r="D59" s="695"/>
    </row>
    <row r="60" spans="1:4" ht="14.4">
      <c r="A60" s="579">
        <v>27.2</v>
      </c>
      <c r="B60" s="408" t="s">
        <v>608</v>
      </c>
      <c r="C60" s="690">
        <f>'2. SOFP'!E61</f>
        <v>0</v>
      </c>
      <c r="D60" s="695"/>
    </row>
    <row r="61" spans="1:4" ht="14.4">
      <c r="A61" s="579">
        <v>28</v>
      </c>
      <c r="B61" s="387" t="s">
        <v>609</v>
      </c>
      <c r="C61" s="691">
        <f>'2. SOFP'!E62</f>
        <v>0</v>
      </c>
      <c r="D61" s="695"/>
    </row>
    <row r="62" spans="1:4" ht="14.4">
      <c r="A62" s="579">
        <v>29</v>
      </c>
      <c r="B62" s="409" t="s">
        <v>610</v>
      </c>
      <c r="C62" s="692">
        <f>SUM(C63:C65)</f>
        <v>0</v>
      </c>
      <c r="D62" s="695"/>
    </row>
    <row r="63" spans="1:4" ht="14.4">
      <c r="A63" s="579">
        <v>29.1</v>
      </c>
      <c r="B63" s="413" t="s">
        <v>611</v>
      </c>
      <c r="C63" s="690">
        <f>'2. SOFP'!E64</f>
        <v>0</v>
      </c>
      <c r="D63" s="695"/>
    </row>
    <row r="64" spans="1:4" ht="14.4">
      <c r="A64" s="579">
        <v>29.2</v>
      </c>
      <c r="B64" s="422" t="s">
        <v>612</v>
      </c>
      <c r="C64" s="690">
        <f>'2. SOFP'!E65</f>
        <v>0</v>
      </c>
      <c r="D64" s="695"/>
    </row>
    <row r="65" spans="1:4" ht="14.4">
      <c r="A65" s="579">
        <v>29.3</v>
      </c>
      <c r="B65" s="422" t="s">
        <v>613</v>
      </c>
      <c r="C65" s="690">
        <f>'2. SOFP'!E66</f>
        <v>0</v>
      </c>
      <c r="D65" s="695"/>
    </row>
    <row r="66" spans="1:4" ht="14.4">
      <c r="A66" s="579">
        <v>30</v>
      </c>
      <c r="B66" s="388" t="s">
        <v>614</v>
      </c>
      <c r="C66" s="691">
        <f>'2. SOFP'!E67</f>
        <v>61804463.008611336</v>
      </c>
      <c r="D66" s="698" t="s">
        <v>731</v>
      </c>
    </row>
    <row r="67" spans="1:4" ht="14.4">
      <c r="A67" s="579">
        <v>31</v>
      </c>
      <c r="B67" s="414" t="s">
        <v>615</v>
      </c>
      <c r="C67" s="684">
        <f>SUM(C54,C55,C56,C57,C58,C61,C62,C66)</f>
        <v>130966063.00861134</v>
      </c>
      <c r="D67" s="695"/>
    </row>
    <row r="68" spans="1:4" ht="15" thickBot="1">
      <c r="A68" s="587">
        <v>32</v>
      </c>
      <c r="B68" s="588" t="s">
        <v>616</v>
      </c>
      <c r="C68" s="696">
        <f>SUM(C52,C67)</f>
        <v>443641418.84250951</v>
      </c>
      <c r="D68" s="69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09375" defaultRowHeight="13.2"/>
  <cols>
    <col min="1" max="1" width="10.5546875" style="4" bestFit="1" customWidth="1"/>
    <col min="2" max="2" width="69.10937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7" bestFit="1" customWidth="1"/>
    <col min="17" max="17" width="14.6640625" style="17" customWidth="1"/>
    <col min="18" max="18" width="13" style="17" bestFit="1" customWidth="1"/>
    <col min="19" max="19" width="34.88671875" style="17" customWidth="1"/>
    <col min="20" max="16384" width="9.109375" style="17"/>
  </cols>
  <sheetData>
    <row r="1" spans="1:19">
      <c r="A1" s="2" t="s">
        <v>30</v>
      </c>
      <c r="B1" s="546" t="str">
        <f>'1. key ratios '!B1</f>
        <v>JSC Isbank Georgia</v>
      </c>
    </row>
    <row r="2" spans="1:19">
      <c r="A2" s="2" t="s">
        <v>31</v>
      </c>
      <c r="B2" s="547">
        <f>'1. key ratios '!B2</f>
        <v>45199</v>
      </c>
    </row>
    <row r="4" spans="1:19" ht="27" thickBot="1">
      <c r="A4" s="4" t="s">
        <v>146</v>
      </c>
      <c r="B4" s="200" t="s">
        <v>251</v>
      </c>
    </row>
    <row r="5" spans="1:19" s="189" customFormat="1" ht="13.8">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56" t="s">
        <v>240</v>
      </c>
      <c r="C6" s="852">
        <v>0</v>
      </c>
      <c r="D6" s="853"/>
      <c r="E6" s="852">
        <v>0.2</v>
      </c>
      <c r="F6" s="853"/>
      <c r="G6" s="852">
        <v>0.35</v>
      </c>
      <c r="H6" s="853"/>
      <c r="I6" s="852">
        <v>0.5</v>
      </c>
      <c r="J6" s="853"/>
      <c r="K6" s="852">
        <v>0.75</v>
      </c>
      <c r="L6" s="853"/>
      <c r="M6" s="852">
        <v>1</v>
      </c>
      <c r="N6" s="853"/>
      <c r="O6" s="852">
        <v>1.5</v>
      </c>
      <c r="P6" s="853"/>
      <c r="Q6" s="852">
        <v>2.5</v>
      </c>
      <c r="R6" s="853"/>
      <c r="S6" s="854" t="s">
        <v>145</v>
      </c>
    </row>
    <row r="7" spans="1:19" s="189" customFormat="1" ht="30.75" customHeight="1">
      <c r="A7" s="190"/>
      <c r="B7" s="857"/>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55"/>
    </row>
    <row r="8" spans="1:19" s="90" customFormat="1">
      <c r="A8" s="88">
        <v>1</v>
      </c>
      <c r="B8" s="1" t="s">
        <v>51</v>
      </c>
      <c r="C8" s="89">
        <v>9492179.928357793</v>
      </c>
      <c r="D8" s="89"/>
      <c r="E8" s="89"/>
      <c r="F8" s="89"/>
      <c r="G8" s="89"/>
      <c r="H8" s="89"/>
      <c r="I8" s="89"/>
      <c r="J8" s="89"/>
      <c r="K8" s="89"/>
      <c r="L8" s="89"/>
      <c r="M8" s="89">
        <v>76434919.223775208</v>
      </c>
      <c r="N8" s="89"/>
      <c r="O8" s="89"/>
      <c r="P8" s="89"/>
      <c r="Q8" s="89"/>
      <c r="R8" s="89"/>
      <c r="S8" s="699">
        <f>$C$6*SUM(C8:D8)+$E$6*SUM(E8:F8)+$G$6*SUM(G8:H8)+$I$6*SUM(I8:J8)+$K$6*SUM(K8:L8)+$M$6*SUM(M8:N8)+$O$6*SUM(O8:P8)+$Q$6*SUM(Q8:R8)</f>
        <v>76434919.223775208</v>
      </c>
    </row>
    <row r="9" spans="1:19" s="90" customFormat="1">
      <c r="A9" s="88">
        <v>2</v>
      </c>
      <c r="B9" s="1" t="s">
        <v>52</v>
      </c>
      <c r="C9" s="89"/>
      <c r="D9" s="89"/>
      <c r="E9" s="89"/>
      <c r="F9" s="89"/>
      <c r="G9" s="89"/>
      <c r="H9" s="89"/>
      <c r="I9" s="89"/>
      <c r="J9" s="89"/>
      <c r="K9" s="89"/>
      <c r="L9" s="89"/>
      <c r="M9" s="89"/>
      <c r="N9" s="89"/>
      <c r="O9" s="89"/>
      <c r="P9" s="89"/>
      <c r="Q9" s="89"/>
      <c r="R9" s="89"/>
      <c r="S9" s="699">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99">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99">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99">
        <f t="shared" si="0"/>
        <v>0</v>
      </c>
    </row>
    <row r="13" spans="1:19" s="90" customFormat="1">
      <c r="A13" s="88">
        <v>6</v>
      </c>
      <c r="B13" s="1" t="s">
        <v>55</v>
      </c>
      <c r="C13" s="89"/>
      <c r="D13" s="89"/>
      <c r="E13" s="89">
        <v>29944275.284572877</v>
      </c>
      <c r="F13" s="89">
        <v>0</v>
      </c>
      <c r="G13" s="89"/>
      <c r="H13" s="89"/>
      <c r="I13" s="89">
        <v>20360361.864702024</v>
      </c>
      <c r="J13" s="89">
        <v>8112292.3558775233</v>
      </c>
      <c r="K13" s="89"/>
      <c r="L13" s="89"/>
      <c r="M13" s="89">
        <v>37475796.170621127</v>
      </c>
      <c r="N13" s="89">
        <v>28515618.390981618</v>
      </c>
      <c r="O13" s="89"/>
      <c r="P13" s="89"/>
      <c r="Q13" s="89"/>
      <c r="R13" s="89"/>
      <c r="S13" s="699">
        <f t="shared" si="0"/>
        <v>86216596.728807092</v>
      </c>
    </row>
    <row r="14" spans="1:19" s="90" customFormat="1">
      <c r="A14" s="88">
        <v>7</v>
      </c>
      <c r="B14" s="1" t="s">
        <v>56</v>
      </c>
      <c r="C14" s="89"/>
      <c r="D14" s="89"/>
      <c r="E14" s="89"/>
      <c r="F14" s="89"/>
      <c r="G14" s="89"/>
      <c r="H14" s="89"/>
      <c r="I14" s="89"/>
      <c r="J14" s="89"/>
      <c r="K14" s="89"/>
      <c r="L14" s="89"/>
      <c r="M14" s="89">
        <v>245111522.98539332</v>
      </c>
      <c r="N14" s="89">
        <v>20957778.2088314</v>
      </c>
      <c r="O14" s="89"/>
      <c r="P14" s="89"/>
      <c r="Q14" s="89"/>
      <c r="R14" s="89"/>
      <c r="S14" s="699">
        <f t="shared" si="0"/>
        <v>266069301.19422472</v>
      </c>
    </row>
    <row r="15" spans="1:19" s="90" customFormat="1">
      <c r="A15" s="88">
        <v>8</v>
      </c>
      <c r="B15" s="1" t="s">
        <v>57</v>
      </c>
      <c r="C15" s="89"/>
      <c r="D15" s="89"/>
      <c r="E15" s="89"/>
      <c r="F15" s="89"/>
      <c r="G15" s="89"/>
      <c r="H15" s="89"/>
      <c r="I15" s="89"/>
      <c r="J15" s="89"/>
      <c r="K15" s="89"/>
      <c r="L15" s="89"/>
      <c r="M15" s="89"/>
      <c r="N15" s="89">
        <v>19182</v>
      </c>
      <c r="O15" s="89"/>
      <c r="P15" s="89"/>
      <c r="Q15" s="89"/>
      <c r="R15" s="89"/>
      <c r="S15" s="699">
        <f t="shared" si="0"/>
        <v>19182</v>
      </c>
    </row>
    <row r="16" spans="1:19" s="90" customFormat="1">
      <c r="A16" s="88">
        <v>9</v>
      </c>
      <c r="B16" s="1" t="s">
        <v>58</v>
      </c>
      <c r="C16" s="89"/>
      <c r="D16" s="89"/>
      <c r="E16" s="89"/>
      <c r="F16" s="89"/>
      <c r="G16" s="89"/>
      <c r="H16" s="89"/>
      <c r="I16" s="89"/>
      <c r="J16" s="89"/>
      <c r="K16" s="89"/>
      <c r="L16" s="89"/>
      <c r="M16" s="89"/>
      <c r="N16" s="89"/>
      <c r="O16" s="89"/>
      <c r="P16" s="89"/>
      <c r="Q16" s="89"/>
      <c r="R16" s="89"/>
      <c r="S16" s="699">
        <f t="shared" si="0"/>
        <v>0</v>
      </c>
    </row>
    <row r="17" spans="1:19" s="90" customFormat="1">
      <c r="A17" s="88">
        <v>10</v>
      </c>
      <c r="B17" s="1" t="s">
        <v>59</v>
      </c>
      <c r="C17" s="89"/>
      <c r="D17" s="89"/>
      <c r="E17" s="89"/>
      <c r="F17" s="89"/>
      <c r="G17" s="89"/>
      <c r="H17" s="89"/>
      <c r="I17" s="89"/>
      <c r="J17" s="89"/>
      <c r="K17" s="89"/>
      <c r="L17" s="89"/>
      <c r="M17" s="89">
        <v>96166.460206131189</v>
      </c>
      <c r="N17" s="89"/>
      <c r="O17" s="89"/>
      <c r="P17" s="89"/>
      <c r="Q17" s="89"/>
      <c r="R17" s="89"/>
      <c r="S17" s="699">
        <f t="shared" si="0"/>
        <v>96166.460206131189</v>
      </c>
    </row>
    <row r="18" spans="1:19" s="90" customFormat="1">
      <c r="A18" s="88">
        <v>11</v>
      </c>
      <c r="B18" s="1" t="s">
        <v>60</v>
      </c>
      <c r="C18" s="89"/>
      <c r="D18" s="89"/>
      <c r="E18" s="89"/>
      <c r="F18" s="89"/>
      <c r="G18" s="89"/>
      <c r="H18" s="89"/>
      <c r="I18" s="89"/>
      <c r="J18" s="89"/>
      <c r="K18" s="89"/>
      <c r="L18" s="89"/>
      <c r="M18" s="89"/>
      <c r="N18" s="89"/>
      <c r="O18" s="89"/>
      <c r="P18" s="89"/>
      <c r="Q18" s="89"/>
      <c r="R18" s="89"/>
      <c r="S18" s="699">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99">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99">
        <f t="shared" si="0"/>
        <v>0</v>
      </c>
    </row>
    <row r="21" spans="1:19" s="90" customFormat="1">
      <c r="A21" s="88">
        <v>14</v>
      </c>
      <c r="B21" s="1" t="s">
        <v>63</v>
      </c>
      <c r="C21" s="89">
        <v>2270470.7790999999</v>
      </c>
      <c r="D21" s="89"/>
      <c r="E21" s="89"/>
      <c r="F21" s="89"/>
      <c r="G21" s="89"/>
      <c r="H21" s="89"/>
      <c r="I21" s="89"/>
      <c r="J21" s="89"/>
      <c r="K21" s="89"/>
      <c r="L21" s="89"/>
      <c r="M21" s="89">
        <v>22278077.826498821</v>
      </c>
      <c r="N21" s="89"/>
      <c r="O21" s="89"/>
      <c r="P21" s="89"/>
      <c r="Q21" s="89"/>
      <c r="R21" s="89"/>
      <c r="S21" s="699">
        <f t="shared" si="0"/>
        <v>22278077.826498821</v>
      </c>
    </row>
    <row r="22" spans="1:19" ht="13.8" thickBot="1">
      <c r="A22" s="91"/>
      <c r="B22" s="92" t="s">
        <v>64</v>
      </c>
      <c r="C22" s="701">
        <f>SUM(C8:C21)</f>
        <v>11762650.707457792</v>
      </c>
      <c r="D22" s="701">
        <f t="shared" ref="D22:J22" si="1">SUM(D8:D21)</f>
        <v>0</v>
      </c>
      <c r="E22" s="701">
        <f t="shared" si="1"/>
        <v>29944275.284572877</v>
      </c>
      <c r="F22" s="701">
        <f t="shared" si="1"/>
        <v>0</v>
      </c>
      <c r="G22" s="701">
        <f t="shared" si="1"/>
        <v>0</v>
      </c>
      <c r="H22" s="701">
        <f t="shared" si="1"/>
        <v>0</v>
      </c>
      <c r="I22" s="701">
        <f t="shared" si="1"/>
        <v>20360361.864702024</v>
      </c>
      <c r="J22" s="701">
        <f t="shared" si="1"/>
        <v>8112292.3558775233</v>
      </c>
      <c r="K22" s="701">
        <f t="shared" ref="K22:S22" si="2">SUM(K8:K21)</f>
        <v>0</v>
      </c>
      <c r="L22" s="701">
        <f t="shared" si="2"/>
        <v>0</v>
      </c>
      <c r="M22" s="701">
        <f t="shared" si="2"/>
        <v>381396482.66649461</v>
      </c>
      <c r="N22" s="701">
        <f t="shared" si="2"/>
        <v>49492578.599813014</v>
      </c>
      <c r="O22" s="701">
        <f t="shared" si="2"/>
        <v>0</v>
      </c>
      <c r="P22" s="701">
        <f t="shared" si="2"/>
        <v>0</v>
      </c>
      <c r="Q22" s="701">
        <f t="shared" si="2"/>
        <v>0</v>
      </c>
      <c r="R22" s="701">
        <f t="shared" si="2"/>
        <v>0</v>
      </c>
      <c r="S22" s="700">
        <f t="shared" si="2"/>
        <v>451114243.43351197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7"/>
  </cols>
  <sheetData>
    <row r="1" spans="1:22">
      <c r="A1" s="2" t="s">
        <v>30</v>
      </c>
      <c r="B1" s="546" t="str">
        <f>'1. key ratios '!B1</f>
        <v>JSC Isbank Georgia</v>
      </c>
    </row>
    <row r="2" spans="1:22">
      <c r="A2" s="2" t="s">
        <v>31</v>
      </c>
      <c r="B2" s="547">
        <f>'1. key ratios '!B2</f>
        <v>45199</v>
      </c>
    </row>
    <row r="4" spans="1:22" ht="13.8" thickBot="1">
      <c r="A4" s="4" t="s">
        <v>243</v>
      </c>
      <c r="B4" s="93" t="s">
        <v>50</v>
      </c>
      <c r="V4" s="18" t="s">
        <v>35</v>
      </c>
    </row>
    <row r="5" spans="1:22" ht="12.75" customHeight="1">
      <c r="A5" s="94"/>
      <c r="B5" s="95"/>
      <c r="C5" s="858" t="s">
        <v>169</v>
      </c>
      <c r="D5" s="859"/>
      <c r="E5" s="859"/>
      <c r="F5" s="859"/>
      <c r="G5" s="859"/>
      <c r="H5" s="859"/>
      <c r="I5" s="859"/>
      <c r="J5" s="859"/>
      <c r="K5" s="859"/>
      <c r="L5" s="860"/>
      <c r="M5" s="861" t="s">
        <v>170</v>
      </c>
      <c r="N5" s="862"/>
      <c r="O5" s="862"/>
      <c r="P5" s="862"/>
      <c r="Q5" s="862"/>
      <c r="R5" s="862"/>
      <c r="S5" s="863"/>
      <c r="T5" s="866" t="s">
        <v>241</v>
      </c>
      <c r="U5" s="866" t="s">
        <v>242</v>
      </c>
      <c r="V5" s="864" t="s">
        <v>76</v>
      </c>
    </row>
    <row r="6" spans="1:22" s="49" customFormat="1" ht="105.6">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67"/>
      <c r="U6" s="867"/>
      <c r="V6" s="865"/>
    </row>
    <row r="7" spans="1:22" s="90" customFormat="1">
      <c r="A7" s="100">
        <v>1</v>
      </c>
      <c r="B7" s="1" t="s">
        <v>51</v>
      </c>
      <c r="C7" s="101"/>
      <c r="D7" s="89"/>
      <c r="E7" s="89"/>
      <c r="F7" s="89"/>
      <c r="G7" s="89"/>
      <c r="H7" s="89"/>
      <c r="I7" s="89"/>
      <c r="J7" s="89"/>
      <c r="K7" s="89"/>
      <c r="L7" s="102"/>
      <c r="M7" s="101"/>
      <c r="N7" s="89"/>
      <c r="O7" s="89"/>
      <c r="P7" s="89"/>
      <c r="Q7" s="89"/>
      <c r="R7" s="89"/>
      <c r="S7" s="102"/>
      <c r="T7" s="191"/>
      <c r="U7" s="191"/>
      <c r="V7" s="702">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702">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702">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702">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702">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702">
        <f t="shared" si="0"/>
        <v>0</v>
      </c>
    </row>
    <row r="13" spans="1:22" s="90" customFormat="1">
      <c r="A13" s="100">
        <v>7</v>
      </c>
      <c r="B13" s="1" t="s">
        <v>56</v>
      </c>
      <c r="C13" s="101"/>
      <c r="D13" s="89">
        <f>18470583.01+1665679.154075</f>
        <v>20136262.164075002</v>
      </c>
      <c r="E13" s="89"/>
      <c r="F13" s="89"/>
      <c r="G13" s="89"/>
      <c r="H13" s="89"/>
      <c r="I13" s="89"/>
      <c r="J13" s="89"/>
      <c r="K13" s="89"/>
      <c r="L13" s="102"/>
      <c r="M13" s="101"/>
      <c r="N13" s="89"/>
      <c r="O13" s="89"/>
      <c r="P13" s="89"/>
      <c r="Q13" s="89"/>
      <c r="R13" s="89"/>
      <c r="S13" s="102"/>
      <c r="T13" s="191">
        <v>18470583.010000002</v>
      </c>
      <c r="U13" s="191">
        <v>1665679.154075</v>
      </c>
      <c r="V13" s="702">
        <f t="shared" si="0"/>
        <v>20136262.164075002</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702">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702">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702">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702">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702">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702">
        <f t="shared" si="0"/>
        <v>0</v>
      </c>
    </row>
    <row r="20" spans="1:22" s="90" customFormat="1">
      <c r="A20" s="100">
        <v>14</v>
      </c>
      <c r="B20" s="1" t="s">
        <v>63</v>
      </c>
      <c r="C20" s="101"/>
      <c r="D20" s="89">
        <v>172086.3296339309</v>
      </c>
      <c r="E20" s="89"/>
      <c r="F20" s="89"/>
      <c r="G20" s="89"/>
      <c r="H20" s="89"/>
      <c r="I20" s="89"/>
      <c r="J20" s="89"/>
      <c r="K20" s="89"/>
      <c r="L20" s="102"/>
      <c r="M20" s="101"/>
      <c r="N20" s="89"/>
      <c r="O20" s="89"/>
      <c r="P20" s="89"/>
      <c r="Q20" s="89"/>
      <c r="R20" s="89"/>
      <c r="S20" s="102"/>
      <c r="T20" s="191">
        <v>172086.3296339309</v>
      </c>
      <c r="U20" s="191"/>
      <c r="V20" s="702">
        <f t="shared" si="0"/>
        <v>172086.3296339309</v>
      </c>
    </row>
    <row r="21" spans="1:22" ht="13.8" thickBot="1">
      <c r="A21" s="91"/>
      <c r="B21" s="103" t="s">
        <v>64</v>
      </c>
      <c r="C21" s="704">
        <f>SUM(C7:C20)</f>
        <v>0</v>
      </c>
      <c r="D21" s="701">
        <f t="shared" ref="D21:V21" si="1">SUM(D7:D20)</f>
        <v>20308348.493708935</v>
      </c>
      <c r="E21" s="701">
        <f t="shared" si="1"/>
        <v>0</v>
      </c>
      <c r="F21" s="701">
        <f t="shared" si="1"/>
        <v>0</v>
      </c>
      <c r="G21" s="701">
        <f t="shared" si="1"/>
        <v>0</v>
      </c>
      <c r="H21" s="701">
        <f t="shared" si="1"/>
        <v>0</v>
      </c>
      <c r="I21" s="701">
        <f t="shared" si="1"/>
        <v>0</v>
      </c>
      <c r="J21" s="701">
        <f t="shared" si="1"/>
        <v>0</v>
      </c>
      <c r="K21" s="701">
        <f t="shared" si="1"/>
        <v>0</v>
      </c>
      <c r="L21" s="705">
        <f t="shared" si="1"/>
        <v>0</v>
      </c>
      <c r="M21" s="704">
        <f t="shared" si="1"/>
        <v>0</v>
      </c>
      <c r="N21" s="701">
        <f t="shared" si="1"/>
        <v>0</v>
      </c>
      <c r="O21" s="701">
        <f t="shared" si="1"/>
        <v>0</v>
      </c>
      <c r="P21" s="701">
        <f t="shared" si="1"/>
        <v>0</v>
      </c>
      <c r="Q21" s="701">
        <f t="shared" si="1"/>
        <v>0</v>
      </c>
      <c r="R21" s="701">
        <f t="shared" si="1"/>
        <v>0</v>
      </c>
      <c r="S21" s="705">
        <f>SUM(S7:S20)</f>
        <v>0</v>
      </c>
      <c r="T21" s="705">
        <f>SUM(T7:T20)</f>
        <v>18642669.339633934</v>
      </c>
      <c r="U21" s="705">
        <f t="shared" ref="U21" si="2">SUM(U7:U20)</f>
        <v>1665679.154075</v>
      </c>
      <c r="V21" s="703">
        <f t="shared" si="1"/>
        <v>20308348.493708935</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09375" defaultRowHeight="13.8"/>
  <cols>
    <col min="1" max="1" width="10.5546875" style="4" bestFit="1" customWidth="1"/>
    <col min="2" max="2" width="63.6640625" style="4" bestFit="1" customWidth="1"/>
    <col min="3" max="3" width="13.6640625" style="192" customWidth="1"/>
    <col min="4" max="4" width="14.88671875" style="192" bestFit="1" customWidth="1"/>
    <col min="5" max="5" width="17.6640625" style="192" customWidth="1"/>
    <col min="6" max="6" width="15.88671875" style="192" customWidth="1"/>
    <col min="7" max="7" width="17.44140625" style="192" customWidth="1"/>
    <col min="8" max="8" width="15.33203125" style="192" customWidth="1"/>
    <col min="9" max="16384" width="9.109375" style="17"/>
  </cols>
  <sheetData>
    <row r="1" spans="1:9">
      <c r="A1" s="2" t="s">
        <v>30</v>
      </c>
      <c r="B1" s="546" t="str">
        <f>'1. key ratios '!B1</f>
        <v>JSC Isbank Georgia</v>
      </c>
      <c r="C1" s="3"/>
    </row>
    <row r="2" spans="1:9">
      <c r="A2" s="2" t="s">
        <v>31</v>
      </c>
      <c r="B2" s="547">
        <f>'1. key ratios '!B2</f>
        <v>45199</v>
      </c>
      <c r="C2" s="318"/>
    </row>
    <row r="4" spans="1:9" ht="14.4"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70" t="s">
        <v>149</v>
      </c>
      <c r="C6" s="872" t="s">
        <v>245</v>
      </c>
      <c r="D6" s="874" t="s">
        <v>244</v>
      </c>
      <c r="E6" s="875"/>
      <c r="F6" s="872" t="s">
        <v>249</v>
      </c>
      <c r="G6" s="872" t="s">
        <v>250</v>
      </c>
      <c r="H6" s="868" t="s">
        <v>248</v>
      </c>
    </row>
    <row r="7" spans="1:9" ht="41.4">
      <c r="A7" s="109"/>
      <c r="B7" s="871"/>
      <c r="C7" s="873"/>
      <c r="D7" s="196" t="s">
        <v>247</v>
      </c>
      <c r="E7" s="196" t="s">
        <v>246</v>
      </c>
      <c r="F7" s="873"/>
      <c r="G7" s="873"/>
      <c r="H7" s="869"/>
      <c r="I7" s="106"/>
    </row>
    <row r="8" spans="1:9">
      <c r="A8" s="107">
        <v>1</v>
      </c>
      <c r="B8" s="1" t="s">
        <v>51</v>
      </c>
      <c r="C8" s="197">
        <f>'11. CRWA '!C8+'11. CRWA '!E8+'11. CRWA '!G8+'11. CRWA '!I8+'11. CRWA '!K8+'11. CRWA '!M8+'11. CRWA '!O8+'11. CRWA '!Q8</f>
        <v>85927099.152133003</v>
      </c>
      <c r="D8" s="198"/>
      <c r="E8" s="197">
        <f>'11. CRWA '!D8+'11. CRWA '!F8+'11. CRWA '!H8+'11. CRWA '!J8+'11. CRWA '!L8+'11. CRWA '!N8+'11. CRWA '!P8+'11. CRWA '!R8</f>
        <v>0</v>
      </c>
      <c r="F8" s="197">
        <f>'11. CRWA '!S8</f>
        <v>76434919.223775208</v>
      </c>
      <c r="G8" s="199">
        <f>F8-'12. CRM'!V7</f>
        <v>76434919.223775208</v>
      </c>
      <c r="H8" s="706">
        <f>IFERROR(G8/(C8+E8),0)</f>
        <v>0.88953217294637177</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706">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706">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706">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706">
        <f t="shared" si="0"/>
        <v>0</v>
      </c>
    </row>
    <row r="13" spans="1:9">
      <c r="A13" s="107">
        <v>6</v>
      </c>
      <c r="B13" s="1" t="s">
        <v>55</v>
      </c>
      <c r="C13" s="197">
        <f>'11. CRWA '!C13+'11. CRWA '!E13+'11. CRWA '!G13+'11. CRWA '!I13+'11. CRWA '!K13+'11. CRWA '!M13+'11. CRWA '!O13+'11. CRWA '!Q13</f>
        <v>87780433.319896027</v>
      </c>
      <c r="D13" s="198">
        <f>'11. CRWA '!D13+'11. CRWA '!F13+'11. CRWA '!H13+'11. CRWA '!J13+'11. CRWA '!L13+'11. CRWA '!N13+'11. CRWA '!P13+'11. CRWA '!R13</f>
        <v>36627910.746859141</v>
      </c>
      <c r="E13" s="197">
        <f>'11. CRWA '!D13+'11. CRWA '!F13+'11. CRWA '!H13+'11. CRWA '!J13+'11. CRWA '!L13+'11. CRWA '!N13+'11. CRWA '!P13+'11. CRWA '!R13</f>
        <v>36627910.746859141</v>
      </c>
      <c r="F13" s="197">
        <f>'11. CRWA '!S13</f>
        <v>86216596.728807092</v>
      </c>
      <c r="G13" s="199">
        <f>F13-'12. CRM'!V12</f>
        <v>86216596.728807092</v>
      </c>
      <c r="H13" s="706">
        <f t="shared" si="0"/>
        <v>0.6930129757417629</v>
      </c>
    </row>
    <row r="14" spans="1:9">
      <c r="A14" s="107">
        <v>7</v>
      </c>
      <c r="B14" s="1" t="s">
        <v>56</v>
      </c>
      <c r="C14" s="197">
        <f>'11. CRWA '!C14+'11. CRWA '!E14+'11. CRWA '!G14+'11. CRWA '!I14+'11. CRWA '!K14+'11. CRWA '!M14+'11. CRWA '!O14+'11. CRWA '!Q14</f>
        <v>245111522.98539332</v>
      </c>
      <c r="D14" s="198">
        <f>'11. CRWA '!D14+'11. CRWA '!F14+'11. CRWA '!H14+'11. CRWA '!J14+'11. CRWA '!L14+'11. CRWA '!N14+'11. CRWA '!P14+'11. CRWA '!R14</f>
        <v>20957778.2088314</v>
      </c>
      <c r="E14" s="197">
        <f>'11. CRWA '!D14+'11. CRWA '!F14+'11. CRWA '!H14+'11. CRWA '!J14+'11. CRWA '!L14+'11. CRWA '!N14+'11. CRWA '!P14+'11. CRWA '!R14</f>
        <v>20957778.2088314</v>
      </c>
      <c r="F14" s="197">
        <f>'11. CRWA '!S14</f>
        <v>266069301.19422472</v>
      </c>
      <c r="G14" s="199">
        <f>F14-'12. CRM'!V13</f>
        <v>245933039.0301497</v>
      </c>
      <c r="H14" s="706">
        <f t="shared" si="0"/>
        <v>0.92431948340640779</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19182</v>
      </c>
      <c r="F15" s="197">
        <f>'11. CRWA '!S15</f>
        <v>19182</v>
      </c>
      <c r="G15" s="199">
        <f>F15-'12. CRM'!V14</f>
        <v>19182</v>
      </c>
      <c r="H15" s="706">
        <f t="shared" si="0"/>
        <v>1</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706">
        <f t="shared" si="0"/>
        <v>0</v>
      </c>
    </row>
    <row r="17" spans="1:8">
      <c r="A17" s="107">
        <v>10</v>
      </c>
      <c r="B17" s="1" t="s">
        <v>59</v>
      </c>
      <c r="C17" s="197">
        <f>'11. CRWA '!C17+'11. CRWA '!E17+'11. CRWA '!G17+'11. CRWA '!I17+'11. CRWA '!K17+'11. CRWA '!M17+'11. CRWA '!O17+'11. CRWA '!Q17</f>
        <v>96166.460206131189</v>
      </c>
      <c r="D17" s="198"/>
      <c r="E17" s="197">
        <f>'11. CRWA '!D17+'11. CRWA '!F17+'11. CRWA '!H17+'11. CRWA '!J17+'11. CRWA '!L17+'11. CRWA '!N17+'11. CRWA '!P17+'11. CRWA '!R17</f>
        <v>0</v>
      </c>
      <c r="F17" s="197">
        <f>'11. CRWA '!S17</f>
        <v>96166.460206131189</v>
      </c>
      <c r="G17" s="199">
        <f>F17-'12. CRM'!V16</f>
        <v>96166.460206131189</v>
      </c>
      <c r="H17" s="706">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706">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706">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706">
        <f t="shared" si="0"/>
        <v>0</v>
      </c>
    </row>
    <row r="21" spans="1:8">
      <c r="A21" s="107">
        <v>14</v>
      </c>
      <c r="B21" s="1" t="s">
        <v>63</v>
      </c>
      <c r="C21" s="197">
        <f>'11. CRWA '!C21+'11. CRWA '!E21+'11. CRWA '!G21+'11. CRWA '!I21+'11. CRWA '!K21+'11. CRWA '!M21+'11. CRWA '!O21+'11. CRWA '!Q21</f>
        <v>24548548.605598822</v>
      </c>
      <c r="D21" s="198"/>
      <c r="E21" s="197">
        <f>'11. CRWA '!D21+'11. CRWA '!F21+'11. CRWA '!H21+'11. CRWA '!J21+'11. CRWA '!L21+'11. CRWA '!N21+'11. CRWA '!P21+'11. CRWA '!R21</f>
        <v>0</v>
      </c>
      <c r="F21" s="197">
        <f>'11. CRWA '!S21</f>
        <v>22278077.826498821</v>
      </c>
      <c r="G21" s="199">
        <f>F21-'12. CRM'!V20</f>
        <v>22105991.496864889</v>
      </c>
      <c r="H21" s="706">
        <f t="shared" si="0"/>
        <v>0.90050095637112915</v>
      </c>
    </row>
    <row r="22" spans="1:8" ht="14.4" thickBot="1">
      <c r="A22" s="110"/>
      <c r="B22" s="111" t="s">
        <v>64</v>
      </c>
      <c r="C22" s="708">
        <f>SUM(C8:C21)</f>
        <v>443463770.52322733</v>
      </c>
      <c r="D22" s="708">
        <f>SUM(D8:D21)</f>
        <v>57585688.95569054</v>
      </c>
      <c r="E22" s="708">
        <f>SUM(E8:E21)</f>
        <v>57604870.95569054</v>
      </c>
      <c r="F22" s="708">
        <f>SUM(F8:F21)</f>
        <v>451114243.43351197</v>
      </c>
      <c r="G22" s="708">
        <f>SUM(G8:G21)</f>
        <v>430805894.93980306</v>
      </c>
      <c r="H22" s="707">
        <f>G22/(C22+E22)</f>
        <v>0.85977420911487812</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09375" defaultRowHeight="13.8"/>
  <cols>
    <col min="1" max="1" width="10.5546875" style="192" bestFit="1" customWidth="1"/>
    <col min="2" max="2" width="104.109375" style="192" customWidth="1"/>
    <col min="3" max="11" width="12.6640625" style="192" customWidth="1"/>
    <col min="12" max="16384" width="9.109375" style="192"/>
  </cols>
  <sheetData>
    <row r="1" spans="1:11">
      <c r="A1" s="192" t="s">
        <v>30</v>
      </c>
      <c r="B1" s="546" t="str">
        <f>'1. key ratios '!B1</f>
        <v>JSC Isbank Georgia</v>
      </c>
    </row>
    <row r="2" spans="1:11">
      <c r="A2" s="192" t="s">
        <v>31</v>
      </c>
      <c r="B2" s="547">
        <f>'1. key ratios '!B2</f>
        <v>45199</v>
      </c>
      <c r="C2" s="209"/>
      <c r="D2" s="209"/>
    </row>
    <row r="3" spans="1:11">
      <c r="B3" s="209"/>
      <c r="C3" s="209"/>
      <c r="D3" s="209"/>
    </row>
    <row r="4" spans="1:11" ht="14.4" thickBot="1">
      <c r="A4" s="192" t="s">
        <v>146</v>
      </c>
      <c r="B4" s="236" t="s">
        <v>253</v>
      </c>
      <c r="C4" s="209"/>
      <c r="D4" s="209"/>
    </row>
    <row r="5" spans="1:11" ht="30" customHeight="1">
      <c r="A5" s="876"/>
      <c r="B5" s="877"/>
      <c r="C5" s="878" t="s">
        <v>305</v>
      </c>
      <c r="D5" s="878"/>
      <c r="E5" s="878"/>
      <c r="F5" s="878" t="s">
        <v>306</v>
      </c>
      <c r="G5" s="878"/>
      <c r="H5" s="878"/>
      <c r="I5" s="878" t="s">
        <v>307</v>
      </c>
      <c r="J5" s="878"/>
      <c r="K5" s="879"/>
    </row>
    <row r="6" spans="1:11">
      <c r="A6" s="210"/>
      <c r="B6" s="211"/>
      <c r="C6" s="323" t="s">
        <v>32</v>
      </c>
      <c r="D6" s="709" t="s">
        <v>33</v>
      </c>
      <c r="E6" s="710" t="s">
        <v>34</v>
      </c>
      <c r="F6" s="323" t="s">
        <v>32</v>
      </c>
      <c r="G6" s="709" t="s">
        <v>33</v>
      </c>
      <c r="H6" s="710" t="s">
        <v>34</v>
      </c>
      <c r="I6" s="711" t="s">
        <v>32</v>
      </c>
      <c r="J6" s="709" t="s">
        <v>33</v>
      </c>
      <c r="K6" s="709" t="s">
        <v>34</v>
      </c>
    </row>
    <row r="7" spans="1:11">
      <c r="A7" s="212" t="s">
        <v>256</v>
      </c>
      <c r="B7" s="213"/>
      <c r="C7" s="712"/>
      <c r="D7" s="713"/>
      <c r="E7" s="214"/>
      <c r="F7" s="712"/>
      <c r="G7" s="713"/>
      <c r="H7" s="214"/>
      <c r="I7" s="713"/>
      <c r="J7" s="713"/>
      <c r="K7" s="214"/>
    </row>
    <row r="8" spans="1:11">
      <c r="A8" s="215">
        <v>1</v>
      </c>
      <c r="B8" s="216" t="s">
        <v>254</v>
      </c>
      <c r="C8" s="714"/>
      <c r="D8" s="217"/>
      <c r="E8" s="715"/>
      <c r="F8" s="716">
        <v>40594387.344826244</v>
      </c>
      <c r="G8" s="717">
        <v>74400334.993472919</v>
      </c>
      <c r="H8" s="718">
        <f>G8+F8</f>
        <v>114994722.33829916</v>
      </c>
      <c r="I8" s="719">
        <v>26763013.450920109</v>
      </c>
      <c r="J8" s="717">
        <v>48234747.926150888</v>
      </c>
      <c r="K8" s="718">
        <f>I8+J8</f>
        <v>74997761.377070993</v>
      </c>
    </row>
    <row r="9" spans="1:11">
      <c r="A9" s="212" t="s">
        <v>257</v>
      </c>
      <c r="B9" s="213"/>
      <c r="C9" s="712"/>
      <c r="D9" s="713"/>
      <c r="E9" s="214"/>
      <c r="F9" s="712"/>
      <c r="G9" s="713"/>
      <c r="H9" s="214"/>
      <c r="I9" s="713"/>
      <c r="J9" s="713"/>
      <c r="K9" s="214"/>
    </row>
    <row r="10" spans="1:11">
      <c r="A10" s="218">
        <v>2</v>
      </c>
      <c r="B10" s="219" t="s">
        <v>265</v>
      </c>
      <c r="C10" s="716">
        <v>5028875.3954139212</v>
      </c>
      <c r="D10" s="720">
        <v>16851825.588849813</v>
      </c>
      <c r="E10" s="718">
        <f>C10+D10</f>
        <v>21880700.984263733</v>
      </c>
      <c r="F10" s="716">
        <v>1464773.3613743579</v>
      </c>
      <c r="G10" s="720">
        <v>4431919.587988466</v>
      </c>
      <c r="H10" s="718">
        <f>G10+F10</f>
        <v>5896692.9493628237</v>
      </c>
      <c r="I10" s="719">
        <v>379382.88426373602</v>
      </c>
      <c r="J10" s="720">
        <v>1236629.0965915751</v>
      </c>
      <c r="K10" s="718">
        <f>I10+J10</f>
        <v>1616011.980855311</v>
      </c>
    </row>
    <row r="11" spans="1:11">
      <c r="A11" s="218">
        <v>3</v>
      </c>
      <c r="B11" s="219" t="s">
        <v>259</v>
      </c>
      <c r="C11" s="716">
        <v>31963191.84893769</v>
      </c>
      <c r="D11" s="720">
        <v>195411661.07641053</v>
      </c>
      <c r="E11" s="718">
        <f t="shared" ref="E11:E16" si="0">C11+D11</f>
        <v>227374852.92534822</v>
      </c>
      <c r="F11" s="721">
        <v>16216212.57362088</v>
      </c>
      <c r="G11" s="719">
        <v>57556229.857155688</v>
      </c>
      <c r="H11" s="718">
        <f t="shared" ref="H11:H16" si="1">G11+F11</f>
        <v>73772442.430776566</v>
      </c>
      <c r="I11" s="721">
        <v>13191572.248780953</v>
      </c>
      <c r="J11" s="719">
        <v>50306857.195731089</v>
      </c>
      <c r="K11" s="718">
        <f t="shared" ref="K11:K16" si="2">I11+J11</f>
        <v>63498429.444512039</v>
      </c>
    </row>
    <row r="12" spans="1:11">
      <c r="A12" s="218">
        <v>4</v>
      </c>
      <c r="B12" s="219" t="s">
        <v>260</v>
      </c>
      <c r="C12" s="722"/>
      <c r="D12" s="723"/>
      <c r="E12" s="718">
        <f t="shared" si="0"/>
        <v>0</v>
      </c>
      <c r="F12" s="722"/>
      <c r="G12" s="723"/>
      <c r="H12" s="718">
        <f t="shared" si="1"/>
        <v>0</v>
      </c>
      <c r="I12" s="724"/>
      <c r="J12" s="723"/>
      <c r="K12" s="718">
        <f t="shared" si="2"/>
        <v>0</v>
      </c>
    </row>
    <row r="13" spans="1:11">
      <c r="A13" s="218">
        <v>5</v>
      </c>
      <c r="B13" s="219" t="s">
        <v>268</v>
      </c>
      <c r="C13" s="716">
        <v>45704513.58183156</v>
      </c>
      <c r="D13" s="720">
        <v>51456214.223919421</v>
      </c>
      <c r="E13" s="718">
        <f t="shared" si="0"/>
        <v>97160727.805750981</v>
      </c>
      <c r="F13" s="716">
        <v>4576121.8507472631</v>
      </c>
      <c r="G13" s="720">
        <v>5281244.5748296697</v>
      </c>
      <c r="H13" s="718">
        <f t="shared" si="1"/>
        <v>9857366.4255769327</v>
      </c>
      <c r="I13" s="719">
        <v>2285290.1264249063</v>
      </c>
      <c r="J13" s="720">
        <v>2572810.7111959709</v>
      </c>
      <c r="K13" s="718">
        <f t="shared" si="2"/>
        <v>4858100.8376208767</v>
      </c>
    </row>
    <row r="14" spans="1:11">
      <c r="A14" s="218">
        <v>6</v>
      </c>
      <c r="B14" s="219" t="s">
        <v>300</v>
      </c>
      <c r="C14" s="722"/>
      <c r="D14" s="723"/>
      <c r="E14" s="718">
        <f t="shared" si="0"/>
        <v>0</v>
      </c>
      <c r="F14" s="722"/>
      <c r="G14" s="723"/>
      <c r="H14" s="718">
        <f t="shared" si="1"/>
        <v>0</v>
      </c>
      <c r="I14" s="724"/>
      <c r="J14" s="723"/>
      <c r="K14" s="718">
        <f t="shared" si="2"/>
        <v>0</v>
      </c>
    </row>
    <row r="15" spans="1:11">
      <c r="A15" s="218">
        <v>7</v>
      </c>
      <c r="B15" s="219" t="s">
        <v>301</v>
      </c>
      <c r="C15" s="716">
        <v>3058810.5842857105</v>
      </c>
      <c r="D15" s="720">
        <v>1891663.3420146508</v>
      </c>
      <c r="E15" s="718">
        <f t="shared" si="0"/>
        <v>4950473.9263003618</v>
      </c>
      <c r="F15" s="716">
        <v>0</v>
      </c>
      <c r="G15" s="720">
        <v>338949.75882783881</v>
      </c>
      <c r="H15" s="718">
        <f t="shared" si="1"/>
        <v>338949.75882783881</v>
      </c>
      <c r="I15" s="719">
        <v>0</v>
      </c>
      <c r="J15" s="720">
        <v>338552.87501831498</v>
      </c>
      <c r="K15" s="718">
        <f t="shared" si="2"/>
        <v>338552.87501831498</v>
      </c>
    </row>
    <row r="16" spans="1:11">
      <c r="A16" s="218">
        <v>8</v>
      </c>
      <c r="B16" s="220" t="s">
        <v>261</v>
      </c>
      <c r="C16" s="725">
        <f>SUM(C10:C15)</f>
        <v>85755391.410468876</v>
      </c>
      <c r="D16" s="726">
        <f>SUM(D10:D15)</f>
        <v>265611364.23119441</v>
      </c>
      <c r="E16" s="718">
        <f t="shared" si="0"/>
        <v>351366755.64166331</v>
      </c>
      <c r="F16" s="727">
        <f>SUM(F10:F15)</f>
        <v>22257107.785742499</v>
      </c>
      <c r="G16" s="728">
        <f>SUM(G10:G15)</f>
        <v>67608343.778801665</v>
      </c>
      <c r="H16" s="718">
        <f t="shared" si="1"/>
        <v>89865451.564544171</v>
      </c>
      <c r="I16" s="726">
        <f>SUM(I10:I15)</f>
        <v>15856245.259469595</v>
      </c>
      <c r="J16" s="728">
        <f>SUM(J10:J15)</f>
        <v>54454849.878536947</v>
      </c>
      <c r="K16" s="718">
        <f t="shared" si="2"/>
        <v>70311095.138006538</v>
      </c>
    </row>
    <row r="17" spans="1:11">
      <c r="A17" s="212" t="s">
        <v>258</v>
      </c>
      <c r="B17" s="213"/>
      <c r="C17" s="712"/>
      <c r="D17" s="713"/>
      <c r="E17" s="214"/>
      <c r="F17" s="712"/>
      <c r="G17" s="713"/>
      <c r="H17" s="214"/>
      <c r="I17" s="713"/>
      <c r="J17" s="713"/>
      <c r="K17" s="214"/>
    </row>
    <row r="18" spans="1:11">
      <c r="A18" s="218">
        <v>9</v>
      </c>
      <c r="B18" s="219" t="s">
        <v>264</v>
      </c>
      <c r="C18" s="722"/>
      <c r="D18" s="723"/>
      <c r="E18" s="718">
        <f>C18+D18</f>
        <v>0</v>
      </c>
      <c r="F18" s="722"/>
      <c r="G18" s="723"/>
      <c r="H18" s="718">
        <f>F18+G18</f>
        <v>0</v>
      </c>
      <c r="I18" s="724"/>
      <c r="J18" s="723"/>
      <c r="K18" s="718">
        <f>I18+J18</f>
        <v>0</v>
      </c>
    </row>
    <row r="19" spans="1:11">
      <c r="A19" s="218">
        <v>10</v>
      </c>
      <c r="B19" s="219" t="s">
        <v>302</v>
      </c>
      <c r="C19" s="716">
        <v>116506411.5331808</v>
      </c>
      <c r="D19" s="720">
        <v>140514902.01946452</v>
      </c>
      <c r="E19" s="718">
        <f t="shared" ref="E19:E21" si="3">C19+D19</f>
        <v>257021313.55264533</v>
      </c>
      <c r="F19" s="716">
        <v>16092939.223213863</v>
      </c>
      <c r="G19" s="720">
        <v>4037454.3228023681</v>
      </c>
      <c r="H19" s="718">
        <f t="shared" ref="H19:H21" si="4">F19+G19</f>
        <v>20130393.546016231</v>
      </c>
      <c r="I19" s="719">
        <v>29527938.12723216</v>
      </c>
      <c r="J19" s="720">
        <v>40048207.314062312</v>
      </c>
      <c r="K19" s="718">
        <f t="shared" ref="K19:K21" si="5">I19+J19</f>
        <v>69576145.441294476</v>
      </c>
    </row>
    <row r="20" spans="1:11">
      <c r="A20" s="218">
        <v>11</v>
      </c>
      <c r="B20" s="219" t="s">
        <v>263</v>
      </c>
      <c r="C20" s="721">
        <v>8852560.7773753162</v>
      </c>
      <c r="D20" s="729">
        <v>12613218.837114811</v>
      </c>
      <c r="E20" s="718">
        <f t="shared" si="3"/>
        <v>21465779.614490129</v>
      </c>
      <c r="F20" s="721">
        <v>747431.4459268091</v>
      </c>
      <c r="G20" s="729">
        <v>141792.21608679852</v>
      </c>
      <c r="H20" s="718">
        <f t="shared" si="4"/>
        <v>889223.66201360757</v>
      </c>
      <c r="I20" s="730">
        <v>1790567.6845834309</v>
      </c>
      <c r="J20" s="729">
        <v>197603.35478874363</v>
      </c>
      <c r="K20" s="718">
        <f t="shared" si="5"/>
        <v>1988171.0393721745</v>
      </c>
    </row>
    <row r="21" spans="1:11" ht="14.4" thickBot="1">
      <c r="A21" s="221">
        <v>12</v>
      </c>
      <c r="B21" s="222" t="s">
        <v>262</v>
      </c>
      <c r="C21" s="731">
        <f>SUM(C18:C20)</f>
        <v>125358972.31055611</v>
      </c>
      <c r="D21" s="732">
        <f>SUM(D18:D20)</f>
        <v>153128120.85657933</v>
      </c>
      <c r="E21" s="733">
        <f t="shared" si="3"/>
        <v>278487093.16713548</v>
      </c>
      <c r="F21" s="734">
        <f>SUM(F18:F20)</f>
        <v>16840370.66914067</v>
      </c>
      <c r="G21" s="735">
        <f>SUM(G18:G20)</f>
        <v>4179246.5388891664</v>
      </c>
      <c r="H21" s="733">
        <f t="shared" si="4"/>
        <v>21019617.208029836</v>
      </c>
      <c r="I21" s="732">
        <f>SUM(I18:I20)</f>
        <v>31318505.81181559</v>
      </c>
      <c r="J21" s="735">
        <f>SUM(J18:J20)</f>
        <v>40245810.668851055</v>
      </c>
      <c r="K21" s="733">
        <f t="shared" si="5"/>
        <v>71564316.480666637</v>
      </c>
    </row>
    <row r="22" spans="1:11" ht="38.25" customHeight="1" thickBot="1">
      <c r="A22" s="223"/>
      <c r="B22" s="224"/>
      <c r="C22" s="224"/>
      <c r="D22" s="224"/>
      <c r="E22" s="224"/>
      <c r="F22" s="880" t="s">
        <v>304</v>
      </c>
      <c r="G22" s="878"/>
      <c r="H22" s="878"/>
      <c r="I22" s="880" t="s">
        <v>269</v>
      </c>
      <c r="J22" s="878"/>
      <c r="K22" s="879"/>
    </row>
    <row r="23" spans="1:11">
      <c r="A23" s="225">
        <v>13</v>
      </c>
      <c r="B23" s="226" t="s">
        <v>254</v>
      </c>
      <c r="C23" s="227"/>
      <c r="D23" s="227"/>
      <c r="E23" s="227"/>
      <c r="F23" s="736">
        <f>F8</f>
        <v>40594387.344826244</v>
      </c>
      <c r="G23" s="737">
        <f>G8</f>
        <v>74400334.993472919</v>
      </c>
      <c r="H23" s="738">
        <f>F23+G23</f>
        <v>114994722.33829916</v>
      </c>
      <c r="I23" s="736">
        <f>I8</f>
        <v>26763013.450920109</v>
      </c>
      <c r="J23" s="737">
        <f>J8</f>
        <v>48234747.926150888</v>
      </c>
      <c r="K23" s="738">
        <f>I23+J23</f>
        <v>74997761.377070993</v>
      </c>
    </row>
    <row r="24" spans="1:11" ht="14.4" thickBot="1">
      <c r="A24" s="228">
        <v>14</v>
      </c>
      <c r="B24" s="229" t="s">
        <v>266</v>
      </c>
      <c r="C24" s="230"/>
      <c r="D24" s="231"/>
      <c r="E24" s="232"/>
      <c r="F24" s="740">
        <f>F16-MIN(F16*75%,F21)</f>
        <v>5564276.9464356247</v>
      </c>
      <c r="G24" s="741">
        <f>G16-MIN(G16*75%,G21)</f>
        <v>63429097.239912495</v>
      </c>
      <c r="H24" s="739">
        <f>F24+G24</f>
        <v>68993374.186348125</v>
      </c>
      <c r="I24" s="740">
        <f>I16-MIN(I16*75%,I21)</f>
        <v>3964061.3148673996</v>
      </c>
      <c r="J24" s="741">
        <f>J16-MIN(J16*75%,J21)</f>
        <v>14209039.209685892</v>
      </c>
      <c r="K24" s="739">
        <f t="shared" ref="K24" si="6">I24+J24</f>
        <v>18173100.524553291</v>
      </c>
    </row>
    <row r="25" spans="1:11" ht="14.4" thickBot="1">
      <c r="A25" s="233">
        <v>15</v>
      </c>
      <c r="B25" s="234" t="s">
        <v>267</v>
      </c>
      <c r="C25" s="235"/>
      <c r="D25" s="235"/>
      <c r="E25" s="235"/>
      <c r="F25" s="742">
        <f t="shared" ref="F25:G25" si="7">F23/F24</f>
        <v>7.2955368209755038</v>
      </c>
      <c r="G25" s="743">
        <f t="shared" si="7"/>
        <v>1.1729685307054445</v>
      </c>
      <c r="H25" s="744">
        <f>H23/H24</f>
        <v>1.6667502306482849</v>
      </c>
      <c r="I25" s="742">
        <f t="shared" ref="I25:J25" si="8">I23/I24</f>
        <v>6.7514125855077367</v>
      </c>
      <c r="J25" s="743">
        <f t="shared" si="8"/>
        <v>3.394652320564409</v>
      </c>
      <c r="K25" s="744">
        <f>K23/K24</f>
        <v>4.1268555839298369</v>
      </c>
    </row>
    <row r="27" spans="1:11" ht="27">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109375" style="17"/>
  </cols>
  <sheetData>
    <row r="1" spans="1:14">
      <c r="A1" s="4" t="s">
        <v>30</v>
      </c>
      <c r="B1" s="546" t="str">
        <f>'1. key ratios '!B1</f>
        <v>JSC Isbank Georgia</v>
      </c>
    </row>
    <row r="2" spans="1:14" ht="14.25" customHeight="1">
      <c r="A2" s="4" t="s">
        <v>31</v>
      </c>
      <c r="B2" s="547">
        <f>'1. key ratios '!B2</f>
        <v>45199</v>
      </c>
    </row>
    <row r="3" spans="1:14" ht="14.25" customHeight="1"/>
    <row r="4" spans="1:14" ht="13.8"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6.4">
      <c r="A6" s="118"/>
      <c r="B6" s="119"/>
      <c r="C6" s="120" t="s">
        <v>161</v>
      </c>
      <c r="D6" s="121" t="s">
        <v>160</v>
      </c>
      <c r="E6" s="122" t="s">
        <v>159</v>
      </c>
      <c r="F6" s="123">
        <v>0</v>
      </c>
      <c r="G6" s="123">
        <v>0.2</v>
      </c>
      <c r="H6" s="123">
        <v>0.35</v>
      </c>
      <c r="I6" s="123">
        <v>0.5</v>
      </c>
      <c r="J6" s="123">
        <v>0.75</v>
      </c>
      <c r="K6" s="123">
        <v>1</v>
      </c>
      <c r="L6" s="123">
        <v>1.5</v>
      </c>
      <c r="M6" s="123">
        <v>2.5</v>
      </c>
      <c r="N6" s="162" t="s">
        <v>168</v>
      </c>
    </row>
    <row r="7" spans="1:14" ht="13.8">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3.8">
      <c r="A8" s="124">
        <v>1.1000000000000001</v>
      </c>
      <c r="B8" s="130" t="s">
        <v>156</v>
      </c>
      <c r="C8" s="128">
        <v>0</v>
      </c>
      <c r="D8" s="131">
        <v>0.02</v>
      </c>
      <c r="E8" s="127">
        <f>C8*D8</f>
        <v>0</v>
      </c>
      <c r="F8" s="128"/>
      <c r="G8" s="128"/>
      <c r="H8" s="128"/>
      <c r="I8" s="128"/>
      <c r="J8" s="128"/>
      <c r="K8" s="128"/>
      <c r="L8" s="128"/>
      <c r="M8" s="128"/>
      <c r="N8" s="129">
        <f>SUMPRODUCT($F$6:$M$6,F8:M8)</f>
        <v>0</v>
      </c>
    </row>
    <row r="9" spans="1:14" ht="13.8">
      <c r="A9" s="124">
        <v>1.2</v>
      </c>
      <c r="B9" s="130" t="s">
        <v>155</v>
      </c>
      <c r="C9" s="128">
        <v>0</v>
      </c>
      <c r="D9" s="131">
        <v>0.05</v>
      </c>
      <c r="E9" s="127">
        <f>C9*D9</f>
        <v>0</v>
      </c>
      <c r="F9" s="128"/>
      <c r="G9" s="128"/>
      <c r="H9" s="128"/>
      <c r="I9" s="128"/>
      <c r="J9" s="128"/>
      <c r="K9" s="128"/>
      <c r="L9" s="128"/>
      <c r="M9" s="128"/>
      <c r="N9" s="129">
        <f t="shared" ref="N9:N12" si="1">SUMPRODUCT($F$6:$M$6,F9:M9)</f>
        <v>0</v>
      </c>
    </row>
    <row r="10" spans="1:14" ht="13.8">
      <c r="A10" s="124">
        <v>1.3</v>
      </c>
      <c r="B10" s="130" t="s">
        <v>154</v>
      </c>
      <c r="C10" s="128">
        <v>0</v>
      </c>
      <c r="D10" s="131">
        <v>0.08</v>
      </c>
      <c r="E10" s="127">
        <f>C10*D10</f>
        <v>0</v>
      </c>
      <c r="F10" s="128"/>
      <c r="G10" s="128"/>
      <c r="H10" s="128"/>
      <c r="I10" s="128"/>
      <c r="J10" s="128"/>
      <c r="K10" s="128"/>
      <c r="L10" s="128"/>
      <c r="M10" s="128"/>
      <c r="N10" s="129">
        <f>SUMPRODUCT($F$6:$M$6,F10:M10)</f>
        <v>0</v>
      </c>
    </row>
    <row r="11" spans="1:14" ht="13.8">
      <c r="A11" s="124">
        <v>1.4</v>
      </c>
      <c r="B11" s="130" t="s">
        <v>153</v>
      </c>
      <c r="C11" s="128">
        <v>0</v>
      </c>
      <c r="D11" s="131">
        <v>0.11</v>
      </c>
      <c r="E11" s="127">
        <f>C11*D11</f>
        <v>0</v>
      </c>
      <c r="F11" s="128"/>
      <c r="G11" s="128"/>
      <c r="H11" s="128"/>
      <c r="I11" s="128"/>
      <c r="J11" s="128"/>
      <c r="K11" s="128"/>
      <c r="L11" s="128"/>
      <c r="M11" s="128"/>
      <c r="N11" s="129">
        <f t="shared" si="1"/>
        <v>0</v>
      </c>
    </row>
    <row r="12" spans="1:14" ht="13.8">
      <c r="A12" s="124">
        <v>1.5</v>
      </c>
      <c r="B12" s="130" t="s">
        <v>152</v>
      </c>
      <c r="C12" s="128">
        <v>0</v>
      </c>
      <c r="D12" s="131">
        <v>0.14000000000000001</v>
      </c>
      <c r="E12" s="127">
        <f>C12*D12</f>
        <v>0</v>
      </c>
      <c r="F12" s="128"/>
      <c r="G12" s="128"/>
      <c r="H12" s="128"/>
      <c r="I12" s="128"/>
      <c r="J12" s="128"/>
      <c r="K12" s="128"/>
      <c r="L12" s="128"/>
      <c r="M12" s="128"/>
      <c r="N12" s="129">
        <f t="shared" si="1"/>
        <v>0</v>
      </c>
    </row>
    <row r="13" spans="1:14" ht="13.8">
      <c r="A13" s="124">
        <v>1.6</v>
      </c>
      <c r="B13" s="132" t="s">
        <v>151</v>
      </c>
      <c r="C13" s="128">
        <v>0</v>
      </c>
      <c r="D13" s="133"/>
      <c r="E13" s="128"/>
      <c r="F13" s="128"/>
      <c r="G13" s="128"/>
      <c r="H13" s="128"/>
      <c r="I13" s="128"/>
      <c r="J13" s="128"/>
      <c r="K13" s="128"/>
      <c r="L13" s="128"/>
      <c r="M13" s="128"/>
      <c r="N13" s="129">
        <f>SUMPRODUCT($F$6:$M$6,F13:M13)</f>
        <v>0</v>
      </c>
    </row>
    <row r="14" spans="1:14" ht="13.8">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3.8">
      <c r="A15" s="124">
        <v>2.1</v>
      </c>
      <c r="B15" s="132" t="s">
        <v>156</v>
      </c>
      <c r="C15" s="128"/>
      <c r="D15" s="131">
        <v>5.0000000000000001E-3</v>
      </c>
      <c r="E15" s="127">
        <f>C15*D15</f>
        <v>0</v>
      </c>
      <c r="F15" s="128"/>
      <c r="G15" s="128"/>
      <c r="H15" s="128"/>
      <c r="I15" s="128"/>
      <c r="J15" s="128"/>
      <c r="K15" s="128"/>
      <c r="L15" s="128"/>
      <c r="M15" s="128"/>
      <c r="N15" s="129">
        <f>SUMPRODUCT($F$6:$M$6,F15:M15)</f>
        <v>0</v>
      </c>
    </row>
    <row r="16" spans="1:14" ht="13.8">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3.8">
      <c r="A17" s="124">
        <v>2.2999999999999998</v>
      </c>
      <c r="B17" s="132" t="s">
        <v>154</v>
      </c>
      <c r="C17" s="128"/>
      <c r="D17" s="131">
        <v>0.02</v>
      </c>
      <c r="E17" s="127">
        <f>C17*D17</f>
        <v>0</v>
      </c>
      <c r="F17" s="128"/>
      <c r="G17" s="128"/>
      <c r="H17" s="128"/>
      <c r="I17" s="128"/>
      <c r="J17" s="128"/>
      <c r="K17" s="128"/>
      <c r="L17" s="128"/>
      <c r="M17" s="128"/>
      <c r="N17" s="129">
        <f t="shared" si="3"/>
        <v>0</v>
      </c>
    </row>
    <row r="18" spans="1:14" ht="13.8">
      <c r="A18" s="124">
        <v>2.4</v>
      </c>
      <c r="B18" s="132" t="s">
        <v>153</v>
      </c>
      <c r="C18" s="128"/>
      <c r="D18" s="131">
        <v>0.03</v>
      </c>
      <c r="E18" s="127">
        <f>C18*D18</f>
        <v>0</v>
      </c>
      <c r="F18" s="128"/>
      <c r="G18" s="128"/>
      <c r="H18" s="128"/>
      <c r="I18" s="128"/>
      <c r="J18" s="128"/>
      <c r="K18" s="128"/>
      <c r="L18" s="128"/>
      <c r="M18" s="128"/>
      <c r="N18" s="129">
        <f t="shared" si="3"/>
        <v>0</v>
      </c>
    </row>
    <row r="19" spans="1:14" ht="13.8">
      <c r="A19" s="124">
        <v>2.5</v>
      </c>
      <c r="B19" s="132" t="s">
        <v>152</v>
      </c>
      <c r="C19" s="128"/>
      <c r="D19" s="131">
        <v>0.04</v>
      </c>
      <c r="E19" s="127">
        <f>C19*D19</f>
        <v>0</v>
      </c>
      <c r="F19" s="128"/>
      <c r="G19" s="128"/>
      <c r="H19" s="128"/>
      <c r="I19" s="128"/>
      <c r="J19" s="128"/>
      <c r="K19" s="128"/>
      <c r="L19" s="128"/>
      <c r="M19" s="128"/>
      <c r="N19" s="129">
        <f t="shared" si="3"/>
        <v>0</v>
      </c>
    </row>
    <row r="20" spans="1:14" ht="13.8">
      <c r="A20" s="124">
        <v>2.6</v>
      </c>
      <c r="B20" s="132" t="s">
        <v>151</v>
      </c>
      <c r="C20" s="128"/>
      <c r="D20" s="133"/>
      <c r="E20" s="135"/>
      <c r="F20" s="128"/>
      <c r="G20" s="128"/>
      <c r="H20" s="128"/>
      <c r="I20" s="128"/>
      <c r="J20" s="128"/>
      <c r="K20" s="128"/>
      <c r="L20" s="128"/>
      <c r="M20" s="128"/>
      <c r="N20" s="129">
        <f t="shared" si="3"/>
        <v>0</v>
      </c>
    </row>
    <row r="21" spans="1:14" ht="14.4"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4" sqref="B4"/>
    </sheetView>
  </sheetViews>
  <sheetFormatPr defaultRowHeight="14.4"/>
  <cols>
    <col min="1" max="1" width="11.44140625" customWidth="1"/>
    <col min="2" max="2" width="76.88671875" style="258" customWidth="1"/>
    <col min="3" max="3" width="22.88671875" customWidth="1"/>
  </cols>
  <sheetData>
    <row r="1" spans="1:3">
      <c r="A1" s="2" t="s">
        <v>30</v>
      </c>
      <c r="B1" s="546" t="str">
        <f>'1. key ratios '!B1</f>
        <v>JSC Isbank Georgia</v>
      </c>
    </row>
    <row r="2" spans="1:3">
      <c r="A2" s="2" t="s">
        <v>31</v>
      </c>
      <c r="B2" s="547">
        <f>'1. key ratios '!B2</f>
        <v>45199</v>
      </c>
    </row>
    <row r="3" spans="1:3">
      <c r="A3" s="4"/>
      <c r="B3"/>
    </row>
    <row r="4" spans="1:3">
      <c r="A4" s="4" t="s">
        <v>308</v>
      </c>
      <c r="B4" t="s">
        <v>309</v>
      </c>
    </row>
    <row r="5" spans="1:3">
      <c r="A5" s="259" t="s">
        <v>310</v>
      </c>
      <c r="B5" s="260"/>
      <c r="C5" s="261"/>
    </row>
    <row r="6" spans="1:3">
      <c r="A6" s="262">
        <v>1</v>
      </c>
      <c r="B6" s="263" t="s">
        <v>357</v>
      </c>
      <c r="C6" s="264">
        <v>443641418.84250951</v>
      </c>
    </row>
    <row r="7" spans="1:3">
      <c r="A7" s="262">
        <v>2</v>
      </c>
      <c r="B7" s="263" t="s">
        <v>311</v>
      </c>
      <c r="C7" s="264">
        <v>177648.31928219183</v>
      </c>
    </row>
    <row r="8" spans="1:3" ht="24">
      <c r="A8" s="265">
        <v>3</v>
      </c>
      <c r="B8" s="266" t="s">
        <v>312</v>
      </c>
      <c r="C8" s="264">
        <f>C6+C7</f>
        <v>443819067.16179168</v>
      </c>
    </row>
    <row r="9" spans="1:3">
      <c r="A9" s="259" t="s">
        <v>313</v>
      </c>
      <c r="B9" s="260"/>
      <c r="C9" s="267"/>
    </row>
    <row r="10" spans="1:3">
      <c r="A10" s="268">
        <v>4</v>
      </c>
      <c r="B10" s="269" t="s">
        <v>314</v>
      </c>
      <c r="C10" s="264"/>
    </row>
    <row r="11" spans="1:3">
      <c r="A11" s="268">
        <v>5</v>
      </c>
      <c r="B11" s="270" t="s">
        <v>315</v>
      </c>
      <c r="C11" s="264"/>
    </row>
    <row r="12" spans="1:3">
      <c r="A12" s="268" t="s">
        <v>316</v>
      </c>
      <c r="B12" s="270" t="s">
        <v>317</v>
      </c>
      <c r="C12" s="264"/>
    </row>
    <row r="13" spans="1:3" ht="22.8">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c r="A20" s="281">
        <v>12</v>
      </c>
      <c r="B20" s="269" t="s">
        <v>325</v>
      </c>
      <c r="C20" s="264"/>
    </row>
    <row r="21" spans="1:3">
      <c r="A21" s="281">
        <v>13</v>
      </c>
      <c r="B21" s="269" t="s">
        <v>326</v>
      </c>
      <c r="C21" s="264"/>
    </row>
    <row r="22" spans="1:3">
      <c r="A22" s="281">
        <v>14</v>
      </c>
      <c r="B22" s="269" t="s">
        <v>327</v>
      </c>
      <c r="C22" s="264"/>
    </row>
    <row r="23" spans="1:3" ht="22.8">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2.8">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130788414.68932915</v>
      </c>
    </row>
    <row r="36" spans="1:3">
      <c r="A36" s="282">
        <v>21</v>
      </c>
      <c r="B36" s="283" t="s">
        <v>345</v>
      </c>
      <c r="C36" s="277">
        <f>C8+C18+C26+C30</f>
        <v>443819067.16179168</v>
      </c>
    </row>
    <row r="37" spans="1:3">
      <c r="A37" s="259" t="s">
        <v>346</v>
      </c>
      <c r="B37" s="260"/>
      <c r="C37" s="267"/>
    </row>
    <row r="38" spans="1:3">
      <c r="A38" s="282">
        <v>22</v>
      </c>
      <c r="B38" s="283" t="s">
        <v>346</v>
      </c>
      <c r="C38" s="745">
        <f t="shared" ref="C38" si="0">C35/C36</f>
        <v>0.29468858903633127</v>
      </c>
    </row>
    <row r="39" spans="1:3">
      <c r="A39" s="259" t="s">
        <v>347</v>
      </c>
      <c r="B39" s="260"/>
      <c r="C39" s="267"/>
    </row>
    <row r="40" spans="1:3">
      <c r="A40" s="288" t="s">
        <v>348</v>
      </c>
      <c r="B40" s="269" t="s">
        <v>349</v>
      </c>
      <c r="C40" s="285"/>
    </row>
    <row r="41" spans="1:3" ht="22.8">
      <c r="A41" s="289" t="s">
        <v>350</v>
      </c>
      <c r="B41" s="263" t="s">
        <v>351</v>
      </c>
      <c r="C41" s="285"/>
    </row>
    <row r="43" spans="1:3">
      <c r="B43" s="258" t="s">
        <v>358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4.4"/>
  <cols>
    <col min="1" max="1" width="8.6640625" style="192"/>
    <col min="2" max="2" width="82.5546875" style="325" customWidth="1"/>
    <col min="3" max="4" width="12" style="192" bestFit="1" customWidth="1"/>
    <col min="5" max="5" width="13.77734375" style="192" bestFit="1" customWidth="1"/>
    <col min="6" max="6" width="11" style="192" bestFit="1" customWidth="1"/>
    <col min="7" max="7" width="13.109375" style="192" bestFit="1" customWidth="1"/>
  </cols>
  <sheetData>
    <row r="1" spans="1:7">
      <c r="A1" s="746" t="s">
        <v>30</v>
      </c>
      <c r="B1" s="546" t="str">
        <f>'1. key ratios '!B1</f>
        <v>JSC Isbank Georgia</v>
      </c>
    </row>
    <row r="2" spans="1:7">
      <c r="A2" s="746" t="s">
        <v>31</v>
      </c>
      <c r="B2" s="547">
        <f>'1. key ratios '!B2</f>
        <v>45199</v>
      </c>
    </row>
    <row r="4" spans="1:7" ht="15" thickBot="1">
      <c r="A4" s="192" t="s">
        <v>408</v>
      </c>
      <c r="B4" s="326" t="s">
        <v>369</v>
      </c>
    </row>
    <row r="5" spans="1:7">
      <c r="A5" s="327"/>
      <c r="B5" s="328"/>
      <c r="C5" s="881" t="s">
        <v>370</v>
      </c>
      <c r="D5" s="881"/>
      <c r="E5" s="881"/>
      <c r="F5" s="881"/>
      <c r="G5" s="882" t="s">
        <v>371</v>
      </c>
    </row>
    <row r="6" spans="1:7">
      <c r="A6" s="329"/>
      <c r="B6" s="330"/>
      <c r="C6" s="331" t="s">
        <v>372</v>
      </c>
      <c r="D6" s="332" t="s">
        <v>373</v>
      </c>
      <c r="E6" s="332" t="s">
        <v>374</v>
      </c>
      <c r="F6" s="332" t="s">
        <v>375</v>
      </c>
      <c r="G6" s="883"/>
    </row>
    <row r="7" spans="1:7">
      <c r="A7" s="333"/>
      <c r="B7" s="334" t="s">
        <v>376</v>
      </c>
      <c r="C7" s="335"/>
      <c r="D7" s="335"/>
      <c r="E7" s="335"/>
      <c r="F7" s="335"/>
      <c r="G7" s="336"/>
    </row>
    <row r="8" spans="1:7">
      <c r="A8" s="337">
        <v>1</v>
      </c>
      <c r="B8" s="338" t="s">
        <v>377</v>
      </c>
      <c r="C8" s="747">
        <f>SUM(C9:C10)</f>
        <v>130788414.68932915</v>
      </c>
      <c r="D8" s="747">
        <f>SUM(D9:D10)</f>
        <v>0</v>
      </c>
      <c r="E8" s="747">
        <f>SUM(E9:E10)</f>
        <v>0</v>
      </c>
      <c r="F8" s="747">
        <f>SUM(F9:F10)</f>
        <v>29362119.745542482</v>
      </c>
      <c r="G8" s="748">
        <f>SUM(G9:G10)</f>
        <v>160150534.43487161</v>
      </c>
    </row>
    <row r="9" spans="1:7">
      <c r="A9" s="337">
        <v>2</v>
      </c>
      <c r="B9" s="341" t="s">
        <v>378</v>
      </c>
      <c r="C9" s="339">
        <v>130788414.68932915</v>
      </c>
      <c r="D9" s="339"/>
      <c r="E9" s="339"/>
      <c r="F9" s="339"/>
      <c r="G9" s="340">
        <v>130788414.68932915</v>
      </c>
    </row>
    <row r="10" spans="1:7" ht="27.6">
      <c r="A10" s="337">
        <v>3</v>
      </c>
      <c r="B10" s="341" t="s">
        <v>379</v>
      </c>
      <c r="C10" s="342"/>
      <c r="D10" s="342"/>
      <c r="E10" s="342"/>
      <c r="F10" s="339">
        <v>29362119.745542482</v>
      </c>
      <c r="G10" s="340">
        <v>29362119.745542482</v>
      </c>
    </row>
    <row r="11" spans="1:7" ht="14.4" customHeight="1">
      <c r="A11" s="337">
        <v>4</v>
      </c>
      <c r="B11" s="338" t="s">
        <v>380</v>
      </c>
      <c r="C11" s="747">
        <f t="shared" ref="C11:F11" si="0">SUM(C12:C13)</f>
        <v>4716121.5561304949</v>
      </c>
      <c r="D11" s="747">
        <f t="shared" si="0"/>
        <v>10634628.897509703</v>
      </c>
      <c r="E11" s="747">
        <f t="shared" si="0"/>
        <v>2748733.7187828878</v>
      </c>
      <c r="F11" s="747">
        <f t="shared" si="0"/>
        <v>4426003.9246809911</v>
      </c>
      <c r="G11" s="748">
        <f>SUM(G12:G13)</f>
        <v>13746441.511059416</v>
      </c>
    </row>
    <row r="12" spans="1:7">
      <c r="A12" s="337">
        <v>5</v>
      </c>
      <c r="B12" s="341" t="s">
        <v>381</v>
      </c>
      <c r="C12" s="339">
        <v>339336.66479000018</v>
      </c>
      <c r="D12" s="343">
        <v>524122.06365907879</v>
      </c>
      <c r="E12" s="339">
        <v>1264442.1893384764</v>
      </c>
      <c r="F12" s="339">
        <v>3391426.7766732778</v>
      </c>
      <c r="G12" s="340">
        <v>5243361.3097377867</v>
      </c>
    </row>
    <row r="13" spans="1:7">
      <c r="A13" s="337">
        <v>6</v>
      </c>
      <c r="B13" s="341" t="s">
        <v>382</v>
      </c>
      <c r="C13" s="339">
        <v>4376784.8913404951</v>
      </c>
      <c r="D13" s="343">
        <v>10110506.833850624</v>
      </c>
      <c r="E13" s="339">
        <v>1484291.5294444114</v>
      </c>
      <c r="F13" s="339">
        <v>1034577.1480077137</v>
      </c>
      <c r="G13" s="340">
        <v>8503080.2013216298</v>
      </c>
    </row>
    <row r="14" spans="1:7">
      <c r="A14" s="337">
        <v>7</v>
      </c>
      <c r="B14" s="338" t="s">
        <v>383</v>
      </c>
      <c r="C14" s="747">
        <f t="shared" ref="C14:F14" si="1">SUM(C15:C16)</f>
        <v>119888584.96771573</v>
      </c>
      <c r="D14" s="747">
        <f t="shared" si="1"/>
        <v>83388396.288835838</v>
      </c>
      <c r="E14" s="747">
        <f t="shared" si="1"/>
        <v>40606463.767308235</v>
      </c>
      <c r="F14" s="747">
        <f t="shared" si="1"/>
        <v>2697729.1261587208</v>
      </c>
      <c r="G14" s="748">
        <f>SUM(G15:G16)</f>
        <v>90673491.493852943</v>
      </c>
    </row>
    <row r="15" spans="1:7" ht="41.4">
      <c r="A15" s="337">
        <v>8</v>
      </c>
      <c r="B15" s="341" t="s">
        <v>384</v>
      </c>
      <c r="C15" s="339">
        <v>105151234.68509786</v>
      </c>
      <c r="D15" s="343">
        <v>33100981.11062457</v>
      </c>
      <c r="E15" s="339">
        <v>25299670.06780668</v>
      </c>
      <c r="F15" s="339">
        <v>1353626.0878350777</v>
      </c>
      <c r="G15" s="340">
        <v>82452755.975682199</v>
      </c>
    </row>
    <row r="16" spans="1:7" ht="27.6">
      <c r="A16" s="337">
        <v>9</v>
      </c>
      <c r="B16" s="341" t="s">
        <v>385</v>
      </c>
      <c r="C16" s="339">
        <v>14737350.282617867</v>
      </c>
      <c r="D16" s="343">
        <v>50287415.178211264</v>
      </c>
      <c r="E16" s="339">
        <v>15306793.699501554</v>
      </c>
      <c r="F16" s="339">
        <v>1344103.0383236434</v>
      </c>
      <c r="G16" s="340">
        <v>8220735.5181707414</v>
      </c>
    </row>
    <row r="17" spans="1:7">
      <c r="A17" s="337">
        <v>10</v>
      </c>
      <c r="B17" s="338" t="s">
        <v>386</v>
      </c>
      <c r="C17" s="339"/>
      <c r="D17" s="343"/>
      <c r="E17" s="339"/>
      <c r="F17" s="339"/>
      <c r="G17" s="340">
        <v>0</v>
      </c>
    </row>
    <row r="18" spans="1:7">
      <c r="A18" s="337">
        <v>11</v>
      </c>
      <c r="B18" s="338" t="s">
        <v>387</v>
      </c>
      <c r="C18" s="747">
        <f>SUM(C19:C20)</f>
        <v>14206573.84123309</v>
      </c>
      <c r="D18" s="749">
        <f t="shared" ref="D18:G18" si="2">SUM(D19:D20)</f>
        <v>0</v>
      </c>
      <c r="E18" s="747">
        <f t="shared" si="2"/>
        <v>0</v>
      </c>
      <c r="F18" s="747">
        <f t="shared" si="2"/>
        <v>0</v>
      </c>
      <c r="G18" s="748">
        <f t="shared" si="2"/>
        <v>0</v>
      </c>
    </row>
    <row r="19" spans="1:7">
      <c r="A19" s="337">
        <v>12</v>
      </c>
      <c r="B19" s="341" t="s">
        <v>388</v>
      </c>
      <c r="C19" s="342"/>
      <c r="D19" s="343"/>
      <c r="E19" s="339"/>
      <c r="F19" s="339"/>
      <c r="G19" s="340"/>
    </row>
    <row r="20" spans="1:7">
      <c r="A20" s="337">
        <v>13</v>
      </c>
      <c r="B20" s="341" t="s">
        <v>389</v>
      </c>
      <c r="C20" s="339">
        <v>14206573.84123309</v>
      </c>
      <c r="D20" s="339"/>
      <c r="E20" s="339"/>
      <c r="F20" s="339"/>
      <c r="G20" s="340"/>
    </row>
    <row r="21" spans="1:7">
      <c r="A21" s="344">
        <v>14</v>
      </c>
      <c r="B21" s="345" t="s">
        <v>390</v>
      </c>
      <c r="C21" s="342"/>
      <c r="D21" s="342"/>
      <c r="E21" s="342"/>
      <c r="F21" s="342"/>
      <c r="G21" s="346">
        <f>SUM(G8,G11,G14,G17,G18)</f>
        <v>264570467.43978396</v>
      </c>
    </row>
    <row r="22" spans="1:7">
      <c r="A22" s="347"/>
      <c r="B22" s="348" t="s">
        <v>391</v>
      </c>
      <c r="C22" s="349"/>
      <c r="D22" s="350"/>
      <c r="E22" s="349"/>
      <c r="F22" s="349"/>
      <c r="G22" s="351"/>
    </row>
    <row r="23" spans="1:7">
      <c r="A23" s="337">
        <v>15</v>
      </c>
      <c r="B23" s="338" t="s">
        <v>392</v>
      </c>
      <c r="C23" s="352">
        <v>132843234.62773493</v>
      </c>
      <c r="D23" s="353">
        <v>0</v>
      </c>
      <c r="E23" s="352">
        <v>0</v>
      </c>
      <c r="F23" s="352">
        <v>0</v>
      </c>
      <c r="G23" s="340">
        <v>2552315.0637610876</v>
      </c>
    </row>
    <row r="24" spans="1:7">
      <c r="A24" s="337">
        <v>16</v>
      </c>
      <c r="B24" s="338" t="s">
        <v>393</v>
      </c>
      <c r="C24" s="747">
        <f>SUM(C25:C27,C29,C31)</f>
        <v>384348.817632074</v>
      </c>
      <c r="D24" s="749">
        <f t="shared" ref="D24:G24" si="3">SUM(D25:D27,D29,D31)</f>
        <v>149924109.06250501</v>
      </c>
      <c r="E24" s="747">
        <f t="shared" si="3"/>
        <v>72431928.307589963</v>
      </c>
      <c r="F24" s="747">
        <f t="shared" si="3"/>
        <v>71448573.492146328</v>
      </c>
      <c r="G24" s="748">
        <f t="shared" si="3"/>
        <v>153229707.80810076</v>
      </c>
    </row>
    <row r="25" spans="1:7">
      <c r="A25" s="337">
        <v>17</v>
      </c>
      <c r="B25" s="341" t="s">
        <v>394</v>
      </c>
      <c r="C25" s="339"/>
      <c r="D25" s="343"/>
      <c r="E25" s="339"/>
      <c r="F25" s="339"/>
      <c r="G25" s="340"/>
    </row>
    <row r="26" spans="1:7" ht="27.6">
      <c r="A26" s="337">
        <v>18</v>
      </c>
      <c r="B26" s="341" t="s">
        <v>395</v>
      </c>
      <c r="C26" s="339">
        <v>384348.817632074</v>
      </c>
      <c r="D26" s="343">
        <v>55553919.319363393</v>
      </c>
      <c r="E26" s="339">
        <v>32643196.005347811</v>
      </c>
      <c r="F26" s="339">
        <v>0</v>
      </c>
      <c r="G26" s="340">
        <v>24712338.223223224</v>
      </c>
    </row>
    <row r="27" spans="1:7">
      <c r="A27" s="337">
        <v>19</v>
      </c>
      <c r="B27" s="341" t="s">
        <v>396</v>
      </c>
      <c r="C27" s="339">
        <v>0</v>
      </c>
      <c r="D27" s="343">
        <v>94253935.89436245</v>
      </c>
      <c r="E27" s="339">
        <v>39414698.357004777</v>
      </c>
      <c r="F27" s="339">
        <v>43101264.718355723</v>
      </c>
      <c r="G27" s="340">
        <v>104145392.13628604</v>
      </c>
    </row>
    <row r="28" spans="1:7">
      <c r="A28" s="337">
        <v>20</v>
      </c>
      <c r="B28" s="354" t="s">
        <v>397</v>
      </c>
      <c r="C28" s="339"/>
      <c r="D28" s="343"/>
      <c r="E28" s="339"/>
      <c r="F28" s="339"/>
      <c r="G28" s="340"/>
    </row>
    <row r="29" spans="1:7">
      <c r="A29" s="337">
        <v>21</v>
      </c>
      <c r="B29" s="341" t="s">
        <v>398</v>
      </c>
      <c r="C29" s="339">
        <v>0</v>
      </c>
      <c r="D29" s="343">
        <v>116253.84877918437</v>
      </c>
      <c r="E29" s="339">
        <v>374033.94523738587</v>
      </c>
      <c r="F29" s="339">
        <v>3606714.8828680036</v>
      </c>
      <c r="G29" s="340">
        <v>3342472.6413072869</v>
      </c>
    </row>
    <row r="30" spans="1:7">
      <c r="A30" s="337">
        <v>22</v>
      </c>
      <c r="B30" s="354" t="s">
        <v>397</v>
      </c>
      <c r="C30" s="339"/>
      <c r="D30" s="343"/>
      <c r="E30" s="339"/>
      <c r="F30" s="339"/>
      <c r="G30" s="340"/>
    </row>
    <row r="31" spans="1:7">
      <c r="A31" s="337">
        <v>23</v>
      </c>
      <c r="B31" s="341" t="s">
        <v>399</v>
      </c>
      <c r="C31" s="339"/>
      <c r="D31" s="343"/>
      <c r="E31" s="339"/>
      <c r="F31" s="339">
        <v>24740593.890922599</v>
      </c>
      <c r="G31" s="340">
        <v>21029504.80728421</v>
      </c>
    </row>
    <row r="32" spans="1:7">
      <c r="A32" s="337">
        <v>24</v>
      </c>
      <c r="B32" s="338" t="s">
        <v>400</v>
      </c>
      <c r="C32" s="339">
        <v>0</v>
      </c>
      <c r="D32" s="343"/>
      <c r="E32" s="339"/>
      <c r="F32" s="339"/>
      <c r="G32" s="340">
        <v>0</v>
      </c>
    </row>
    <row r="33" spans="1:7">
      <c r="A33" s="337">
        <v>25</v>
      </c>
      <c r="B33" s="338" t="s">
        <v>401</v>
      </c>
      <c r="C33" s="747">
        <f>SUM(C34:C35)</f>
        <v>13875058.886423707</v>
      </c>
      <c r="D33" s="747">
        <f>SUM(D34:D35)</f>
        <v>1050000</v>
      </c>
      <c r="E33" s="747">
        <f>SUM(E34:E35)</f>
        <v>300000</v>
      </c>
      <c r="F33" s="747">
        <f>SUM(F34:F35)</f>
        <v>1331189.2342818836</v>
      </c>
      <c r="G33" s="748">
        <f>SUM(G34:G35)</f>
        <v>15206248.12070559</v>
      </c>
    </row>
    <row r="34" spans="1:7">
      <c r="A34" s="337">
        <v>26</v>
      </c>
      <c r="B34" s="341" t="s">
        <v>402</v>
      </c>
      <c r="C34" s="342"/>
      <c r="D34" s="343"/>
      <c r="E34" s="339"/>
      <c r="F34" s="339"/>
      <c r="G34" s="340"/>
    </row>
    <row r="35" spans="1:7">
      <c r="A35" s="337">
        <v>27</v>
      </c>
      <c r="B35" s="341" t="s">
        <v>403</v>
      </c>
      <c r="C35" s="339">
        <v>13875058.886423707</v>
      </c>
      <c r="D35" s="343">
        <v>1050000</v>
      </c>
      <c r="E35" s="339">
        <v>300000</v>
      </c>
      <c r="F35" s="339">
        <v>1331189.2342818836</v>
      </c>
      <c r="G35" s="340">
        <v>15206248.12070559</v>
      </c>
    </row>
    <row r="36" spans="1:7">
      <c r="A36" s="337">
        <v>28</v>
      </c>
      <c r="B36" s="338" t="s">
        <v>404</v>
      </c>
      <c r="C36" s="339">
        <v>38364</v>
      </c>
      <c r="D36" s="343">
        <v>40003176.841192842</v>
      </c>
      <c r="E36" s="339">
        <v>32691794.28373586</v>
      </c>
      <c r="F36" s="339">
        <v>25822456.58734512</v>
      </c>
      <c r="G36" s="340">
        <v>11144783.800594639</v>
      </c>
    </row>
    <row r="37" spans="1:7">
      <c r="A37" s="344">
        <v>29</v>
      </c>
      <c r="B37" s="345" t="s">
        <v>405</v>
      </c>
      <c r="C37" s="342"/>
      <c r="D37" s="342"/>
      <c r="E37" s="342"/>
      <c r="F37" s="342"/>
      <c r="G37" s="346">
        <f>SUM(G23:G24,G32:G33,G36)</f>
        <v>182133054.79316205</v>
      </c>
    </row>
    <row r="38" spans="1:7">
      <c r="A38" s="333"/>
      <c r="B38" s="355"/>
      <c r="C38" s="356"/>
      <c r="D38" s="356"/>
      <c r="E38" s="356"/>
      <c r="F38" s="356"/>
      <c r="G38" s="357"/>
    </row>
    <row r="39" spans="1:7" ht="15" thickBot="1">
      <c r="A39" s="358">
        <v>30</v>
      </c>
      <c r="B39" s="359" t="s">
        <v>406</v>
      </c>
      <c r="C39" s="230"/>
      <c r="D39" s="231"/>
      <c r="E39" s="231"/>
      <c r="F39" s="232"/>
      <c r="G39" s="360">
        <f>IFERROR(G21/G37,0)</f>
        <v>1.4526219183016575</v>
      </c>
    </row>
    <row r="42" spans="1:7" ht="41.4">
      <c r="B42" s="325" t="s">
        <v>407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09375" defaultRowHeight="13.8"/>
  <cols>
    <col min="1" max="1" width="9.5546875" style="3" bestFit="1" customWidth="1"/>
    <col min="2" max="2" width="86" style="3" customWidth="1"/>
    <col min="3" max="3" width="12.6640625" style="3" customWidth="1"/>
    <col min="4" max="7" width="12.6640625" style="4" customWidth="1"/>
    <col min="8" max="8" width="6.6640625" style="5" customWidth="1"/>
    <col min="9" max="12" width="12.5546875" style="5" bestFit="1" customWidth="1"/>
    <col min="13" max="13" width="6.6640625" style="5" customWidth="1"/>
    <col min="14" max="16384" width="9.109375" style="5"/>
  </cols>
  <sheetData>
    <row r="1" spans="1:12">
      <c r="A1" s="2" t="s">
        <v>30</v>
      </c>
      <c r="B1" s="546" t="s">
        <v>709</v>
      </c>
    </row>
    <row r="2" spans="1:12">
      <c r="A2" s="2" t="s">
        <v>31</v>
      </c>
      <c r="B2" s="547">
        <v>45199</v>
      </c>
      <c r="C2" s="6"/>
      <c r="D2" s="7"/>
      <c r="E2" s="7"/>
      <c r="F2" s="7"/>
      <c r="G2" s="7"/>
      <c r="H2" s="8"/>
    </row>
    <row r="3" spans="1:12" ht="14.4" thickBot="1">
      <c r="A3" s="2"/>
      <c r="B3" s="6"/>
      <c r="C3" s="6"/>
      <c r="D3" s="7"/>
      <c r="E3" s="7"/>
      <c r="F3" s="7"/>
      <c r="G3" s="7"/>
      <c r="H3" s="8"/>
    </row>
    <row r="4" spans="1:12" ht="15" customHeight="1" thickBot="1">
      <c r="A4" s="9" t="s">
        <v>93</v>
      </c>
      <c r="B4" s="10" t="s">
        <v>92</v>
      </c>
      <c r="C4" s="10"/>
      <c r="D4" s="817" t="s">
        <v>696</v>
      </c>
      <c r="E4" s="818"/>
      <c r="F4" s="818"/>
      <c r="G4" s="819"/>
      <c r="H4" s="8"/>
      <c r="I4" s="820" t="s">
        <v>697</v>
      </c>
      <c r="J4" s="821"/>
      <c r="K4" s="821"/>
      <c r="L4" s="822"/>
    </row>
    <row r="5" spans="1:12">
      <c r="A5" s="11" t="s">
        <v>6</v>
      </c>
      <c r="B5" s="12"/>
      <c r="C5" s="563" t="str">
        <f>INT((MONTH($B$2))/3)&amp;"Q"&amp;"-"&amp;YEAR($B$2)</f>
        <v>3Q-2023</v>
      </c>
      <c r="D5" s="535" t="str">
        <f>IF(INT(MONTH($B$2))=3, "4"&amp;"Q"&amp;"-"&amp;YEAR($B$2)-1, IF(INT(MONTH($B$2))=6, "1"&amp;"Q"&amp;"-"&amp;YEAR($B$2), IF(INT(MONTH($B$2))=9, "2"&amp;"Q"&amp;"-"&amp;YEAR($B$2),IF(INT(MONTH($B$2))=12, "3"&amp;"Q"&amp;"-"&amp;YEAR($B$2), 0))))</f>
        <v>2Q-2023</v>
      </c>
      <c r="E5" s="316" t="str">
        <f>IF(INT(MONTH($B$2))=3, "3"&amp;"Q"&amp;"-"&amp;YEAR($B$2)-1, IF(INT(MONTH($B$2))=6, "4"&amp;"Q"&amp;"-"&amp;YEAR($B$2)-1, IF(INT(MONTH($B$2))=9, "1"&amp;"Q"&amp;"-"&amp;YEAR($B$2),IF(INT(MONTH($B$2))=12, "2"&amp;"Q"&amp;"-"&amp;YEAR($B$2), 0))))</f>
        <v>1Q-2023</v>
      </c>
      <c r="F5" s="316" t="str">
        <f>IF(INT(MONTH($B$2))=3, "2"&amp;"Q"&amp;"-"&amp;YEAR($B$2)-1, IF(INT(MONTH($B$2))=6, "3"&amp;"Q"&amp;"-"&amp;YEAR($B$2)-1, IF(INT(MONTH($B$2))=9, "4"&amp;"Q"&amp;"-"&amp;YEAR($B$2)-1,IF(INT(MONTH($B$2))=12, "1"&amp;"Q"&amp;"-"&amp;YEAR($B$2), 0))))</f>
        <v>4Q-2022</v>
      </c>
      <c r="G5" s="317" t="str">
        <f>IF(INT(MONTH($B$2))=3, "1"&amp;"Q"&amp;"-"&amp;YEAR($B$2)-1, IF(INT(MONTH($B$2))=6, "2"&amp;"Q"&amp;"-"&amp;YEAR($B$2)-1, IF(INT(MONTH($B$2))=9, "3"&amp;"Q"&amp;"-"&amp;YEAR($B$2)-1,IF(INT(MONTH($B$2))=12, "4"&amp;"Q"&amp;"-"&amp;YEAR($B$2)-1, 0))))</f>
        <v>3Q-2022</v>
      </c>
      <c r="I5" s="535" t="str">
        <f>D5</f>
        <v>2Q-2023</v>
      </c>
      <c r="J5" s="316" t="str">
        <f t="shared" ref="J5:L5" si="0">E5</f>
        <v>1Q-2023</v>
      </c>
      <c r="K5" s="316" t="str">
        <f t="shared" si="0"/>
        <v>4Q-2022</v>
      </c>
      <c r="L5" s="317" t="str">
        <f t="shared" si="0"/>
        <v>3Q-2022</v>
      </c>
    </row>
    <row r="6" spans="1:12">
      <c r="B6" s="148" t="s">
        <v>91</v>
      </c>
      <c r="C6" s="319"/>
      <c r="D6" s="536"/>
      <c r="E6" s="319"/>
      <c r="F6" s="319"/>
      <c r="G6" s="320"/>
      <c r="I6" s="536"/>
      <c r="J6" s="319"/>
      <c r="K6" s="319"/>
      <c r="L6" s="320"/>
    </row>
    <row r="7" spans="1:12">
      <c r="A7" s="13"/>
      <c r="B7" s="149" t="s">
        <v>89</v>
      </c>
      <c r="C7" s="319"/>
      <c r="D7" s="536"/>
      <c r="E7" s="319"/>
      <c r="F7" s="319"/>
      <c r="G7" s="320"/>
      <c r="I7" s="536"/>
      <c r="J7" s="319"/>
      <c r="K7" s="319"/>
      <c r="L7" s="320"/>
    </row>
    <row r="8" spans="1:12">
      <c r="A8" s="321">
        <v>1</v>
      </c>
      <c r="B8" s="14" t="s">
        <v>359</v>
      </c>
      <c r="C8" s="564">
        <v>130788414.68932915</v>
      </c>
      <c r="D8" s="785">
        <v>126320800.54405265</v>
      </c>
      <c r="E8" s="564">
        <v>121473493.88732722</v>
      </c>
      <c r="F8" s="564"/>
      <c r="G8" s="800"/>
      <c r="I8" s="537"/>
      <c r="J8" s="538"/>
      <c r="K8" s="538">
        <v>111095599.92396201</v>
      </c>
      <c r="L8" s="539">
        <v>108015685.42111553</v>
      </c>
    </row>
    <row r="9" spans="1:12">
      <c r="A9" s="321">
        <v>2</v>
      </c>
      <c r="B9" s="14" t="s">
        <v>360</v>
      </c>
      <c r="C9" s="564">
        <v>130788414.68932915</v>
      </c>
      <c r="D9" s="785">
        <v>126320800.54405265</v>
      </c>
      <c r="E9" s="564">
        <v>121473493.88732722</v>
      </c>
      <c r="F9" s="564"/>
      <c r="G9" s="800"/>
      <c r="I9" s="537"/>
      <c r="J9" s="538"/>
      <c r="K9" s="538">
        <v>111095599.92396201</v>
      </c>
      <c r="L9" s="539">
        <v>108015685.42111553</v>
      </c>
    </row>
    <row r="10" spans="1:12">
      <c r="A10" s="321">
        <v>3</v>
      </c>
      <c r="B10" s="14" t="s">
        <v>142</v>
      </c>
      <c r="C10" s="564">
        <v>130788414.68932915</v>
      </c>
      <c r="D10" s="785">
        <v>126320800.54405265</v>
      </c>
      <c r="E10" s="564">
        <v>121473493.88732722</v>
      </c>
      <c r="F10" s="564"/>
      <c r="G10" s="800"/>
      <c r="I10" s="537"/>
      <c r="J10" s="538"/>
      <c r="K10" s="538">
        <v>116172986.11989631</v>
      </c>
      <c r="L10" s="539">
        <v>113349434.0005872</v>
      </c>
    </row>
    <row r="11" spans="1:12">
      <c r="A11" s="321">
        <v>4</v>
      </c>
      <c r="B11" s="14" t="s">
        <v>362</v>
      </c>
      <c r="C11" s="564">
        <v>60223336.252558395</v>
      </c>
      <c r="D11" s="785">
        <v>51911549.389787987</v>
      </c>
      <c r="E11" s="564">
        <v>54619431.984424733</v>
      </c>
      <c r="F11" s="564"/>
      <c r="G11" s="800"/>
      <c r="I11" s="537"/>
      <c r="J11" s="538"/>
      <c r="K11" s="538">
        <v>39546178.399916351</v>
      </c>
      <c r="L11" s="539">
        <v>42079324.841049828</v>
      </c>
    </row>
    <row r="12" spans="1:12">
      <c r="A12" s="321">
        <v>5</v>
      </c>
      <c r="B12" s="14" t="s">
        <v>363</v>
      </c>
      <c r="C12" s="564">
        <v>75025578.477395922</v>
      </c>
      <c r="D12" s="785">
        <v>65637515.155831218</v>
      </c>
      <c r="E12" s="564">
        <v>69963539.948882803</v>
      </c>
      <c r="F12" s="564"/>
      <c r="G12" s="800"/>
      <c r="I12" s="537"/>
      <c r="J12" s="538"/>
      <c r="K12" s="538">
        <v>52747565.525203176</v>
      </c>
      <c r="L12" s="539">
        <v>56133703.288483441</v>
      </c>
    </row>
    <row r="13" spans="1:12">
      <c r="A13" s="321">
        <v>6</v>
      </c>
      <c r="B13" s="14" t="s">
        <v>361</v>
      </c>
      <c r="C13" s="564">
        <v>94627346.934343502</v>
      </c>
      <c r="D13" s="785">
        <v>83812685.330419973</v>
      </c>
      <c r="E13" s="564">
        <v>90275761.752804086</v>
      </c>
      <c r="F13" s="564"/>
      <c r="G13" s="800"/>
      <c r="I13" s="537"/>
      <c r="J13" s="538"/>
      <c r="K13" s="538">
        <v>77511989.422811836</v>
      </c>
      <c r="L13" s="539">
        <v>82243994.484565258</v>
      </c>
    </row>
    <row r="14" spans="1:12">
      <c r="A14" s="13"/>
      <c r="B14" s="148" t="s">
        <v>365</v>
      </c>
      <c r="C14" s="319"/>
      <c r="D14" s="536"/>
      <c r="E14" s="799"/>
      <c r="F14" s="799"/>
      <c r="G14" s="801"/>
      <c r="I14" s="536"/>
      <c r="J14" s="319"/>
      <c r="K14" s="319"/>
      <c r="L14" s="320"/>
    </row>
    <row r="15" spans="1:12" ht="15" customHeight="1">
      <c r="A15" s="321">
        <v>7</v>
      </c>
      <c r="B15" s="14" t="s">
        <v>364</v>
      </c>
      <c r="C15" s="565">
        <v>475509012.21298987</v>
      </c>
      <c r="D15" s="786">
        <v>435817833.22109258</v>
      </c>
      <c r="E15" s="565">
        <v>465903032.61048031</v>
      </c>
      <c r="F15" s="565"/>
      <c r="G15" s="802"/>
      <c r="I15" s="537"/>
      <c r="J15" s="538"/>
      <c r="K15" s="538">
        <v>447552269.36280602</v>
      </c>
      <c r="L15" s="539">
        <v>460845756.58156025</v>
      </c>
    </row>
    <row r="16" spans="1:12">
      <c r="A16" s="13"/>
      <c r="B16" s="148" t="s">
        <v>366</v>
      </c>
      <c r="C16" s="319"/>
      <c r="D16" s="536"/>
      <c r="E16" s="799"/>
      <c r="F16" s="799"/>
      <c r="G16" s="801"/>
      <c r="I16" s="536"/>
      <c r="J16" s="319"/>
      <c r="K16" s="319"/>
      <c r="L16" s="320"/>
    </row>
    <row r="17" spans="1:12" s="15" customFormat="1">
      <c r="A17" s="321"/>
      <c r="B17" s="149" t="s">
        <v>354</v>
      </c>
      <c r="C17" s="566"/>
      <c r="D17" s="787"/>
      <c r="E17" s="566"/>
      <c r="F17" s="566"/>
      <c r="G17" s="803"/>
      <c r="I17" s="537"/>
      <c r="J17" s="538"/>
      <c r="K17" s="538"/>
      <c r="L17" s="539"/>
    </row>
    <row r="18" spans="1:12">
      <c r="A18" s="11">
        <v>8</v>
      </c>
      <c r="B18" s="14" t="s">
        <v>359</v>
      </c>
      <c r="C18" s="567">
        <v>0.27504928682770463</v>
      </c>
      <c r="D18" s="788">
        <v>0.28984770909998414</v>
      </c>
      <c r="E18" s="567">
        <v>0.26072698691550589</v>
      </c>
      <c r="F18" s="567"/>
      <c r="G18" s="804"/>
      <c r="I18" s="558"/>
      <c r="J18" s="548"/>
      <c r="K18" s="548">
        <v>0.2482293299107437</v>
      </c>
      <c r="L18" s="549">
        <v>0.23438576547248507</v>
      </c>
    </row>
    <row r="19" spans="1:12" ht="15" customHeight="1">
      <c r="A19" s="11">
        <v>9</v>
      </c>
      <c r="B19" s="14" t="s">
        <v>360</v>
      </c>
      <c r="C19" s="567">
        <v>0.27504928682770463</v>
      </c>
      <c r="D19" s="788">
        <v>0.28984770909998414</v>
      </c>
      <c r="E19" s="567">
        <v>0.26072698691550589</v>
      </c>
      <c r="F19" s="567"/>
      <c r="G19" s="804"/>
      <c r="I19" s="558"/>
      <c r="J19" s="548"/>
      <c r="K19" s="548">
        <v>0.2482293299107437</v>
      </c>
      <c r="L19" s="549">
        <v>0.23438576547248507</v>
      </c>
    </row>
    <row r="20" spans="1:12">
      <c r="A20" s="11">
        <v>10</v>
      </c>
      <c r="B20" s="14" t="s">
        <v>142</v>
      </c>
      <c r="C20" s="567">
        <v>0.27504928682770463</v>
      </c>
      <c r="D20" s="788">
        <v>0.28984770909998414</v>
      </c>
      <c r="E20" s="567">
        <v>0.26072698691550589</v>
      </c>
      <c r="F20" s="567"/>
      <c r="G20" s="804"/>
      <c r="I20" s="558"/>
      <c r="J20" s="548"/>
      <c r="K20" s="548">
        <v>0.25957411920912693</v>
      </c>
      <c r="L20" s="549">
        <v>0.2459595914289962</v>
      </c>
    </row>
    <row r="21" spans="1:12">
      <c r="A21" s="11">
        <v>11</v>
      </c>
      <c r="B21" s="14" t="s">
        <v>362</v>
      </c>
      <c r="C21" s="567">
        <v>0.12665025205785832</v>
      </c>
      <c r="D21" s="788">
        <v>0.11911295369928793</v>
      </c>
      <c r="E21" s="567">
        <v>0.11723347598402409</v>
      </c>
      <c r="F21" s="567"/>
      <c r="G21" s="804"/>
      <c r="I21" s="558"/>
      <c r="J21" s="548"/>
      <c r="K21" s="548">
        <v>8.8361027542591758E-2</v>
      </c>
      <c r="L21" s="549">
        <v>9.1308912450846547E-2</v>
      </c>
    </row>
    <row r="22" spans="1:12">
      <c r="A22" s="11">
        <v>12</v>
      </c>
      <c r="B22" s="14" t="s">
        <v>363</v>
      </c>
      <c r="C22" s="567">
        <v>0.15777950901126242</v>
      </c>
      <c r="D22" s="788">
        <v>0.15060768548801667</v>
      </c>
      <c r="E22" s="567">
        <v>0.15016759937550361</v>
      </c>
      <c r="F22" s="567"/>
      <c r="G22" s="804"/>
      <c r="I22" s="558"/>
      <c r="J22" s="548"/>
      <c r="K22" s="548">
        <v>0.11785788864460796</v>
      </c>
      <c r="L22" s="549">
        <v>0.12180583739095127</v>
      </c>
    </row>
    <row r="23" spans="1:12">
      <c r="A23" s="11">
        <v>13</v>
      </c>
      <c r="B23" s="14" t="s">
        <v>361</v>
      </c>
      <c r="C23" s="567">
        <v>0.19900221552889946</v>
      </c>
      <c r="D23" s="788">
        <v>0.19231127994687031</v>
      </c>
      <c r="E23" s="567">
        <v>0.19376513015376617</v>
      </c>
      <c r="F23" s="567"/>
      <c r="G23" s="804"/>
      <c r="I23" s="558"/>
      <c r="J23" s="548"/>
      <c r="K23" s="548">
        <v>0.17319092032125777</v>
      </c>
      <c r="L23" s="549">
        <v>0.17846316974822737</v>
      </c>
    </row>
    <row r="24" spans="1:12">
      <c r="A24" s="13"/>
      <c r="B24" s="148" t="s">
        <v>88</v>
      </c>
      <c r="C24" s="319"/>
      <c r="D24" s="536"/>
      <c r="E24" s="799"/>
      <c r="F24" s="799"/>
      <c r="G24" s="801"/>
      <c r="I24" s="536"/>
      <c r="J24" s="319"/>
      <c r="K24" s="319"/>
      <c r="L24" s="320"/>
    </row>
    <row r="25" spans="1:12" ht="15" customHeight="1">
      <c r="A25" s="322">
        <v>14</v>
      </c>
      <c r="B25" s="14" t="s">
        <v>87</v>
      </c>
      <c r="C25" s="572">
        <v>0.11450614957446809</v>
      </c>
      <c r="D25" s="789">
        <v>8.9407218869426666E-2</v>
      </c>
      <c r="E25" s="572">
        <v>8.6907137750087599E-2</v>
      </c>
      <c r="F25" s="572"/>
      <c r="G25" s="805"/>
      <c r="I25" s="559"/>
      <c r="J25" s="550"/>
      <c r="K25" s="550">
        <v>7.1533897398314727E-2</v>
      </c>
      <c r="L25" s="551">
        <v>6.9323935917644186E-2</v>
      </c>
    </row>
    <row r="26" spans="1:12">
      <c r="A26" s="322">
        <v>15</v>
      </c>
      <c r="B26" s="14" t="s">
        <v>86</v>
      </c>
      <c r="C26" s="572">
        <v>3.3787468919112239E-2</v>
      </c>
      <c r="D26" s="789">
        <v>2.5454959703150391E-2</v>
      </c>
      <c r="E26" s="572">
        <v>2.3558164576950293E-2</v>
      </c>
      <c r="F26" s="572"/>
      <c r="G26" s="805"/>
      <c r="I26" s="559"/>
      <c r="J26" s="550"/>
      <c r="K26" s="550">
        <v>1.7726777996849765E-2</v>
      </c>
      <c r="L26" s="551">
        <v>1.6254578585638401E-2</v>
      </c>
    </row>
    <row r="27" spans="1:12">
      <c r="A27" s="322">
        <v>16</v>
      </c>
      <c r="B27" s="14" t="s">
        <v>85</v>
      </c>
      <c r="C27" s="572">
        <v>0.10178443013930448</v>
      </c>
      <c r="D27" s="789">
        <v>7.5312057573772392E-2</v>
      </c>
      <c r="E27" s="572">
        <v>0.15029367740908631</v>
      </c>
      <c r="F27" s="572"/>
      <c r="G27" s="805"/>
      <c r="I27" s="559"/>
      <c r="J27" s="550"/>
      <c r="K27" s="550">
        <v>4.4731743523914035E-2</v>
      </c>
      <c r="L27" s="551">
        <v>4.9287157635566188E-2</v>
      </c>
    </row>
    <row r="28" spans="1:12">
      <c r="A28" s="322">
        <v>17</v>
      </c>
      <c r="B28" s="14" t="s">
        <v>84</v>
      </c>
      <c r="C28" s="572">
        <v>8.0718680655355854E-2</v>
      </c>
      <c r="D28" s="789">
        <v>6.3952259166276268E-2</v>
      </c>
      <c r="E28" s="572">
        <v>6.3348973173137299E-2</v>
      </c>
      <c r="F28" s="572"/>
      <c r="G28" s="805"/>
      <c r="I28" s="559"/>
      <c r="J28" s="550"/>
      <c r="K28" s="550">
        <v>5.3807119401464959E-2</v>
      </c>
      <c r="L28" s="551">
        <v>5.3069357332005795E-2</v>
      </c>
    </row>
    <row r="29" spans="1:12">
      <c r="A29" s="322">
        <v>18</v>
      </c>
      <c r="B29" s="14" t="s">
        <v>166</v>
      </c>
      <c r="C29" s="572">
        <v>5.7521977813256991E-2</v>
      </c>
      <c r="D29" s="789">
        <v>4.6341016222891239E-2</v>
      </c>
      <c r="E29" s="572">
        <v>4.3874375306807115E-2</v>
      </c>
      <c r="F29" s="572"/>
      <c r="G29" s="805"/>
      <c r="I29" s="559"/>
      <c r="J29" s="550"/>
      <c r="K29" s="550">
        <v>4.1286729727955371E-2</v>
      </c>
      <c r="L29" s="551">
        <v>4.535760469972934E-2</v>
      </c>
    </row>
    <row r="30" spans="1:12">
      <c r="A30" s="322">
        <v>19</v>
      </c>
      <c r="B30" s="14" t="s">
        <v>167</v>
      </c>
      <c r="C30" s="572">
        <v>0.14636338967610957</v>
      </c>
      <c r="D30" s="789">
        <v>0.15036985067573896</v>
      </c>
      <c r="E30" s="572">
        <v>0.14477048820915991</v>
      </c>
      <c r="F30" s="572"/>
      <c r="G30" s="805"/>
      <c r="I30" s="559"/>
      <c r="J30" s="550"/>
      <c r="K30" s="550">
        <v>0.16145554332190271</v>
      </c>
      <c r="L30" s="551">
        <v>0.17966446601688946</v>
      </c>
    </row>
    <row r="31" spans="1:12">
      <c r="A31" s="13"/>
      <c r="B31" s="148" t="s">
        <v>229</v>
      </c>
      <c r="C31" s="319"/>
      <c r="D31" s="536"/>
      <c r="E31" s="799"/>
      <c r="F31" s="799"/>
      <c r="G31" s="801"/>
      <c r="I31" s="536"/>
      <c r="J31" s="319"/>
      <c r="K31" s="319"/>
      <c r="L31" s="320"/>
    </row>
    <row r="32" spans="1:12">
      <c r="A32" s="322">
        <v>20</v>
      </c>
      <c r="B32" s="14" t="s">
        <v>83</v>
      </c>
      <c r="C32" s="572">
        <v>4.3142874327638768E-3</v>
      </c>
      <c r="D32" s="789">
        <v>5.9703174831710329E-3</v>
      </c>
      <c r="E32" s="572">
        <v>3.9531183805543765E-3</v>
      </c>
      <c r="F32" s="572"/>
      <c r="G32" s="805"/>
      <c r="I32" s="559"/>
      <c r="J32" s="550"/>
      <c r="K32" s="550">
        <v>2.4380094855071009E-2</v>
      </c>
      <c r="L32" s="551">
        <v>2.8265026263008846E-2</v>
      </c>
    </row>
    <row r="33" spans="1:12" ht="15" customHeight="1">
      <c r="A33" s="322">
        <v>21</v>
      </c>
      <c r="B33" s="14" t="s">
        <v>708</v>
      </c>
      <c r="C33" s="572">
        <v>1.0150249312633594E-2</v>
      </c>
      <c r="D33" s="789">
        <v>1.0566230401128422E-2</v>
      </c>
      <c r="E33" s="572">
        <v>8.8829379193323017E-3</v>
      </c>
      <c r="F33" s="572"/>
      <c r="G33" s="805"/>
      <c r="I33" s="559"/>
      <c r="J33" s="550"/>
      <c r="K33" s="550">
        <v>2.6981304432221097E-2</v>
      </c>
      <c r="L33" s="551">
        <v>3.0938804531056994E-2</v>
      </c>
    </row>
    <row r="34" spans="1:12">
      <c r="A34" s="322">
        <v>22</v>
      </c>
      <c r="B34" s="14" t="s">
        <v>82</v>
      </c>
      <c r="C34" s="572">
        <v>0.60091674270158835</v>
      </c>
      <c r="D34" s="789">
        <v>0.52184149092214316</v>
      </c>
      <c r="E34" s="572">
        <v>0.46655326435450678</v>
      </c>
      <c r="F34" s="572"/>
      <c r="G34" s="805"/>
      <c r="I34" s="559"/>
      <c r="J34" s="550"/>
      <c r="K34" s="550">
        <v>0.46305961220141145</v>
      </c>
      <c r="L34" s="551">
        <v>0.55026036863305616</v>
      </c>
    </row>
    <row r="35" spans="1:12" ht="15" customHeight="1">
      <c r="A35" s="322">
        <v>23</v>
      </c>
      <c r="B35" s="14" t="s">
        <v>81</v>
      </c>
      <c r="C35" s="572">
        <v>0.56221702124237438</v>
      </c>
      <c r="D35" s="789">
        <v>0.51887862763436388</v>
      </c>
      <c r="E35" s="572">
        <v>0.59511496228482197</v>
      </c>
      <c r="F35" s="572"/>
      <c r="G35" s="805"/>
      <c r="I35" s="559"/>
      <c r="J35" s="550"/>
      <c r="K35" s="550">
        <v>0.55202739502102027</v>
      </c>
      <c r="L35" s="551">
        <v>0.59384448327133066</v>
      </c>
    </row>
    <row r="36" spans="1:12">
      <c r="A36" s="322">
        <v>24</v>
      </c>
      <c r="B36" s="14" t="s">
        <v>80</v>
      </c>
      <c r="C36" s="572">
        <v>-0.12057188272282891</v>
      </c>
      <c r="D36" s="789">
        <v>-6.8098829979359662E-2</v>
      </c>
      <c r="E36" s="572">
        <v>-2.1318812948108133E-2</v>
      </c>
      <c r="F36" s="572"/>
      <c r="G36" s="805"/>
      <c r="I36" s="559"/>
      <c r="J36" s="550"/>
      <c r="K36" s="550">
        <v>9.1431647580834344E-2</v>
      </c>
      <c r="L36" s="551">
        <v>0.11972762844349358</v>
      </c>
    </row>
    <row r="37" spans="1:12" ht="15" customHeight="1">
      <c r="A37" s="13"/>
      <c r="B37" s="148" t="s">
        <v>230</v>
      </c>
      <c r="C37" s="319"/>
      <c r="D37" s="536"/>
      <c r="E37" s="799"/>
      <c r="F37" s="799"/>
      <c r="G37" s="801"/>
      <c r="I37" s="536"/>
      <c r="J37" s="319"/>
      <c r="K37" s="319"/>
      <c r="L37" s="320"/>
    </row>
    <row r="38" spans="1:12" ht="15" customHeight="1">
      <c r="A38" s="322">
        <v>25</v>
      </c>
      <c r="B38" s="14" t="s">
        <v>79</v>
      </c>
      <c r="C38" s="572">
        <v>0.37206618588690626</v>
      </c>
      <c r="D38" s="789">
        <v>0.27971085774932819</v>
      </c>
      <c r="E38" s="572">
        <v>0.34828522725083516</v>
      </c>
      <c r="F38" s="572"/>
      <c r="G38" s="805"/>
      <c r="I38" s="560"/>
      <c r="J38" s="552"/>
      <c r="K38" s="552">
        <v>0.24914921189230418</v>
      </c>
      <c r="L38" s="553">
        <v>0.15710923277885569</v>
      </c>
    </row>
    <row r="39" spans="1:12" ht="15" customHeight="1">
      <c r="A39" s="322">
        <v>26</v>
      </c>
      <c r="B39" s="14" t="s">
        <v>78</v>
      </c>
      <c r="C39" s="572">
        <v>0.79884201878751415</v>
      </c>
      <c r="D39" s="789">
        <v>0.77471384608442484</v>
      </c>
      <c r="E39" s="572">
        <v>0.82360160676101246</v>
      </c>
      <c r="F39" s="572"/>
      <c r="G39" s="805"/>
      <c r="I39" s="560"/>
      <c r="J39" s="552"/>
      <c r="K39" s="552">
        <v>0.76892545530979173</v>
      </c>
      <c r="L39" s="553">
        <v>0.82225848263923629</v>
      </c>
    </row>
    <row r="40" spans="1:12" ht="15" customHeight="1">
      <c r="A40" s="322">
        <v>27</v>
      </c>
      <c r="B40" s="14" t="s">
        <v>77</v>
      </c>
      <c r="C40" s="572">
        <v>0.2641773544581702</v>
      </c>
      <c r="D40" s="789">
        <v>0.28525357381354538</v>
      </c>
      <c r="E40" s="572">
        <v>0.30967050617691744</v>
      </c>
      <c r="F40" s="572"/>
      <c r="G40" s="805"/>
      <c r="I40" s="560"/>
      <c r="J40" s="552"/>
      <c r="K40" s="552">
        <v>0.2268974261944201</v>
      </c>
      <c r="L40" s="553">
        <v>0.18261594663740496</v>
      </c>
    </row>
    <row r="41" spans="1:12" ht="15" customHeight="1">
      <c r="A41" s="323"/>
      <c r="B41" s="148" t="s">
        <v>271</v>
      </c>
      <c r="C41" s="319"/>
      <c r="D41" s="536"/>
      <c r="E41" s="799"/>
      <c r="F41" s="799"/>
      <c r="G41" s="801"/>
      <c r="I41" s="536"/>
      <c r="J41" s="319"/>
      <c r="K41" s="319"/>
      <c r="L41" s="320"/>
    </row>
    <row r="42" spans="1:12">
      <c r="A42" s="322">
        <v>28</v>
      </c>
      <c r="B42" s="14" t="s">
        <v>254</v>
      </c>
      <c r="C42" s="568">
        <v>165063970.61018801</v>
      </c>
      <c r="D42" s="790">
        <v>112123703.71373199</v>
      </c>
      <c r="E42" s="568">
        <v>150849444.27000001</v>
      </c>
      <c r="F42" s="568"/>
      <c r="G42" s="806"/>
      <c r="I42" s="540"/>
      <c r="J42" s="541"/>
      <c r="K42" s="541">
        <v>101467169.72</v>
      </c>
      <c r="L42" s="542">
        <v>89137438.829999998</v>
      </c>
    </row>
    <row r="43" spans="1:12" ht="15" customHeight="1">
      <c r="A43" s="322">
        <v>29</v>
      </c>
      <c r="B43" s="14" t="s">
        <v>266</v>
      </c>
      <c r="C43" s="568">
        <v>113190971.9703785</v>
      </c>
      <c r="D43" s="790">
        <v>76857633.32321772</v>
      </c>
      <c r="E43" s="568">
        <v>107578065.84092894</v>
      </c>
      <c r="F43" s="568"/>
      <c r="G43" s="806"/>
      <c r="I43" s="540"/>
      <c r="J43" s="541"/>
      <c r="K43" s="541">
        <v>59257735.987993032</v>
      </c>
      <c r="L43" s="542">
        <v>67044637.556638002</v>
      </c>
    </row>
    <row r="44" spans="1:12" ht="15" customHeight="1">
      <c r="A44" s="361">
        <v>30</v>
      </c>
      <c r="B44" s="362" t="s">
        <v>255</v>
      </c>
      <c r="C44" s="570">
        <f>C42/C43</f>
        <v>1.4582785865058603</v>
      </c>
      <c r="D44" s="791">
        <f>D42/D43</f>
        <v>1.4588492888169748</v>
      </c>
      <c r="E44" s="570">
        <f>E42/E43</f>
        <v>1.4022323518351278</v>
      </c>
      <c r="F44" s="570"/>
      <c r="G44" s="807"/>
      <c r="I44" s="561"/>
      <c r="J44" s="554"/>
      <c r="K44" s="554">
        <v>1.7123025041078106</v>
      </c>
      <c r="L44" s="555">
        <v>1.3295237632494983</v>
      </c>
    </row>
    <row r="45" spans="1:12" ht="15" customHeight="1">
      <c r="A45" s="361"/>
      <c r="B45" s="148" t="s">
        <v>369</v>
      </c>
      <c r="C45" s="569"/>
      <c r="D45" s="792"/>
      <c r="E45" s="569"/>
      <c r="F45" s="569"/>
      <c r="G45" s="808"/>
      <c r="I45" s="543"/>
      <c r="J45" s="544"/>
      <c r="K45" s="544"/>
      <c r="L45" s="363"/>
    </row>
    <row r="46" spans="1:12" ht="15" customHeight="1">
      <c r="A46" s="361">
        <v>31</v>
      </c>
      <c r="B46" s="362" t="s">
        <v>376</v>
      </c>
      <c r="C46" s="798">
        <v>264570467.43978399</v>
      </c>
      <c r="D46" s="792">
        <v>248483909.29105264</v>
      </c>
      <c r="E46" s="569">
        <v>256233936.39232719</v>
      </c>
      <c r="F46" s="569"/>
      <c r="G46" s="808"/>
      <c r="I46" s="543"/>
      <c r="J46" s="544"/>
      <c r="K46" s="544">
        <v>231228050.25346208</v>
      </c>
      <c r="L46" s="363">
        <v>233594681.10261557</v>
      </c>
    </row>
    <row r="47" spans="1:12" ht="15" customHeight="1">
      <c r="A47" s="361">
        <v>32</v>
      </c>
      <c r="B47" s="362" t="s">
        <v>391</v>
      </c>
      <c r="C47" s="798">
        <v>182133054.79316208</v>
      </c>
      <c r="D47" s="792">
        <v>185917806.78336489</v>
      </c>
      <c r="E47" s="569">
        <v>179143144.7606785</v>
      </c>
      <c r="F47" s="569"/>
      <c r="G47" s="808"/>
      <c r="I47" s="543"/>
      <c r="J47" s="544"/>
      <c r="K47" s="544">
        <v>182662714.46660978</v>
      </c>
      <c r="L47" s="363">
        <v>197363686.82135105</v>
      </c>
    </row>
    <row r="48" spans="1:12" ht="14.4" thickBot="1">
      <c r="A48" s="324">
        <v>33</v>
      </c>
      <c r="B48" s="150" t="s">
        <v>409</v>
      </c>
      <c r="C48" s="571">
        <f>C46/C47</f>
        <v>1.4526219183016575</v>
      </c>
      <c r="D48" s="793">
        <f>D46/D47</f>
        <v>1.3365256055359507</v>
      </c>
      <c r="E48" s="571">
        <f>E46/E47</f>
        <v>1.430330681839018</v>
      </c>
      <c r="F48" s="571"/>
      <c r="G48" s="809"/>
      <c r="I48" s="562"/>
      <c r="J48" s="556"/>
      <c r="K48" s="556">
        <v>1.2658743790634399</v>
      </c>
      <c r="L48" s="557">
        <v>1.183574774391299</v>
      </c>
    </row>
    <row r="49" spans="1:2">
      <c r="A49" s="16"/>
    </row>
    <row r="50" spans="1:2" ht="39.6">
      <c r="B50" s="208" t="s">
        <v>705</v>
      </c>
    </row>
    <row r="51" spans="1:2" ht="52.8">
      <c r="B51" s="208" t="s">
        <v>270</v>
      </c>
    </row>
    <row r="53" spans="1:2" ht="14.4">
      <c r="B53" s="207"/>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election activeCell="A5" sqref="A5:B7"/>
    </sheetView>
  </sheetViews>
  <sheetFormatPr defaultColWidth="9.109375" defaultRowHeight="12"/>
  <cols>
    <col min="1" max="1" width="11.88671875" style="423" bestFit="1" customWidth="1"/>
    <col min="2" max="2" width="66.6640625" style="423" customWidth="1"/>
    <col min="3" max="3" width="11.44140625" style="423" bestFit="1" customWidth="1"/>
    <col min="4" max="4" width="12.44140625" style="423" bestFit="1" customWidth="1"/>
    <col min="5" max="5" width="14.77734375" style="423" bestFit="1" customWidth="1"/>
    <col min="6" max="6" width="11.44140625" style="423" bestFit="1" customWidth="1"/>
    <col min="7" max="7" width="16" style="423" bestFit="1" customWidth="1"/>
    <col min="8" max="8" width="12.44140625" style="423" bestFit="1" customWidth="1"/>
    <col min="9" max="16384" width="9.109375" style="423"/>
  </cols>
  <sheetData>
    <row r="1" spans="1:8" ht="13.2">
      <c r="A1" s="364" t="s">
        <v>30</v>
      </c>
      <c r="B1" s="546" t="str">
        <f>'1. key ratios '!B1</f>
        <v>JSC Isbank Georgia</v>
      </c>
    </row>
    <row r="2" spans="1:8" ht="13.2">
      <c r="A2" s="365" t="s">
        <v>31</v>
      </c>
      <c r="B2" s="547">
        <f>'1. key ratios '!B2</f>
        <v>45199</v>
      </c>
    </row>
    <row r="3" spans="1:8">
      <c r="A3" s="366" t="s">
        <v>412</v>
      </c>
    </row>
    <row r="5" spans="1:8" ht="12" customHeight="1">
      <c r="A5" s="884" t="s">
        <v>413</v>
      </c>
      <c r="B5" s="885"/>
      <c r="C5" s="890" t="s">
        <v>414</v>
      </c>
      <c r="D5" s="891"/>
      <c r="E5" s="891"/>
      <c r="F5" s="891"/>
      <c r="G5" s="891"/>
      <c r="H5" s="892"/>
    </row>
    <row r="6" spans="1:8">
      <c r="A6" s="886"/>
      <c r="B6" s="887"/>
      <c r="C6" s="893"/>
      <c r="D6" s="894"/>
      <c r="E6" s="894"/>
      <c r="F6" s="894"/>
      <c r="G6" s="894"/>
      <c r="H6" s="895"/>
    </row>
    <row r="7" spans="1:8">
      <c r="A7" s="888"/>
      <c r="B7" s="889"/>
      <c r="C7" s="431" t="s">
        <v>415</v>
      </c>
      <c r="D7" s="431" t="s">
        <v>416</v>
      </c>
      <c r="E7" s="431" t="s">
        <v>417</v>
      </c>
      <c r="F7" s="431" t="s">
        <v>418</v>
      </c>
      <c r="G7" s="431" t="s">
        <v>419</v>
      </c>
      <c r="H7" s="431" t="s">
        <v>64</v>
      </c>
    </row>
    <row r="8" spans="1:8">
      <c r="A8" s="427">
        <v>1</v>
      </c>
      <c r="B8" s="426" t="s">
        <v>51</v>
      </c>
      <c r="C8" s="750">
        <v>79401790.668326288</v>
      </c>
      <c r="D8" s="750">
        <v>6525308.4838067051</v>
      </c>
      <c r="E8" s="750">
        <v>0</v>
      </c>
      <c r="F8" s="750">
        <v>0</v>
      </c>
      <c r="G8" s="750"/>
      <c r="H8" s="751">
        <f t="shared" ref="H8:H21" si="0">SUM(C8:G8)</f>
        <v>85927099.152132988</v>
      </c>
    </row>
    <row r="9" spans="1:8">
      <c r="A9" s="427">
        <v>2</v>
      </c>
      <c r="B9" s="426" t="s">
        <v>52</v>
      </c>
      <c r="C9" s="750"/>
      <c r="D9" s="750"/>
      <c r="E9" s="750"/>
      <c r="F9" s="750"/>
      <c r="G9" s="750"/>
      <c r="H9" s="751">
        <f t="shared" si="0"/>
        <v>0</v>
      </c>
    </row>
    <row r="10" spans="1:8">
      <c r="A10" s="427">
        <v>3</v>
      </c>
      <c r="B10" s="426" t="s">
        <v>164</v>
      </c>
      <c r="C10" s="750"/>
      <c r="D10" s="750"/>
      <c r="E10" s="750"/>
      <c r="F10" s="750"/>
      <c r="G10" s="750"/>
      <c r="H10" s="751">
        <f t="shared" si="0"/>
        <v>0</v>
      </c>
    </row>
    <row r="11" spans="1:8">
      <c r="A11" s="427">
        <v>4</v>
      </c>
      <c r="B11" s="426" t="s">
        <v>53</v>
      </c>
      <c r="C11" s="750"/>
      <c r="D11" s="750"/>
      <c r="E11" s="750"/>
      <c r="F11" s="750"/>
      <c r="G11" s="750"/>
      <c r="H11" s="751">
        <f t="shared" si="0"/>
        <v>0</v>
      </c>
    </row>
    <row r="12" spans="1:8">
      <c r="A12" s="427">
        <v>5</v>
      </c>
      <c r="B12" s="426" t="s">
        <v>54</v>
      </c>
      <c r="C12" s="750"/>
      <c r="D12" s="750"/>
      <c r="E12" s="750"/>
      <c r="F12" s="750"/>
      <c r="G12" s="750"/>
      <c r="H12" s="751">
        <f t="shared" si="0"/>
        <v>0</v>
      </c>
    </row>
    <row r="13" spans="1:8">
      <c r="A13" s="427">
        <v>6</v>
      </c>
      <c r="B13" s="426" t="s">
        <v>55</v>
      </c>
      <c r="C13" s="750">
        <v>11768669.596544849</v>
      </c>
      <c r="D13" s="750">
        <v>70590788.429720804</v>
      </c>
      <c r="E13" s="750">
        <v>5420975.2936303662</v>
      </c>
      <c r="F13" s="750">
        <v>0</v>
      </c>
      <c r="G13" s="750"/>
      <c r="H13" s="751">
        <f t="shared" si="0"/>
        <v>87780433.319896013</v>
      </c>
    </row>
    <row r="14" spans="1:8">
      <c r="A14" s="427">
        <v>7</v>
      </c>
      <c r="B14" s="426" t="s">
        <v>56</v>
      </c>
      <c r="C14" s="750"/>
      <c r="D14" s="750">
        <v>145861874.79515374</v>
      </c>
      <c r="E14" s="750">
        <v>80346000.413854063</v>
      </c>
      <c r="F14" s="750">
        <v>18898484.583370432</v>
      </c>
      <c r="G14" s="750">
        <v>5163.1930151344277</v>
      </c>
      <c r="H14" s="751">
        <f t="shared" si="0"/>
        <v>245111522.98539338</v>
      </c>
    </row>
    <row r="15" spans="1:8">
      <c r="A15" s="427">
        <v>8</v>
      </c>
      <c r="B15" s="428" t="s">
        <v>57</v>
      </c>
      <c r="C15" s="750"/>
      <c r="D15" s="750"/>
      <c r="E15" s="750"/>
      <c r="F15" s="750"/>
      <c r="G15" s="750"/>
      <c r="H15" s="751">
        <f t="shared" si="0"/>
        <v>0</v>
      </c>
    </row>
    <row r="16" spans="1:8">
      <c r="A16" s="427">
        <v>9</v>
      </c>
      <c r="B16" s="426" t="s">
        <v>58</v>
      </c>
      <c r="C16" s="750"/>
      <c r="D16" s="750"/>
      <c r="E16" s="750"/>
      <c r="F16" s="750"/>
      <c r="G16" s="750"/>
      <c r="H16" s="751">
        <f t="shared" si="0"/>
        <v>0</v>
      </c>
    </row>
    <row r="17" spans="1:8">
      <c r="A17" s="427">
        <v>10</v>
      </c>
      <c r="B17" s="430" t="s">
        <v>427</v>
      </c>
      <c r="C17" s="750"/>
      <c r="D17" s="750">
        <v>1885.364521146475</v>
      </c>
      <c r="E17" s="750">
        <v>12205.34883988318</v>
      </c>
      <c r="F17" s="750">
        <v>81171.124793142531</v>
      </c>
      <c r="G17" s="750">
        <v>904.62205195898423</v>
      </c>
      <c r="H17" s="751">
        <f t="shared" si="0"/>
        <v>96166.460206131174</v>
      </c>
    </row>
    <row r="18" spans="1:8">
      <c r="A18" s="427">
        <v>11</v>
      </c>
      <c r="B18" s="426" t="s">
        <v>60</v>
      </c>
      <c r="C18" s="750"/>
      <c r="D18" s="750">
        <v>0</v>
      </c>
      <c r="E18" s="750">
        <v>0</v>
      </c>
      <c r="F18" s="750">
        <v>0</v>
      </c>
      <c r="G18" s="750">
        <v>0</v>
      </c>
      <c r="H18" s="751">
        <f t="shared" si="0"/>
        <v>0</v>
      </c>
    </row>
    <row r="19" spans="1:8">
      <c r="A19" s="427">
        <v>12</v>
      </c>
      <c r="B19" s="426" t="s">
        <v>61</v>
      </c>
      <c r="C19" s="750"/>
      <c r="D19" s="750"/>
      <c r="E19" s="750"/>
      <c r="F19" s="750"/>
      <c r="G19" s="750"/>
      <c r="H19" s="751">
        <f t="shared" si="0"/>
        <v>0</v>
      </c>
    </row>
    <row r="20" spans="1:8">
      <c r="A20" s="429">
        <v>13</v>
      </c>
      <c r="B20" s="428" t="s">
        <v>144</v>
      </c>
      <c r="C20" s="750"/>
      <c r="D20" s="750"/>
      <c r="E20" s="750"/>
      <c r="F20" s="750"/>
      <c r="G20" s="750"/>
      <c r="H20" s="751">
        <f t="shared" si="0"/>
        <v>0</v>
      </c>
    </row>
    <row r="21" spans="1:8">
      <c r="A21" s="427">
        <v>14</v>
      </c>
      <c r="B21" s="426" t="s">
        <v>63</v>
      </c>
      <c r="C21" s="750">
        <v>2270470.7790999999</v>
      </c>
      <c r="D21" s="750">
        <v>322191.00100314757</v>
      </c>
      <c r="E21" s="750">
        <v>4856468.7739674794</v>
      </c>
      <c r="F21" s="750">
        <v>3282554.7549250312</v>
      </c>
      <c r="G21" s="750">
        <v>13913029.756809248</v>
      </c>
      <c r="H21" s="751">
        <f t="shared" si="0"/>
        <v>24644715.065804906</v>
      </c>
    </row>
    <row r="22" spans="1:8">
      <c r="A22" s="425">
        <v>15</v>
      </c>
      <c r="B22" s="424" t="s">
        <v>64</v>
      </c>
      <c r="C22" s="751">
        <f>SUM(C18:C21)+SUM(C8:C16)</f>
        <v>93440931.043971136</v>
      </c>
      <c r="D22" s="751">
        <f t="shared" ref="D22:H22" si="1">SUM(D18:D21)+SUM(D8:D16)</f>
        <v>223300162.70968437</v>
      </c>
      <c r="E22" s="751">
        <f t="shared" si="1"/>
        <v>90623444.481451899</v>
      </c>
      <c r="F22" s="751">
        <f t="shared" si="1"/>
        <v>22181039.338295463</v>
      </c>
      <c r="G22" s="751">
        <f t="shared" si="1"/>
        <v>13918192.949824382</v>
      </c>
      <c r="H22" s="751">
        <f t="shared" si="1"/>
        <v>443463770.52322727</v>
      </c>
    </row>
    <row r="26" spans="1:8" ht="36">
      <c r="B26" s="370" t="s">
        <v>514</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09375" defaultRowHeight="12"/>
  <cols>
    <col min="1" max="1" width="11.88671875" style="432" bestFit="1" customWidth="1"/>
    <col min="2" max="2" width="86.88671875" style="423" customWidth="1"/>
    <col min="3" max="4" width="29.44140625" style="423" bestFit="1" customWidth="1"/>
    <col min="5" max="5" width="12.44140625" style="367" bestFit="1" customWidth="1"/>
    <col min="6" max="6" width="13.109375" style="367" bestFit="1" customWidth="1"/>
    <col min="7" max="7" width="20.6640625" style="423" bestFit="1" customWidth="1"/>
    <col min="8" max="8" width="12.5546875" style="423" bestFit="1" customWidth="1"/>
    <col min="9" max="16384" width="9.109375" style="423"/>
  </cols>
  <sheetData>
    <row r="1" spans="1:8" ht="13.2">
      <c r="A1" s="364" t="s">
        <v>30</v>
      </c>
      <c r="B1" s="546" t="str">
        <f>'1. key ratios '!B1</f>
        <v>JSC Isbank Georgia</v>
      </c>
      <c r="C1" s="445"/>
      <c r="D1" s="445"/>
      <c r="E1" s="445"/>
      <c r="F1" s="445"/>
      <c r="G1" s="445"/>
      <c r="H1" s="445"/>
    </row>
    <row r="2" spans="1:8" ht="13.2">
      <c r="A2" s="365" t="s">
        <v>31</v>
      </c>
      <c r="B2" s="547">
        <f>'1. key ratios '!B2</f>
        <v>45199</v>
      </c>
      <c r="C2" s="445"/>
      <c r="D2" s="445"/>
      <c r="E2" s="445"/>
      <c r="F2" s="445"/>
      <c r="G2" s="445"/>
      <c r="H2" s="445"/>
    </row>
    <row r="3" spans="1:8">
      <c r="A3" s="366" t="s">
        <v>420</v>
      </c>
      <c r="B3" s="445"/>
      <c r="C3" s="445"/>
      <c r="D3" s="445"/>
      <c r="E3" s="445"/>
      <c r="F3" s="445"/>
      <c r="G3" s="445"/>
      <c r="H3" s="445"/>
    </row>
    <row r="4" spans="1:8">
      <c r="A4" s="446"/>
      <c r="B4" s="445"/>
      <c r="C4" s="444" t="s">
        <v>0</v>
      </c>
      <c r="D4" s="444" t="s">
        <v>1</v>
      </c>
      <c r="E4" s="444" t="s">
        <v>2</v>
      </c>
      <c r="F4" s="444" t="s">
        <v>3</v>
      </c>
      <c r="G4" s="444" t="s">
        <v>4</v>
      </c>
      <c r="H4" s="444" t="s">
        <v>5</v>
      </c>
    </row>
    <row r="5" spans="1:8" ht="33.9" customHeight="1">
      <c r="A5" s="884" t="s">
        <v>421</v>
      </c>
      <c r="B5" s="885"/>
      <c r="C5" s="898" t="s">
        <v>422</v>
      </c>
      <c r="D5" s="898"/>
      <c r="E5" s="898" t="s">
        <v>659</v>
      </c>
      <c r="F5" s="896" t="s">
        <v>423</v>
      </c>
      <c r="G5" s="896" t="s">
        <v>424</v>
      </c>
      <c r="H5" s="442" t="s">
        <v>658</v>
      </c>
    </row>
    <row r="6" spans="1:8" ht="24">
      <c r="A6" s="888"/>
      <c r="B6" s="889"/>
      <c r="C6" s="443" t="s">
        <v>425</v>
      </c>
      <c r="D6" s="443" t="s">
        <v>426</v>
      </c>
      <c r="E6" s="898"/>
      <c r="F6" s="897"/>
      <c r="G6" s="897"/>
      <c r="H6" s="442" t="s">
        <v>657</v>
      </c>
    </row>
    <row r="7" spans="1:8">
      <c r="A7" s="440">
        <v>1</v>
      </c>
      <c r="B7" s="426" t="s">
        <v>51</v>
      </c>
      <c r="C7" s="752">
        <v>0</v>
      </c>
      <c r="D7" s="752">
        <v>86158875.09709999</v>
      </c>
      <c r="E7" s="753">
        <v>231775.94496701012</v>
      </c>
      <c r="F7" s="753"/>
      <c r="G7" s="752"/>
      <c r="H7" s="755">
        <f>C7+D7-E7-F7</f>
        <v>85927099.152132973</v>
      </c>
    </row>
    <row r="8" spans="1:8">
      <c r="A8" s="440">
        <v>2</v>
      </c>
      <c r="B8" s="426" t="s">
        <v>52</v>
      </c>
      <c r="C8" s="752"/>
      <c r="D8" s="752"/>
      <c r="E8" s="753"/>
      <c r="F8" s="753"/>
      <c r="G8" s="752"/>
      <c r="H8" s="755">
        <f t="shared" ref="H8:H20" si="0">C8+D8-E8-F8</f>
        <v>0</v>
      </c>
    </row>
    <row r="9" spans="1:8">
      <c r="A9" s="440">
        <v>3</v>
      </c>
      <c r="B9" s="426" t="s">
        <v>164</v>
      </c>
      <c r="C9" s="752"/>
      <c r="D9" s="752"/>
      <c r="E9" s="753"/>
      <c r="F9" s="753"/>
      <c r="G9" s="752"/>
      <c r="H9" s="755">
        <f t="shared" si="0"/>
        <v>0</v>
      </c>
    </row>
    <row r="10" spans="1:8">
      <c r="A10" s="440">
        <v>4</v>
      </c>
      <c r="B10" s="426" t="s">
        <v>53</v>
      </c>
      <c r="C10" s="752"/>
      <c r="D10" s="752"/>
      <c r="E10" s="753"/>
      <c r="F10" s="753"/>
      <c r="G10" s="752"/>
      <c r="H10" s="755">
        <f t="shared" si="0"/>
        <v>0</v>
      </c>
    </row>
    <row r="11" spans="1:8">
      <c r="A11" s="440">
        <v>5</v>
      </c>
      <c r="B11" s="426" t="s">
        <v>54</v>
      </c>
      <c r="C11" s="752">
        <v>0</v>
      </c>
      <c r="D11" s="752"/>
      <c r="E11" s="753"/>
      <c r="F11" s="753"/>
      <c r="G11" s="752"/>
      <c r="H11" s="755">
        <f t="shared" si="0"/>
        <v>0</v>
      </c>
    </row>
    <row r="12" spans="1:8">
      <c r="A12" s="440">
        <v>6</v>
      </c>
      <c r="B12" s="426" t="s">
        <v>55</v>
      </c>
      <c r="C12" s="752">
        <v>0</v>
      </c>
      <c r="D12" s="752">
        <v>88101917.173284695</v>
      </c>
      <c r="E12" s="753">
        <v>321483.85338866693</v>
      </c>
      <c r="F12" s="753"/>
      <c r="G12" s="752"/>
      <c r="H12" s="755">
        <f t="shared" si="0"/>
        <v>87780433.319896027</v>
      </c>
    </row>
    <row r="13" spans="1:8">
      <c r="A13" s="440">
        <v>7</v>
      </c>
      <c r="B13" s="426" t="s">
        <v>56</v>
      </c>
      <c r="C13" s="752">
        <v>403371.92911849741</v>
      </c>
      <c r="D13" s="752">
        <v>246550655.80280656</v>
      </c>
      <c r="E13" s="753">
        <v>1811969.7465317061</v>
      </c>
      <c r="F13" s="753"/>
      <c r="G13" s="752"/>
      <c r="H13" s="755">
        <f t="shared" si="0"/>
        <v>245142057.98539335</v>
      </c>
    </row>
    <row r="14" spans="1:8">
      <c r="A14" s="440">
        <v>8</v>
      </c>
      <c r="B14" s="428" t="s">
        <v>57</v>
      </c>
      <c r="C14" s="752"/>
      <c r="D14" s="752"/>
      <c r="E14" s="753"/>
      <c r="F14" s="753"/>
      <c r="G14" s="752"/>
      <c r="H14" s="755">
        <f t="shared" si="0"/>
        <v>0</v>
      </c>
    </row>
    <row r="15" spans="1:8">
      <c r="A15" s="440">
        <v>9</v>
      </c>
      <c r="B15" s="426" t="s">
        <v>58</v>
      </c>
      <c r="C15" s="752"/>
      <c r="D15" s="752"/>
      <c r="E15" s="753"/>
      <c r="F15" s="753"/>
      <c r="G15" s="752"/>
      <c r="H15" s="755">
        <f t="shared" si="0"/>
        <v>0</v>
      </c>
    </row>
    <row r="16" spans="1:8">
      <c r="A16" s="440">
        <v>10</v>
      </c>
      <c r="B16" s="430" t="s">
        <v>427</v>
      </c>
      <c r="C16" s="752">
        <v>329413.06000000006</v>
      </c>
      <c r="D16" s="752">
        <v>0</v>
      </c>
      <c r="E16" s="753">
        <v>233246.59979386887</v>
      </c>
      <c r="F16" s="753"/>
      <c r="G16" s="752"/>
      <c r="H16" s="755">
        <f t="shared" si="0"/>
        <v>96166.460206131189</v>
      </c>
    </row>
    <row r="17" spans="1:8">
      <c r="A17" s="440">
        <v>11</v>
      </c>
      <c r="B17" s="426" t="s">
        <v>60</v>
      </c>
      <c r="C17" s="752">
        <v>0</v>
      </c>
      <c r="D17" s="752">
        <v>0</v>
      </c>
      <c r="E17" s="753">
        <v>0</v>
      </c>
      <c r="F17" s="753"/>
      <c r="G17" s="752"/>
      <c r="H17" s="755">
        <f t="shared" si="0"/>
        <v>0</v>
      </c>
    </row>
    <row r="18" spans="1:8">
      <c r="A18" s="440">
        <v>12</v>
      </c>
      <c r="B18" s="426" t="s">
        <v>61</v>
      </c>
      <c r="C18" s="752"/>
      <c r="D18" s="752"/>
      <c r="E18" s="753"/>
      <c r="F18" s="753"/>
      <c r="G18" s="752"/>
      <c r="H18" s="755">
        <f t="shared" si="0"/>
        <v>0</v>
      </c>
    </row>
    <row r="19" spans="1:8">
      <c r="A19" s="441">
        <v>13</v>
      </c>
      <c r="B19" s="428" t="s">
        <v>144</v>
      </c>
      <c r="C19" s="752"/>
      <c r="D19" s="752"/>
      <c r="E19" s="753"/>
      <c r="F19" s="753"/>
      <c r="G19" s="752"/>
      <c r="H19" s="755">
        <f t="shared" si="0"/>
        <v>0</v>
      </c>
    </row>
    <row r="20" spans="1:8">
      <c r="A20" s="440">
        <v>14</v>
      </c>
      <c r="B20" s="426" t="s">
        <v>63</v>
      </c>
      <c r="C20" s="752">
        <v>1980699.5707425131</v>
      </c>
      <c r="D20" s="752">
        <v>23443795.335295353</v>
      </c>
      <c r="E20" s="753">
        <v>632666.52095076535</v>
      </c>
      <c r="F20" s="753"/>
      <c r="G20" s="752"/>
      <c r="H20" s="755">
        <f t="shared" si="0"/>
        <v>24791828.385087103</v>
      </c>
    </row>
    <row r="21" spans="1:8" s="437" customFormat="1">
      <c r="A21" s="439">
        <v>15</v>
      </c>
      <c r="B21" s="438" t="s">
        <v>64</v>
      </c>
      <c r="C21" s="754">
        <f t="shared" ref="C21:H21" si="1">SUM(C7:C15)+SUM(C17:C20)</f>
        <v>2384071.4998610104</v>
      </c>
      <c r="D21" s="754">
        <f t="shared" si="1"/>
        <v>444255243.4084866</v>
      </c>
      <c r="E21" s="754">
        <f t="shared" ref="E21" si="2">SUM(E7:E15)+SUM(E17:E20)</f>
        <v>2997896.0658381484</v>
      </c>
      <c r="F21" s="754"/>
      <c r="G21" s="754">
        <f t="shared" si="1"/>
        <v>0</v>
      </c>
      <c r="H21" s="755">
        <f t="shared" si="1"/>
        <v>443641418.84250951</v>
      </c>
    </row>
    <row r="22" spans="1:8">
      <c r="A22" s="436">
        <v>16</v>
      </c>
      <c r="B22" s="435" t="s">
        <v>428</v>
      </c>
      <c r="C22" s="752">
        <v>1034978.3198610106</v>
      </c>
      <c r="D22" s="752">
        <v>238860563.17816311</v>
      </c>
      <c r="E22" s="753">
        <v>2434999.5551941874</v>
      </c>
      <c r="F22" s="753"/>
      <c r="G22" s="752"/>
      <c r="H22" s="755">
        <f>C22+D22-E22-F22</f>
        <v>237460541.94282994</v>
      </c>
    </row>
    <row r="23" spans="1:8">
      <c r="A23" s="436">
        <v>17</v>
      </c>
      <c r="B23" s="435" t="s">
        <v>429</v>
      </c>
      <c r="C23" s="752">
        <v>0</v>
      </c>
      <c r="D23" s="752">
        <v>66003376.531929687</v>
      </c>
      <c r="E23" s="753">
        <v>250802.14469811777</v>
      </c>
      <c r="F23" s="753"/>
      <c r="G23" s="752"/>
      <c r="H23" s="755">
        <f>C23+D23-E23-F23</f>
        <v>65752574.387231566</v>
      </c>
    </row>
    <row r="25" spans="1:8">
      <c r="E25" s="423"/>
      <c r="F25" s="423"/>
    </row>
    <row r="26" spans="1:8" ht="42.6" customHeight="1">
      <c r="B26" s="370" t="s">
        <v>514</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09375" defaultRowHeight="12"/>
  <cols>
    <col min="1" max="1" width="11" style="423" bestFit="1" customWidth="1"/>
    <col min="2" max="2" width="55.6640625" style="423" bestFit="1" customWidth="1"/>
    <col min="3" max="3" width="29.44140625" style="423" bestFit="1" customWidth="1"/>
    <col min="4" max="4" width="32.77734375" style="423" bestFit="1" customWidth="1"/>
    <col min="5" max="5" width="12.44140625" style="423" bestFit="1" customWidth="1"/>
    <col min="6" max="6" width="6.88671875" style="423" bestFit="1" customWidth="1"/>
    <col min="7" max="7" width="20.6640625" style="423" bestFit="1" customWidth="1"/>
    <col min="8" max="8" width="12.5546875" style="423" bestFit="1" customWidth="1"/>
    <col min="9" max="16384" width="9.109375" style="423"/>
  </cols>
  <sheetData>
    <row r="1" spans="1:8" ht="13.2">
      <c r="A1" s="364" t="s">
        <v>30</v>
      </c>
      <c r="B1" s="546" t="str">
        <f>'1. key ratios '!B1</f>
        <v>JSC Isbank Georgia</v>
      </c>
      <c r="C1" s="445"/>
      <c r="D1" s="445"/>
      <c r="E1" s="445"/>
      <c r="F1" s="445"/>
      <c r="G1" s="445"/>
      <c r="H1" s="445"/>
    </row>
    <row r="2" spans="1:8" ht="13.2">
      <c r="A2" s="365" t="s">
        <v>31</v>
      </c>
      <c r="B2" s="547">
        <f>'1. key ratios '!B2</f>
        <v>45199</v>
      </c>
      <c r="C2" s="445"/>
      <c r="D2" s="445"/>
      <c r="E2" s="445"/>
      <c r="F2" s="445"/>
      <c r="G2" s="445"/>
      <c r="H2" s="445"/>
    </row>
    <row r="3" spans="1:8">
      <c r="A3" s="366" t="s">
        <v>430</v>
      </c>
      <c r="B3" s="445"/>
      <c r="C3" s="445"/>
      <c r="D3" s="445"/>
      <c r="E3" s="445"/>
      <c r="F3" s="445"/>
      <c r="G3" s="445"/>
      <c r="H3" s="445"/>
    </row>
    <row r="4" spans="1:8">
      <c r="A4" s="446"/>
      <c r="B4" s="445"/>
      <c r="C4" s="444" t="s">
        <v>0</v>
      </c>
      <c r="D4" s="444" t="s">
        <v>1</v>
      </c>
      <c r="E4" s="444" t="s">
        <v>2</v>
      </c>
      <c r="F4" s="444" t="s">
        <v>3</v>
      </c>
      <c r="G4" s="444" t="s">
        <v>4</v>
      </c>
      <c r="H4" s="444" t="s">
        <v>5</v>
      </c>
    </row>
    <row r="5" spans="1:8" ht="41.4" customHeight="1">
      <c r="A5" s="884" t="s">
        <v>421</v>
      </c>
      <c r="B5" s="885"/>
      <c r="C5" s="898" t="s">
        <v>422</v>
      </c>
      <c r="D5" s="898"/>
      <c r="E5" s="898" t="s">
        <v>659</v>
      </c>
      <c r="F5" s="896" t="s">
        <v>423</v>
      </c>
      <c r="G5" s="896" t="s">
        <v>424</v>
      </c>
      <c r="H5" s="442" t="s">
        <v>658</v>
      </c>
    </row>
    <row r="6" spans="1:8" ht="24">
      <c r="A6" s="888"/>
      <c r="B6" s="889"/>
      <c r="C6" s="443" t="s">
        <v>425</v>
      </c>
      <c r="D6" s="443" t="s">
        <v>426</v>
      </c>
      <c r="E6" s="898"/>
      <c r="F6" s="897"/>
      <c r="G6" s="897"/>
      <c r="H6" s="442" t="s">
        <v>657</v>
      </c>
    </row>
    <row r="7" spans="1:8">
      <c r="A7" s="433">
        <v>1</v>
      </c>
      <c r="B7" s="451" t="s">
        <v>518</v>
      </c>
      <c r="C7" s="752">
        <v>7152.79</v>
      </c>
      <c r="D7" s="752">
        <v>89977000.503718808</v>
      </c>
      <c r="E7" s="752">
        <v>248163.48907887796</v>
      </c>
      <c r="F7" s="752"/>
      <c r="G7" s="752"/>
      <c r="H7" s="755">
        <f t="shared" ref="H7:H34" si="0">C7+D7-E7-F7</f>
        <v>89735989.804639935</v>
      </c>
    </row>
    <row r="8" spans="1:8">
      <c r="A8" s="433">
        <v>2</v>
      </c>
      <c r="B8" s="451" t="s">
        <v>431</v>
      </c>
      <c r="C8" s="752">
        <v>0</v>
      </c>
      <c r="D8" s="752">
        <v>141420492.31928939</v>
      </c>
      <c r="E8" s="752">
        <v>697062.37574240868</v>
      </c>
      <c r="F8" s="752"/>
      <c r="G8" s="752"/>
      <c r="H8" s="755">
        <f t="shared" si="0"/>
        <v>140723429.94354698</v>
      </c>
    </row>
    <row r="9" spans="1:8">
      <c r="A9" s="433">
        <v>3</v>
      </c>
      <c r="B9" s="451" t="s">
        <v>432</v>
      </c>
      <c r="C9" s="752"/>
      <c r="D9" s="752"/>
      <c r="E9" s="752"/>
      <c r="F9" s="752"/>
      <c r="G9" s="752"/>
      <c r="H9" s="755">
        <f t="shared" si="0"/>
        <v>0</v>
      </c>
    </row>
    <row r="10" spans="1:8">
      <c r="A10" s="433">
        <v>4</v>
      </c>
      <c r="B10" s="451" t="s">
        <v>519</v>
      </c>
      <c r="C10" s="752">
        <v>0</v>
      </c>
      <c r="D10" s="752">
        <v>14774397.024019064</v>
      </c>
      <c r="E10" s="752">
        <v>43480.062582369806</v>
      </c>
      <c r="F10" s="752"/>
      <c r="G10" s="752"/>
      <c r="H10" s="755">
        <f t="shared" si="0"/>
        <v>14730916.961436694</v>
      </c>
    </row>
    <row r="11" spans="1:8">
      <c r="A11" s="433">
        <v>5</v>
      </c>
      <c r="B11" s="451" t="s">
        <v>433</v>
      </c>
      <c r="C11" s="752">
        <v>0</v>
      </c>
      <c r="D11" s="752">
        <v>12316454.81786162</v>
      </c>
      <c r="E11" s="752">
        <v>16444.177337339035</v>
      </c>
      <c r="F11" s="752"/>
      <c r="G11" s="752"/>
      <c r="H11" s="755">
        <f t="shared" si="0"/>
        <v>12300010.640524281</v>
      </c>
    </row>
    <row r="12" spans="1:8">
      <c r="A12" s="433">
        <v>6</v>
      </c>
      <c r="B12" s="451" t="s">
        <v>434</v>
      </c>
      <c r="C12" s="752">
        <v>19733.919999999998</v>
      </c>
      <c r="D12" s="752">
        <v>8060365.3121560616</v>
      </c>
      <c r="E12" s="752">
        <v>55418.798818458483</v>
      </c>
      <c r="F12" s="752"/>
      <c r="G12" s="752"/>
      <c r="H12" s="755">
        <f t="shared" si="0"/>
        <v>8024680.4333376028</v>
      </c>
    </row>
    <row r="13" spans="1:8">
      <c r="A13" s="433">
        <v>7</v>
      </c>
      <c r="B13" s="451" t="s">
        <v>435</v>
      </c>
      <c r="C13" s="752">
        <v>0</v>
      </c>
      <c r="D13" s="752">
        <v>27497523.735791732</v>
      </c>
      <c r="E13" s="752">
        <v>232926.91829881736</v>
      </c>
      <c r="F13" s="752"/>
      <c r="G13" s="752"/>
      <c r="H13" s="755">
        <f t="shared" si="0"/>
        <v>27264596.817492913</v>
      </c>
    </row>
    <row r="14" spans="1:8">
      <c r="A14" s="433">
        <v>8</v>
      </c>
      <c r="B14" s="451" t="s">
        <v>436</v>
      </c>
      <c r="C14" s="752">
        <v>264370.52488649735</v>
      </c>
      <c r="D14" s="752">
        <v>2972915.2193907266</v>
      </c>
      <c r="E14" s="752">
        <v>265592.92392315622</v>
      </c>
      <c r="F14" s="752"/>
      <c r="G14" s="752"/>
      <c r="H14" s="755">
        <f t="shared" si="0"/>
        <v>2971692.8203540677</v>
      </c>
    </row>
    <row r="15" spans="1:8">
      <c r="A15" s="433">
        <v>9</v>
      </c>
      <c r="B15" s="451" t="s">
        <v>437</v>
      </c>
      <c r="C15" s="752">
        <v>0</v>
      </c>
      <c r="D15" s="752">
        <v>8021836.1001907904</v>
      </c>
      <c r="E15" s="752">
        <v>12718.704490994201</v>
      </c>
      <c r="F15" s="752"/>
      <c r="G15" s="752"/>
      <c r="H15" s="755">
        <f t="shared" si="0"/>
        <v>8009117.3956997963</v>
      </c>
    </row>
    <row r="16" spans="1:8">
      <c r="A16" s="433">
        <v>10</v>
      </c>
      <c r="B16" s="451" t="s">
        <v>438</v>
      </c>
      <c r="C16" s="752">
        <v>4181.4399999999996</v>
      </c>
      <c r="D16" s="752">
        <v>13673267.831734089</v>
      </c>
      <c r="E16" s="752">
        <v>66767.297762053218</v>
      </c>
      <c r="F16" s="752"/>
      <c r="G16" s="752"/>
      <c r="H16" s="755">
        <f t="shared" si="0"/>
        <v>13610681.973972036</v>
      </c>
    </row>
    <row r="17" spans="1:9">
      <c r="A17" s="433">
        <v>11</v>
      </c>
      <c r="B17" s="451" t="s">
        <v>439</v>
      </c>
      <c r="C17" s="752">
        <v>26813.360000000001</v>
      </c>
      <c r="D17" s="752">
        <v>15777975.947109709</v>
      </c>
      <c r="E17" s="752">
        <v>122814.31096015846</v>
      </c>
      <c r="F17" s="752"/>
      <c r="G17" s="752"/>
      <c r="H17" s="755">
        <f t="shared" si="0"/>
        <v>15681974.996149549</v>
      </c>
    </row>
    <row r="18" spans="1:9">
      <c r="A18" s="433">
        <v>12</v>
      </c>
      <c r="B18" s="451" t="s">
        <v>440</v>
      </c>
      <c r="C18" s="752">
        <v>211762.16724651339</v>
      </c>
      <c r="D18" s="752">
        <v>22054391.264470726</v>
      </c>
      <c r="E18" s="752">
        <v>261745.6535994389</v>
      </c>
      <c r="F18" s="752"/>
      <c r="G18" s="752"/>
      <c r="H18" s="755">
        <f t="shared" si="0"/>
        <v>22004407.778117802</v>
      </c>
    </row>
    <row r="19" spans="1:9">
      <c r="A19" s="433">
        <v>13</v>
      </c>
      <c r="B19" s="451" t="s">
        <v>441</v>
      </c>
      <c r="C19" s="752">
        <v>39524.01</v>
      </c>
      <c r="D19" s="752">
        <v>1437314.3629878168</v>
      </c>
      <c r="E19" s="752">
        <v>57543.147696879976</v>
      </c>
      <c r="F19" s="752"/>
      <c r="G19" s="752"/>
      <c r="H19" s="755">
        <f t="shared" si="0"/>
        <v>1419295.2252909369</v>
      </c>
    </row>
    <row r="20" spans="1:9">
      <c r="A20" s="433">
        <v>14</v>
      </c>
      <c r="B20" s="451" t="s">
        <v>442</v>
      </c>
      <c r="C20" s="752">
        <v>112365.84589499998</v>
      </c>
      <c r="D20" s="752">
        <v>8579632.8243422415</v>
      </c>
      <c r="E20" s="752">
        <v>138636.84397547808</v>
      </c>
      <c r="F20" s="752"/>
      <c r="G20" s="752"/>
      <c r="H20" s="755">
        <f t="shared" si="0"/>
        <v>8553361.8262617625</v>
      </c>
    </row>
    <row r="21" spans="1:9">
      <c r="A21" s="433">
        <v>15</v>
      </c>
      <c r="B21" s="451" t="s">
        <v>443</v>
      </c>
      <c r="C21" s="752">
        <v>0</v>
      </c>
      <c r="D21" s="752">
        <v>27380.740000000005</v>
      </c>
      <c r="E21" s="752">
        <v>1255.4266871338832</v>
      </c>
      <c r="F21" s="752"/>
      <c r="G21" s="752"/>
      <c r="H21" s="755">
        <f t="shared" si="0"/>
        <v>26125.313312866121</v>
      </c>
    </row>
    <row r="22" spans="1:9">
      <c r="A22" s="433">
        <v>16</v>
      </c>
      <c r="B22" s="451" t="s">
        <v>444</v>
      </c>
      <c r="C22" s="752">
        <v>0</v>
      </c>
      <c r="D22" s="752">
        <v>1377025.8454315742</v>
      </c>
      <c r="E22" s="752">
        <v>6.8144660949138894E-4</v>
      </c>
      <c r="F22" s="752"/>
      <c r="G22" s="752"/>
      <c r="H22" s="755">
        <f t="shared" si="0"/>
        <v>1377025.8447501275</v>
      </c>
    </row>
    <row r="23" spans="1:9">
      <c r="A23" s="433">
        <v>17</v>
      </c>
      <c r="B23" s="451" t="s">
        <v>522</v>
      </c>
      <c r="C23" s="752">
        <v>0</v>
      </c>
      <c r="D23" s="752">
        <v>0</v>
      </c>
      <c r="E23" s="752">
        <v>0</v>
      </c>
      <c r="F23" s="752"/>
      <c r="G23" s="752"/>
      <c r="H23" s="755">
        <f t="shared" si="0"/>
        <v>0</v>
      </c>
    </row>
    <row r="24" spans="1:9">
      <c r="A24" s="433">
        <v>18</v>
      </c>
      <c r="B24" s="451" t="s">
        <v>445</v>
      </c>
      <c r="C24" s="752">
        <v>0</v>
      </c>
      <c r="D24" s="752">
        <v>11725213.013785776</v>
      </c>
      <c r="E24" s="752">
        <v>21015.580914044564</v>
      </c>
      <c r="F24" s="752"/>
      <c r="G24" s="752"/>
      <c r="H24" s="755">
        <f t="shared" si="0"/>
        <v>11704197.432871731</v>
      </c>
    </row>
    <row r="25" spans="1:9">
      <c r="A25" s="433">
        <v>19</v>
      </c>
      <c r="B25" s="451" t="s">
        <v>446</v>
      </c>
      <c r="C25" s="752">
        <v>0</v>
      </c>
      <c r="D25" s="752">
        <v>13002225.196442593</v>
      </c>
      <c r="E25" s="752">
        <v>196587.46248548938</v>
      </c>
      <c r="F25" s="752"/>
      <c r="G25" s="752"/>
      <c r="H25" s="755">
        <f t="shared" si="0"/>
        <v>12805637.733957104</v>
      </c>
    </row>
    <row r="26" spans="1:9">
      <c r="A26" s="433">
        <v>20</v>
      </c>
      <c r="B26" s="451" t="s">
        <v>521</v>
      </c>
      <c r="C26" s="752">
        <v>44258.450000000012</v>
      </c>
      <c r="D26" s="752">
        <v>13175477.949999999</v>
      </c>
      <c r="E26" s="752">
        <v>167906.32801876005</v>
      </c>
      <c r="F26" s="752"/>
      <c r="G26" s="752"/>
      <c r="H26" s="755">
        <f t="shared" si="0"/>
        <v>13051830.071981238</v>
      </c>
      <c r="I26" s="448"/>
    </row>
    <row r="27" spans="1:9">
      <c r="A27" s="433">
        <v>21</v>
      </c>
      <c r="B27" s="451" t="s">
        <v>447</v>
      </c>
      <c r="C27" s="752">
        <v>92269.640000000014</v>
      </c>
      <c r="D27" s="752">
        <v>0</v>
      </c>
      <c r="E27" s="752">
        <v>9213.1506857110016</v>
      </c>
      <c r="F27" s="752"/>
      <c r="G27" s="752"/>
      <c r="H27" s="755">
        <f t="shared" si="0"/>
        <v>83056.489314289007</v>
      </c>
      <c r="I27" s="448"/>
    </row>
    <row r="28" spans="1:9">
      <c r="A28" s="433">
        <v>22</v>
      </c>
      <c r="B28" s="451" t="s">
        <v>448</v>
      </c>
      <c r="C28" s="752">
        <v>0</v>
      </c>
      <c r="D28" s="752">
        <v>0</v>
      </c>
      <c r="E28" s="752">
        <v>0</v>
      </c>
      <c r="F28" s="752"/>
      <c r="G28" s="752"/>
      <c r="H28" s="755">
        <f t="shared" si="0"/>
        <v>0</v>
      </c>
      <c r="I28" s="448"/>
    </row>
    <row r="29" spans="1:9">
      <c r="A29" s="433">
        <v>23</v>
      </c>
      <c r="B29" s="451" t="s">
        <v>449</v>
      </c>
      <c r="C29" s="752">
        <v>22701.440000000002</v>
      </c>
      <c r="D29" s="752">
        <v>18189822.286736786</v>
      </c>
      <c r="E29" s="752">
        <v>115040.58238718809</v>
      </c>
      <c r="F29" s="752"/>
      <c r="G29" s="752"/>
      <c r="H29" s="755">
        <f t="shared" si="0"/>
        <v>18097483.144349601</v>
      </c>
      <c r="I29" s="448"/>
    </row>
    <row r="30" spans="1:9">
      <c r="A30" s="433">
        <v>24</v>
      </c>
      <c r="B30" s="451" t="s">
        <v>520</v>
      </c>
      <c r="C30" s="752">
        <v>0</v>
      </c>
      <c r="D30" s="752">
        <v>5119400.7282211725</v>
      </c>
      <c r="E30" s="752">
        <v>77747.629144326871</v>
      </c>
      <c r="F30" s="752"/>
      <c r="G30" s="752"/>
      <c r="H30" s="755">
        <f t="shared" si="0"/>
        <v>5041653.0990768457</v>
      </c>
      <c r="I30" s="448"/>
    </row>
    <row r="31" spans="1:9">
      <c r="A31" s="433">
        <v>25</v>
      </c>
      <c r="B31" s="451" t="s">
        <v>450</v>
      </c>
      <c r="C31" s="752">
        <v>189844.731833</v>
      </c>
      <c r="D31" s="752">
        <v>101045.58</v>
      </c>
      <c r="E31" s="752">
        <v>189815.20056761714</v>
      </c>
      <c r="F31" s="752"/>
      <c r="G31" s="752"/>
      <c r="H31" s="755">
        <f t="shared" si="0"/>
        <v>101075.11126538285</v>
      </c>
      <c r="I31" s="448"/>
    </row>
    <row r="32" spans="1:9">
      <c r="A32" s="433">
        <v>26</v>
      </c>
      <c r="B32" s="451" t="s">
        <v>517</v>
      </c>
      <c r="C32" s="752">
        <v>0</v>
      </c>
      <c r="D32" s="752">
        <v>0</v>
      </c>
      <c r="E32" s="752">
        <v>0</v>
      </c>
      <c r="F32" s="752"/>
      <c r="G32" s="752"/>
      <c r="H32" s="755">
        <f t="shared" si="0"/>
        <v>0</v>
      </c>
      <c r="I32" s="448"/>
    </row>
    <row r="33" spans="1:9">
      <c r="A33" s="433">
        <v>27</v>
      </c>
      <c r="B33" s="434" t="s">
        <v>451</v>
      </c>
      <c r="C33" s="752">
        <v>1349093.18</v>
      </c>
      <c r="D33" s="752">
        <v>14974084.804805901</v>
      </c>
      <c r="E33" s="752"/>
      <c r="F33" s="752"/>
      <c r="G33" s="752"/>
      <c r="H33" s="755">
        <f t="shared" si="0"/>
        <v>16323177.984805901</v>
      </c>
      <c r="I33" s="448"/>
    </row>
    <row r="34" spans="1:9">
      <c r="A34" s="433">
        <v>28</v>
      </c>
      <c r="B34" s="450" t="s">
        <v>64</v>
      </c>
      <c r="C34" s="754">
        <f>SUM(C7:C33)</f>
        <v>2384071.4998610104</v>
      </c>
      <c r="D34" s="754">
        <f>SUM(D7:D33)</f>
        <v>444255243.40848655</v>
      </c>
      <c r="E34" s="754">
        <f>SUM(E7:E33)</f>
        <v>2997896.0658381479</v>
      </c>
      <c r="F34" s="754">
        <f>SUM(F7:F33)</f>
        <v>0</v>
      </c>
      <c r="G34" s="754">
        <f>SUM(G7:G33)</f>
        <v>0</v>
      </c>
      <c r="H34" s="755">
        <f t="shared" si="0"/>
        <v>443641418.84250939</v>
      </c>
      <c r="I34" s="448"/>
    </row>
    <row r="35" spans="1:9">
      <c r="A35" s="448"/>
      <c r="B35" s="448"/>
      <c r="C35" s="448"/>
      <c r="D35" s="448"/>
      <c r="E35" s="448"/>
      <c r="F35" s="448"/>
      <c r="G35" s="448"/>
      <c r="H35" s="448"/>
      <c r="I35" s="448"/>
    </row>
    <row r="36" spans="1:9">
      <c r="A36" s="448"/>
      <c r="B36" s="449"/>
      <c r="C36" s="448"/>
      <c r="D36" s="448"/>
      <c r="E36" s="448"/>
      <c r="F36" s="448"/>
      <c r="G36" s="448"/>
      <c r="H36" s="448"/>
      <c r="I36" s="448"/>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09375" defaultRowHeight="12"/>
  <cols>
    <col min="1" max="1" width="11.88671875" style="423" bestFit="1" customWidth="1"/>
    <col min="2" max="2" width="72" style="423" bestFit="1" customWidth="1"/>
    <col min="3" max="3" width="10.44140625" style="423" bestFit="1" customWidth="1"/>
    <col min="4" max="4" width="21.33203125" style="367" bestFit="1" customWidth="1"/>
    <col min="5" max="16384" width="9.109375" style="423"/>
  </cols>
  <sheetData>
    <row r="1" spans="1:4" ht="13.2">
      <c r="A1" s="364" t="s">
        <v>30</v>
      </c>
      <c r="B1" s="546" t="str">
        <f>'1. key ratios '!B1</f>
        <v>JSC Isbank Georgia</v>
      </c>
      <c r="D1" s="423"/>
    </row>
    <row r="2" spans="1:4" ht="13.2">
      <c r="A2" s="365" t="s">
        <v>31</v>
      </c>
      <c r="B2" s="547">
        <f>'1. key ratios '!B2</f>
        <v>45199</v>
      </c>
      <c r="D2" s="423"/>
    </row>
    <row r="3" spans="1:4">
      <c r="A3" s="366" t="s">
        <v>452</v>
      </c>
      <c r="D3" s="423"/>
    </row>
    <row r="5" spans="1:4">
      <c r="A5" s="899" t="s">
        <v>666</v>
      </c>
      <c r="B5" s="899"/>
      <c r="C5" s="431" t="s">
        <v>469</v>
      </c>
      <c r="D5" s="431" t="s">
        <v>510</v>
      </c>
    </row>
    <row r="6" spans="1:4">
      <c r="A6" s="458">
        <v>1</v>
      </c>
      <c r="B6" s="452" t="s">
        <v>665</v>
      </c>
      <c r="C6" s="757">
        <v>2687164.8645367506</v>
      </c>
      <c r="D6" s="757">
        <v>218297.57809782651</v>
      </c>
    </row>
    <row r="7" spans="1:4">
      <c r="A7" s="455">
        <v>2</v>
      </c>
      <c r="B7" s="452" t="s">
        <v>664</v>
      </c>
      <c r="C7" s="757">
        <f>SUM(C8:C9)</f>
        <v>971744.94875457999</v>
      </c>
      <c r="D7" s="757">
        <f>SUM(D8:D9)</f>
        <v>13423.4417266735</v>
      </c>
    </row>
    <row r="8" spans="1:4">
      <c r="A8" s="457">
        <v>2.1</v>
      </c>
      <c r="B8" s="456" t="s">
        <v>525</v>
      </c>
      <c r="C8" s="756">
        <v>971744.94875457999</v>
      </c>
      <c r="D8" s="756">
        <v>13423.4417266735</v>
      </c>
    </row>
    <row r="9" spans="1:4">
      <c r="A9" s="457">
        <v>2.2000000000000002</v>
      </c>
      <c r="B9" s="456" t="s">
        <v>523</v>
      </c>
      <c r="C9" s="756">
        <v>0</v>
      </c>
      <c r="D9" s="756">
        <v>0</v>
      </c>
    </row>
    <row r="10" spans="1:4">
      <c r="A10" s="458">
        <v>3</v>
      </c>
      <c r="B10" s="452" t="s">
        <v>663</v>
      </c>
      <c r="C10" s="757">
        <f>SUM(C11:C13)</f>
        <v>1220097.574588886</v>
      </c>
      <c r="D10" s="757">
        <f>SUM(D11:D13)</f>
        <v>9790.9106790364913</v>
      </c>
    </row>
    <row r="11" spans="1:4">
      <c r="A11" s="457">
        <v>3.1</v>
      </c>
      <c r="B11" s="456" t="s">
        <v>454</v>
      </c>
      <c r="C11" s="756"/>
      <c r="D11" s="756"/>
    </row>
    <row r="12" spans="1:4">
      <c r="A12" s="457">
        <v>3.2</v>
      </c>
      <c r="B12" s="456" t="s">
        <v>662</v>
      </c>
      <c r="C12" s="756">
        <v>1187384.6866365699</v>
      </c>
      <c r="D12" s="756">
        <v>0</v>
      </c>
    </row>
    <row r="13" spans="1:4">
      <c r="A13" s="457">
        <v>3.3</v>
      </c>
      <c r="B13" s="456" t="s">
        <v>524</v>
      </c>
      <c r="C13" s="756">
        <v>32712.887952316101</v>
      </c>
      <c r="D13" s="756">
        <v>9790.9106790364913</v>
      </c>
    </row>
    <row r="14" spans="1:4">
      <c r="A14" s="455">
        <v>4</v>
      </c>
      <c r="B14" s="454" t="s">
        <v>661</v>
      </c>
      <c r="C14" s="756">
        <v>-3812.2387024541299</v>
      </c>
      <c r="D14" s="756">
        <v>-1212.8706406417</v>
      </c>
    </row>
    <row r="15" spans="1:4">
      <c r="A15" s="453">
        <v>5</v>
      </c>
      <c r="B15" s="452" t="s">
        <v>660</v>
      </c>
      <c r="C15" s="751">
        <f>C6+C7-C10+C14</f>
        <v>2434999.9999999907</v>
      </c>
      <c r="D15" s="751">
        <f>D6+D7-D10+D14</f>
        <v>220717.23850482184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09375" defaultRowHeight="12"/>
  <cols>
    <col min="1" max="1" width="11.88671875" style="423" bestFit="1" customWidth="1"/>
    <col min="2" max="2" width="64.44140625" style="423" bestFit="1" customWidth="1"/>
    <col min="3" max="3" width="26.44140625" style="423" customWidth="1"/>
    <col min="4" max="4" width="35.33203125" style="423" customWidth="1"/>
    <col min="5" max="16384" width="9.109375" style="423"/>
  </cols>
  <sheetData>
    <row r="1" spans="1:4" ht="13.2">
      <c r="A1" s="364" t="s">
        <v>30</v>
      </c>
      <c r="B1" s="546" t="str">
        <f>'1. key ratios '!B1</f>
        <v>JSC Isbank Georgia</v>
      </c>
    </row>
    <row r="2" spans="1:4" ht="13.2">
      <c r="A2" s="365" t="s">
        <v>31</v>
      </c>
      <c r="B2" s="547">
        <f>'1. key ratios '!B2</f>
        <v>45199</v>
      </c>
    </row>
    <row r="3" spans="1:4">
      <c r="A3" s="366" t="s">
        <v>456</v>
      </c>
    </row>
    <row r="4" spans="1:4">
      <c r="A4" s="366"/>
    </row>
    <row r="5" spans="1:4" ht="15" customHeight="1">
      <c r="A5" s="900" t="s">
        <v>526</v>
      </c>
      <c r="B5" s="901"/>
      <c r="C5" s="904" t="s">
        <v>457</v>
      </c>
      <c r="D5" s="904" t="s">
        <v>458</v>
      </c>
    </row>
    <row r="6" spans="1:4">
      <c r="A6" s="902"/>
      <c r="B6" s="903"/>
      <c r="C6" s="904"/>
      <c r="D6" s="904"/>
    </row>
    <row r="7" spans="1:4">
      <c r="A7" s="461">
        <v>1</v>
      </c>
      <c r="B7" s="424" t="s">
        <v>453</v>
      </c>
      <c r="C7" s="757">
        <v>1518349.1899999992</v>
      </c>
      <c r="D7" s="459"/>
    </row>
    <row r="8" spans="1:4">
      <c r="A8" s="463">
        <v>2</v>
      </c>
      <c r="B8" s="463" t="s">
        <v>459</v>
      </c>
      <c r="C8" s="757">
        <v>89172.637358870663</v>
      </c>
      <c r="D8" s="459"/>
    </row>
    <row r="9" spans="1:4">
      <c r="A9" s="463">
        <v>3</v>
      </c>
      <c r="B9" s="464" t="s">
        <v>669</v>
      </c>
      <c r="C9" s="757">
        <v>18497.566501890971</v>
      </c>
      <c r="D9" s="459"/>
    </row>
    <row r="10" spans="1:4">
      <c r="A10" s="463">
        <v>4</v>
      </c>
      <c r="B10" s="463" t="s">
        <v>460</v>
      </c>
      <c r="C10" s="757">
        <f>SUM(C11:C17)</f>
        <v>591040.0739997502</v>
      </c>
      <c r="D10" s="459"/>
    </row>
    <row r="11" spans="1:4">
      <c r="A11" s="463">
        <v>5</v>
      </c>
      <c r="B11" s="462" t="s">
        <v>668</v>
      </c>
      <c r="C11" s="756">
        <v>0</v>
      </c>
      <c r="D11" s="459"/>
    </row>
    <row r="12" spans="1:4">
      <c r="A12" s="463">
        <v>6</v>
      </c>
      <c r="B12" s="462" t="s">
        <v>461</v>
      </c>
      <c r="C12" s="756">
        <v>0</v>
      </c>
      <c r="D12" s="459"/>
    </row>
    <row r="13" spans="1:4">
      <c r="A13" s="463">
        <v>7</v>
      </c>
      <c r="B13" s="462" t="s">
        <v>464</v>
      </c>
      <c r="C13" s="756">
        <v>591040.0739997502</v>
      </c>
      <c r="D13" s="459"/>
    </row>
    <row r="14" spans="1:4">
      <c r="A14" s="463">
        <v>8</v>
      </c>
      <c r="B14" s="462" t="s">
        <v>462</v>
      </c>
      <c r="C14" s="756">
        <v>0</v>
      </c>
      <c r="D14" s="463"/>
    </row>
    <row r="15" spans="1:4">
      <c r="A15" s="463">
        <v>9</v>
      </c>
      <c r="B15" s="462" t="s">
        <v>463</v>
      </c>
      <c r="C15" s="756">
        <v>0</v>
      </c>
      <c r="D15" s="463"/>
    </row>
    <row r="16" spans="1:4">
      <c r="A16" s="463">
        <v>10</v>
      </c>
      <c r="B16" s="462" t="s">
        <v>465</v>
      </c>
      <c r="C16" s="756">
        <v>0</v>
      </c>
      <c r="D16" s="463"/>
    </row>
    <row r="17" spans="1:4">
      <c r="A17" s="463">
        <v>11</v>
      </c>
      <c r="B17" s="462" t="s">
        <v>667</v>
      </c>
      <c r="C17" s="756">
        <v>0</v>
      </c>
      <c r="D17" s="459"/>
    </row>
    <row r="18" spans="1:4">
      <c r="A18" s="461">
        <v>12</v>
      </c>
      <c r="B18" s="460" t="s">
        <v>455</v>
      </c>
      <c r="C18" s="751">
        <f>C7+C8+C9-C10</f>
        <v>1034979.3198610106</v>
      </c>
      <c r="D18" s="459"/>
    </row>
    <row r="21" spans="1:4">
      <c r="B21" s="364"/>
    </row>
    <row r="22" spans="1:4">
      <c r="B22" s="365"/>
    </row>
    <row r="23" spans="1:4">
      <c r="B23" s="36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09375" defaultRowHeight="12"/>
  <cols>
    <col min="1" max="1" width="11.88671875" style="445" bestFit="1" customWidth="1"/>
    <col min="2" max="2" width="21.21875" style="445" bestFit="1" customWidth="1"/>
    <col min="3" max="4" width="12.44140625" style="445" bestFit="1" customWidth="1"/>
    <col min="5" max="5" width="14" style="445" bestFit="1" customWidth="1"/>
    <col min="6" max="6" width="21.88671875" style="445" bestFit="1" customWidth="1"/>
    <col min="7" max="7" width="14.88671875" style="445" bestFit="1" customWidth="1"/>
    <col min="8" max="8" width="8.88671875" style="445" bestFit="1" customWidth="1"/>
    <col min="9" max="9" width="14" style="445" bestFit="1" customWidth="1"/>
    <col min="10" max="10" width="21.88671875" style="445" bestFit="1" customWidth="1"/>
    <col min="11" max="11" width="14.88671875" style="445" bestFit="1" customWidth="1"/>
    <col min="12" max="12" width="10.44140625" style="445" bestFit="1" customWidth="1"/>
    <col min="13" max="13" width="14" style="445" bestFit="1" customWidth="1"/>
    <col min="14" max="14" width="21.88671875" style="445" bestFit="1" customWidth="1"/>
    <col min="15" max="15" width="19" style="445" bestFit="1" customWidth="1"/>
    <col min="16" max="16" width="21.77734375" style="445" bestFit="1" customWidth="1"/>
    <col min="17" max="18" width="19.77734375" style="445" bestFit="1" customWidth="1"/>
    <col min="19" max="19" width="13.21875" style="445" bestFit="1" customWidth="1"/>
    <col min="20" max="26" width="22.33203125" style="445" customWidth="1"/>
    <col min="27" max="27" width="23.33203125" style="445" bestFit="1" customWidth="1"/>
    <col min="28" max="28" width="20" style="445" customWidth="1"/>
    <col min="29" max="16384" width="9.109375" style="445"/>
  </cols>
  <sheetData>
    <row r="1" spans="1:28" ht="13.2">
      <c r="A1" s="364" t="s">
        <v>30</v>
      </c>
      <c r="B1" s="546" t="str">
        <f>'1. key ratios '!B1</f>
        <v>JSC Isbank Georgia</v>
      </c>
    </row>
    <row r="2" spans="1:28" ht="13.2">
      <c r="A2" s="365" t="s">
        <v>31</v>
      </c>
      <c r="B2" s="547">
        <f>'1. key ratios '!B2</f>
        <v>45199</v>
      </c>
      <c r="C2" s="446"/>
    </row>
    <row r="3" spans="1:28">
      <c r="A3" s="366" t="s">
        <v>466</v>
      </c>
    </row>
    <row r="5" spans="1:28" ht="15" customHeight="1">
      <c r="A5" s="906" t="s">
        <v>681</v>
      </c>
      <c r="B5" s="907"/>
      <c r="C5" s="912" t="s">
        <v>467</v>
      </c>
      <c r="D5" s="913"/>
      <c r="E5" s="913"/>
      <c r="F5" s="913"/>
      <c r="G5" s="913"/>
      <c r="H5" s="913"/>
      <c r="I5" s="913"/>
      <c r="J5" s="913"/>
      <c r="K5" s="913"/>
      <c r="L5" s="913"/>
      <c r="M5" s="913"/>
      <c r="N5" s="913"/>
      <c r="O5" s="913"/>
      <c r="P5" s="913"/>
      <c r="Q5" s="913"/>
      <c r="R5" s="913"/>
      <c r="S5" s="913"/>
      <c r="T5" s="477"/>
      <c r="U5" s="477"/>
      <c r="V5" s="477"/>
      <c r="W5" s="477"/>
      <c r="X5" s="477"/>
      <c r="Y5" s="477"/>
      <c r="Z5" s="477"/>
      <c r="AA5" s="476"/>
      <c r="AB5" s="469"/>
    </row>
    <row r="6" spans="1:28" ht="12" customHeight="1">
      <c r="A6" s="908"/>
      <c r="B6" s="909"/>
      <c r="C6" s="914" t="s">
        <v>64</v>
      </c>
      <c r="D6" s="916" t="s">
        <v>680</v>
      </c>
      <c r="E6" s="916"/>
      <c r="F6" s="916"/>
      <c r="G6" s="916"/>
      <c r="H6" s="916" t="s">
        <v>679</v>
      </c>
      <c r="I6" s="916"/>
      <c r="J6" s="916"/>
      <c r="K6" s="916"/>
      <c r="L6" s="475"/>
      <c r="M6" s="917" t="s">
        <v>678</v>
      </c>
      <c r="N6" s="917"/>
      <c r="O6" s="917"/>
      <c r="P6" s="917"/>
      <c r="Q6" s="917"/>
      <c r="R6" s="917"/>
      <c r="S6" s="897"/>
      <c r="T6" s="474"/>
      <c r="U6" s="905" t="s">
        <v>677</v>
      </c>
      <c r="V6" s="905"/>
      <c r="W6" s="905"/>
      <c r="X6" s="905"/>
      <c r="Y6" s="905"/>
      <c r="Z6" s="905"/>
      <c r="AA6" s="898"/>
      <c r="AB6" s="473"/>
    </row>
    <row r="7" spans="1:28" ht="24">
      <c r="A7" s="910"/>
      <c r="B7" s="911"/>
      <c r="C7" s="915"/>
      <c r="D7" s="472"/>
      <c r="E7" s="470" t="s">
        <v>468</v>
      </c>
      <c r="F7" s="442" t="s">
        <v>675</v>
      </c>
      <c r="G7" s="444" t="s">
        <v>676</v>
      </c>
      <c r="H7" s="446"/>
      <c r="I7" s="470" t="s">
        <v>468</v>
      </c>
      <c r="J7" s="442" t="s">
        <v>675</v>
      </c>
      <c r="K7" s="444" t="s">
        <v>676</v>
      </c>
      <c r="L7" s="471"/>
      <c r="M7" s="470" t="s">
        <v>468</v>
      </c>
      <c r="N7" s="470" t="s">
        <v>675</v>
      </c>
      <c r="O7" s="470" t="s">
        <v>674</v>
      </c>
      <c r="P7" s="470" t="s">
        <v>673</v>
      </c>
      <c r="Q7" s="470" t="s">
        <v>672</v>
      </c>
      <c r="R7" s="442" t="s">
        <v>671</v>
      </c>
      <c r="S7" s="470" t="s">
        <v>670</v>
      </c>
      <c r="T7" s="471"/>
      <c r="U7" s="470" t="s">
        <v>468</v>
      </c>
      <c r="V7" s="470" t="s">
        <v>675</v>
      </c>
      <c r="W7" s="470" t="s">
        <v>674</v>
      </c>
      <c r="X7" s="470" t="s">
        <v>673</v>
      </c>
      <c r="Y7" s="470" t="s">
        <v>672</v>
      </c>
      <c r="Z7" s="442" t="s">
        <v>671</v>
      </c>
      <c r="AA7" s="470" t="s">
        <v>670</v>
      </c>
      <c r="AB7" s="469"/>
    </row>
    <row r="8" spans="1:28">
      <c r="A8" s="468">
        <v>1</v>
      </c>
      <c r="B8" s="438" t="s">
        <v>469</v>
      </c>
      <c r="C8" s="761">
        <v>239895541.49802408</v>
      </c>
      <c r="D8" s="761">
        <v>238518755.13552719</v>
      </c>
      <c r="E8" s="761">
        <v>4572965.4129878171</v>
      </c>
      <c r="F8" s="761">
        <v>14846.109612477045</v>
      </c>
      <c r="G8" s="761">
        <v>0</v>
      </c>
      <c r="H8" s="761">
        <v>341808.04263590218</v>
      </c>
      <c r="I8" s="761">
        <v>0</v>
      </c>
      <c r="J8" s="761">
        <v>81415.31</v>
      </c>
      <c r="K8" s="761">
        <v>0</v>
      </c>
      <c r="L8" s="761">
        <v>1034978.3198610105</v>
      </c>
      <c r="M8" s="761">
        <v>87535.913014513426</v>
      </c>
      <c r="N8" s="761">
        <v>0</v>
      </c>
      <c r="O8" s="761">
        <v>92269.640000000014</v>
      </c>
      <c r="P8" s="761">
        <v>0</v>
      </c>
      <c r="Q8" s="761">
        <v>13432.880000000001</v>
      </c>
      <c r="R8" s="761">
        <v>2765.8900000000003</v>
      </c>
      <c r="S8" s="761">
        <v>220944.65000000002</v>
      </c>
      <c r="T8" s="433"/>
      <c r="U8" s="433"/>
      <c r="V8" s="433"/>
      <c r="W8" s="433"/>
      <c r="X8" s="433"/>
      <c r="Y8" s="433"/>
      <c r="Z8" s="433"/>
      <c r="AA8" s="433"/>
      <c r="AB8" s="465"/>
    </row>
    <row r="9" spans="1:28">
      <c r="A9" s="433">
        <v>1.1000000000000001</v>
      </c>
      <c r="B9" s="467" t="s">
        <v>470</v>
      </c>
      <c r="C9" s="758"/>
      <c r="D9" s="752"/>
      <c r="E9" s="752"/>
      <c r="F9" s="752"/>
      <c r="G9" s="752"/>
      <c r="H9" s="752"/>
      <c r="I9" s="752"/>
      <c r="J9" s="752"/>
      <c r="K9" s="752"/>
      <c r="L9" s="752"/>
      <c r="M9" s="752"/>
      <c r="N9" s="752"/>
      <c r="O9" s="752"/>
      <c r="P9" s="752"/>
      <c r="Q9" s="752"/>
      <c r="R9" s="752"/>
      <c r="S9" s="752"/>
      <c r="T9" s="433"/>
      <c r="U9" s="433"/>
      <c r="V9" s="433"/>
      <c r="W9" s="433"/>
      <c r="X9" s="433"/>
      <c r="Y9" s="433"/>
      <c r="Z9" s="433"/>
      <c r="AA9" s="433"/>
      <c r="AB9" s="465"/>
    </row>
    <row r="10" spans="1:28">
      <c r="A10" s="433">
        <v>1.2</v>
      </c>
      <c r="B10" s="467" t="s">
        <v>471</v>
      </c>
      <c r="C10" s="758"/>
      <c r="D10" s="752"/>
      <c r="E10" s="752"/>
      <c r="F10" s="752"/>
      <c r="G10" s="752"/>
      <c r="H10" s="752"/>
      <c r="I10" s="752"/>
      <c r="J10" s="752"/>
      <c r="K10" s="752"/>
      <c r="L10" s="752"/>
      <c r="M10" s="752"/>
      <c r="N10" s="752"/>
      <c r="O10" s="752"/>
      <c r="P10" s="752"/>
      <c r="Q10" s="752"/>
      <c r="R10" s="752"/>
      <c r="S10" s="752"/>
      <c r="T10" s="433"/>
      <c r="U10" s="433"/>
      <c r="V10" s="433"/>
      <c r="W10" s="433"/>
      <c r="X10" s="433"/>
      <c r="Y10" s="433"/>
      <c r="Z10" s="433"/>
      <c r="AA10" s="433"/>
      <c r="AB10" s="465"/>
    </row>
    <row r="11" spans="1:28">
      <c r="A11" s="433">
        <v>1.3</v>
      </c>
      <c r="B11" s="467" t="s">
        <v>472</v>
      </c>
      <c r="C11" s="758">
        <v>37840641.569559753</v>
      </c>
      <c r="D11" s="752">
        <v>37840641.569559753</v>
      </c>
      <c r="E11" s="752">
        <v>0</v>
      </c>
      <c r="F11" s="752">
        <v>0</v>
      </c>
      <c r="G11" s="752">
        <v>0</v>
      </c>
      <c r="H11" s="752">
        <v>0</v>
      </c>
      <c r="I11" s="752">
        <v>0</v>
      </c>
      <c r="J11" s="752">
        <v>0</v>
      </c>
      <c r="K11" s="752">
        <v>0</v>
      </c>
      <c r="L11" s="752">
        <v>0</v>
      </c>
      <c r="M11" s="752">
        <v>0</v>
      </c>
      <c r="N11" s="752">
        <v>0</v>
      </c>
      <c r="O11" s="752">
        <v>0</v>
      </c>
      <c r="P11" s="752">
        <v>0</v>
      </c>
      <c r="Q11" s="752">
        <v>0</v>
      </c>
      <c r="R11" s="752">
        <v>0</v>
      </c>
      <c r="S11" s="752">
        <v>0</v>
      </c>
      <c r="T11" s="433"/>
      <c r="U11" s="433"/>
      <c r="V11" s="433"/>
      <c r="W11" s="433"/>
      <c r="X11" s="433"/>
      <c r="Y11" s="433"/>
      <c r="Z11" s="433"/>
      <c r="AA11" s="433"/>
      <c r="AB11" s="465"/>
    </row>
    <row r="12" spans="1:28">
      <c r="A12" s="433">
        <v>1.4</v>
      </c>
      <c r="B12" s="467" t="s">
        <v>473</v>
      </c>
      <c r="C12" s="758">
        <v>16227081.18</v>
      </c>
      <c r="D12" s="752">
        <v>16227081.18</v>
      </c>
      <c r="E12" s="752">
        <v>0</v>
      </c>
      <c r="F12" s="752">
        <v>0</v>
      </c>
      <c r="G12" s="752">
        <v>0</v>
      </c>
      <c r="H12" s="752">
        <v>0</v>
      </c>
      <c r="I12" s="752">
        <v>0</v>
      </c>
      <c r="J12" s="752">
        <v>0</v>
      </c>
      <c r="K12" s="752">
        <v>0</v>
      </c>
      <c r="L12" s="752">
        <v>0</v>
      </c>
      <c r="M12" s="752">
        <v>0</v>
      </c>
      <c r="N12" s="752">
        <v>0</v>
      </c>
      <c r="O12" s="752">
        <v>0</v>
      </c>
      <c r="P12" s="752">
        <v>0</v>
      </c>
      <c r="Q12" s="752">
        <v>0</v>
      </c>
      <c r="R12" s="752">
        <v>0</v>
      </c>
      <c r="S12" s="752">
        <v>0</v>
      </c>
      <c r="T12" s="433"/>
      <c r="U12" s="433"/>
      <c r="V12" s="433"/>
      <c r="W12" s="433"/>
      <c r="X12" s="433"/>
      <c r="Y12" s="433"/>
      <c r="Z12" s="433"/>
      <c r="AA12" s="433"/>
      <c r="AB12" s="465"/>
    </row>
    <row r="13" spans="1:28">
      <c r="A13" s="433">
        <v>1.5</v>
      </c>
      <c r="B13" s="467" t="s">
        <v>474</v>
      </c>
      <c r="C13" s="758">
        <v>176695966.82723236</v>
      </c>
      <c r="D13" s="752">
        <v>175950786.85547799</v>
      </c>
      <c r="E13" s="752">
        <v>4468413.042987817</v>
      </c>
      <c r="F13" s="752">
        <v>14846.109612477045</v>
      </c>
      <c r="G13" s="752">
        <v>0</v>
      </c>
      <c r="H13" s="752">
        <v>341808.04263590218</v>
      </c>
      <c r="I13" s="752">
        <v>0</v>
      </c>
      <c r="J13" s="752">
        <v>81415.31</v>
      </c>
      <c r="K13" s="752">
        <v>0</v>
      </c>
      <c r="L13" s="752">
        <v>403371.92911849741</v>
      </c>
      <c r="M13" s="752">
        <v>0</v>
      </c>
      <c r="N13" s="752">
        <v>0</v>
      </c>
      <c r="O13" s="752">
        <v>0</v>
      </c>
      <c r="P13" s="752">
        <v>0</v>
      </c>
      <c r="Q13" s="752">
        <v>0</v>
      </c>
      <c r="R13" s="752">
        <v>0</v>
      </c>
      <c r="S13" s="752">
        <v>103816.47</v>
      </c>
      <c r="T13" s="433"/>
      <c r="U13" s="433"/>
      <c r="V13" s="433"/>
      <c r="W13" s="433"/>
      <c r="X13" s="433"/>
      <c r="Y13" s="433"/>
      <c r="Z13" s="433"/>
      <c r="AA13" s="433"/>
      <c r="AB13" s="465"/>
    </row>
    <row r="14" spans="1:28">
      <c r="A14" s="433">
        <v>1.6</v>
      </c>
      <c r="B14" s="467" t="s">
        <v>475</v>
      </c>
      <c r="C14" s="758">
        <v>9131851.9212319665</v>
      </c>
      <c r="D14" s="752">
        <v>8500245.530489454</v>
      </c>
      <c r="E14" s="752">
        <v>104552.37000000001</v>
      </c>
      <c r="F14" s="752">
        <v>0</v>
      </c>
      <c r="G14" s="752">
        <v>0</v>
      </c>
      <c r="H14" s="752">
        <v>0</v>
      </c>
      <c r="I14" s="752">
        <v>0</v>
      </c>
      <c r="J14" s="752">
        <v>0</v>
      </c>
      <c r="K14" s="752">
        <v>0</v>
      </c>
      <c r="L14" s="752">
        <v>631606.39074251312</v>
      </c>
      <c r="M14" s="752">
        <v>87535.913014513426</v>
      </c>
      <c r="N14" s="752">
        <v>0</v>
      </c>
      <c r="O14" s="752">
        <v>92269.640000000014</v>
      </c>
      <c r="P14" s="752">
        <v>0</v>
      </c>
      <c r="Q14" s="752">
        <v>13432.880000000001</v>
      </c>
      <c r="R14" s="752">
        <v>2765.8900000000003</v>
      </c>
      <c r="S14" s="752">
        <v>117128.18000000002</v>
      </c>
      <c r="T14" s="433"/>
      <c r="U14" s="433"/>
      <c r="V14" s="433"/>
      <c r="W14" s="433"/>
      <c r="X14" s="433"/>
      <c r="Y14" s="433"/>
      <c r="Z14" s="433"/>
      <c r="AA14" s="433"/>
      <c r="AB14" s="465"/>
    </row>
    <row r="15" spans="1:28">
      <c r="A15" s="468">
        <v>2</v>
      </c>
      <c r="B15" s="450" t="s">
        <v>476</v>
      </c>
      <c r="C15" s="761">
        <v>56448554.100278199</v>
      </c>
      <c r="D15" s="761">
        <v>56448554.100278199</v>
      </c>
      <c r="E15" s="761">
        <v>0</v>
      </c>
      <c r="F15" s="761">
        <v>0</v>
      </c>
      <c r="G15" s="761">
        <v>0</v>
      </c>
      <c r="H15" s="761">
        <v>0</v>
      </c>
      <c r="I15" s="761">
        <v>0</v>
      </c>
      <c r="J15" s="761">
        <v>0</v>
      </c>
      <c r="K15" s="761">
        <v>0</v>
      </c>
      <c r="L15" s="761">
        <v>0</v>
      </c>
      <c r="M15" s="761">
        <v>0</v>
      </c>
      <c r="N15" s="761">
        <v>0</v>
      </c>
      <c r="O15" s="761">
        <v>0</v>
      </c>
      <c r="P15" s="761">
        <v>0</v>
      </c>
      <c r="Q15" s="761">
        <v>0</v>
      </c>
      <c r="R15" s="761">
        <v>0</v>
      </c>
      <c r="S15" s="761">
        <v>0</v>
      </c>
      <c r="T15" s="433"/>
      <c r="U15" s="433"/>
      <c r="V15" s="433"/>
      <c r="W15" s="433"/>
      <c r="X15" s="433"/>
      <c r="Y15" s="433"/>
      <c r="Z15" s="433"/>
      <c r="AA15" s="433"/>
      <c r="AB15" s="465"/>
    </row>
    <row r="16" spans="1:28">
      <c r="A16" s="433">
        <v>2.1</v>
      </c>
      <c r="B16" s="467" t="s">
        <v>470</v>
      </c>
      <c r="C16" s="758">
        <v>992132.07</v>
      </c>
      <c r="D16" s="752">
        <v>992132.07</v>
      </c>
      <c r="E16" s="752"/>
      <c r="F16" s="752"/>
      <c r="G16" s="752"/>
      <c r="H16" s="752">
        <v>0</v>
      </c>
      <c r="I16" s="752"/>
      <c r="J16" s="752"/>
      <c r="K16" s="752"/>
      <c r="L16" s="752">
        <v>0</v>
      </c>
      <c r="M16" s="752"/>
      <c r="N16" s="752"/>
      <c r="O16" s="752"/>
      <c r="P16" s="752"/>
      <c r="Q16" s="752"/>
      <c r="R16" s="752"/>
      <c r="S16" s="752"/>
      <c r="T16" s="433"/>
      <c r="U16" s="433"/>
      <c r="V16" s="433"/>
      <c r="W16" s="433"/>
      <c r="X16" s="433"/>
      <c r="Y16" s="433"/>
      <c r="Z16" s="433"/>
      <c r="AA16" s="433"/>
      <c r="AB16" s="465"/>
    </row>
    <row r="17" spans="1:28">
      <c r="A17" s="433">
        <v>2.2000000000000002</v>
      </c>
      <c r="B17" s="467" t="s">
        <v>471</v>
      </c>
      <c r="C17" s="758">
        <v>5563261.3200000003</v>
      </c>
      <c r="D17" s="752">
        <v>5563261.3200000003</v>
      </c>
      <c r="E17" s="752"/>
      <c r="F17" s="752"/>
      <c r="G17" s="752"/>
      <c r="H17" s="752">
        <v>0</v>
      </c>
      <c r="I17" s="752"/>
      <c r="J17" s="752"/>
      <c r="K17" s="752"/>
      <c r="L17" s="752">
        <v>0</v>
      </c>
      <c r="M17" s="752"/>
      <c r="N17" s="752"/>
      <c r="O17" s="752"/>
      <c r="P17" s="752"/>
      <c r="Q17" s="752"/>
      <c r="R17" s="752"/>
      <c r="S17" s="752"/>
      <c r="T17" s="433"/>
      <c r="U17" s="433"/>
      <c r="V17" s="433"/>
      <c r="W17" s="433"/>
      <c r="X17" s="433"/>
      <c r="Y17" s="433"/>
      <c r="Z17" s="433"/>
      <c r="AA17" s="433"/>
      <c r="AB17" s="465"/>
    </row>
    <row r="18" spans="1:28">
      <c r="A18" s="433">
        <v>2.2999999999999998</v>
      </c>
      <c r="B18" s="467" t="s">
        <v>472</v>
      </c>
      <c r="C18" s="758">
        <v>5447538.4172369931</v>
      </c>
      <c r="D18" s="752">
        <v>5447538.4172369931</v>
      </c>
      <c r="E18" s="752"/>
      <c r="F18" s="752"/>
      <c r="G18" s="752"/>
      <c r="H18" s="752"/>
      <c r="I18" s="752"/>
      <c r="J18" s="752"/>
      <c r="K18" s="752"/>
      <c r="L18" s="752"/>
      <c r="M18" s="752"/>
      <c r="N18" s="752"/>
      <c r="O18" s="752"/>
      <c r="P18" s="752"/>
      <c r="Q18" s="752"/>
      <c r="R18" s="752"/>
      <c r="S18" s="752"/>
      <c r="T18" s="433"/>
      <c r="U18" s="433"/>
      <c r="V18" s="433"/>
      <c r="W18" s="433"/>
      <c r="X18" s="433"/>
      <c r="Y18" s="433"/>
      <c r="Z18" s="433"/>
      <c r="AA18" s="433"/>
      <c r="AB18" s="465"/>
    </row>
    <row r="19" spans="1:28">
      <c r="A19" s="433">
        <v>2.4</v>
      </c>
      <c r="B19" s="467" t="s">
        <v>473</v>
      </c>
      <c r="C19" s="758">
        <v>2694214.4024577131</v>
      </c>
      <c r="D19" s="752">
        <v>2694214.4024577131</v>
      </c>
      <c r="E19" s="752"/>
      <c r="F19" s="752"/>
      <c r="G19" s="752"/>
      <c r="H19" s="752"/>
      <c r="I19" s="752"/>
      <c r="J19" s="752"/>
      <c r="K19" s="752"/>
      <c r="L19" s="752"/>
      <c r="M19" s="752"/>
      <c r="N19" s="752"/>
      <c r="O19" s="752"/>
      <c r="P19" s="752"/>
      <c r="Q19" s="752"/>
      <c r="R19" s="752"/>
      <c r="S19" s="752"/>
      <c r="T19" s="433"/>
      <c r="U19" s="433"/>
      <c r="V19" s="433"/>
      <c r="W19" s="433"/>
      <c r="X19" s="433"/>
      <c r="Y19" s="433"/>
      <c r="Z19" s="433"/>
      <c r="AA19" s="433"/>
      <c r="AB19" s="465"/>
    </row>
    <row r="20" spans="1:28">
      <c r="A20" s="433">
        <v>2.5</v>
      </c>
      <c r="B20" s="467" t="s">
        <v>474</v>
      </c>
      <c r="C20" s="758">
        <v>51306230.322234973</v>
      </c>
      <c r="D20" s="752">
        <v>51306230.322234973</v>
      </c>
      <c r="E20" s="752"/>
      <c r="F20" s="752"/>
      <c r="G20" s="752"/>
      <c r="H20" s="752">
        <v>0</v>
      </c>
      <c r="I20" s="752"/>
      <c r="J20" s="752"/>
      <c r="K20" s="752"/>
      <c r="L20" s="752">
        <v>0</v>
      </c>
      <c r="M20" s="752"/>
      <c r="N20" s="752"/>
      <c r="O20" s="752"/>
      <c r="P20" s="752"/>
      <c r="Q20" s="752"/>
      <c r="R20" s="752"/>
      <c r="S20" s="752"/>
      <c r="T20" s="433"/>
      <c r="U20" s="433"/>
      <c r="V20" s="433"/>
      <c r="W20" s="433"/>
      <c r="X20" s="433"/>
      <c r="Y20" s="433"/>
      <c r="Z20" s="433"/>
      <c r="AA20" s="433"/>
      <c r="AB20" s="465"/>
    </row>
    <row r="21" spans="1:28">
      <c r="A21" s="433">
        <v>2.6</v>
      </c>
      <c r="B21" s="467" t="s">
        <v>475</v>
      </c>
      <c r="C21" s="758"/>
      <c r="D21" s="752"/>
      <c r="E21" s="752"/>
      <c r="F21" s="752"/>
      <c r="G21" s="752"/>
      <c r="H21" s="752"/>
      <c r="I21" s="752"/>
      <c r="J21" s="752"/>
      <c r="K21" s="752"/>
      <c r="L21" s="752"/>
      <c r="M21" s="752"/>
      <c r="N21" s="752"/>
      <c r="O21" s="752"/>
      <c r="P21" s="752"/>
      <c r="Q21" s="752"/>
      <c r="R21" s="752"/>
      <c r="S21" s="752"/>
      <c r="T21" s="433"/>
      <c r="U21" s="433"/>
      <c r="V21" s="433"/>
      <c r="W21" s="433"/>
      <c r="X21" s="433"/>
      <c r="Y21" s="433"/>
      <c r="Z21" s="433"/>
      <c r="AA21" s="433"/>
      <c r="AB21" s="465"/>
    </row>
    <row r="22" spans="1:28">
      <c r="A22" s="468">
        <v>3</v>
      </c>
      <c r="B22" s="438" t="s">
        <v>516</v>
      </c>
      <c r="C22" s="754">
        <v>96755570.540000007</v>
      </c>
      <c r="D22" s="754">
        <v>96755570.540000007</v>
      </c>
      <c r="E22" s="759">
        <v>0</v>
      </c>
      <c r="F22" s="759"/>
      <c r="G22" s="759"/>
      <c r="H22" s="754">
        <v>0</v>
      </c>
      <c r="I22" s="759"/>
      <c r="J22" s="759"/>
      <c r="K22" s="759"/>
      <c r="L22" s="754">
        <v>0</v>
      </c>
      <c r="M22" s="759"/>
      <c r="N22" s="759"/>
      <c r="O22" s="759"/>
      <c r="P22" s="759"/>
      <c r="Q22" s="759"/>
      <c r="R22" s="759"/>
      <c r="S22" s="759"/>
      <c r="T22" s="438"/>
      <c r="U22" s="466"/>
      <c r="V22" s="466"/>
      <c r="W22" s="466"/>
      <c r="X22" s="466"/>
      <c r="Y22" s="466"/>
      <c r="Z22" s="466"/>
      <c r="AA22" s="466"/>
      <c r="AB22" s="465"/>
    </row>
    <row r="23" spans="1:28">
      <c r="A23" s="433">
        <v>3.1</v>
      </c>
      <c r="B23" s="467" t="s">
        <v>470</v>
      </c>
      <c r="C23" s="758"/>
      <c r="D23" s="754"/>
      <c r="E23" s="759"/>
      <c r="F23" s="759"/>
      <c r="G23" s="759"/>
      <c r="H23" s="754"/>
      <c r="I23" s="759"/>
      <c r="J23" s="759"/>
      <c r="K23" s="759"/>
      <c r="L23" s="754"/>
      <c r="M23" s="759"/>
      <c r="N23" s="759"/>
      <c r="O23" s="759"/>
      <c r="P23" s="759"/>
      <c r="Q23" s="759"/>
      <c r="R23" s="759"/>
      <c r="S23" s="759"/>
      <c r="T23" s="438"/>
      <c r="U23" s="466"/>
      <c r="V23" s="466"/>
      <c r="W23" s="466"/>
      <c r="X23" s="466"/>
      <c r="Y23" s="466"/>
      <c r="Z23" s="466"/>
      <c r="AA23" s="466"/>
      <c r="AB23" s="465"/>
    </row>
    <row r="24" spans="1:28">
      <c r="A24" s="433">
        <v>3.2</v>
      </c>
      <c r="B24" s="467" t="s">
        <v>471</v>
      </c>
      <c r="C24" s="758"/>
      <c r="D24" s="754"/>
      <c r="E24" s="759"/>
      <c r="F24" s="759"/>
      <c r="G24" s="759"/>
      <c r="H24" s="754"/>
      <c r="I24" s="759"/>
      <c r="J24" s="759"/>
      <c r="K24" s="759"/>
      <c r="L24" s="754"/>
      <c r="M24" s="759"/>
      <c r="N24" s="759"/>
      <c r="O24" s="759"/>
      <c r="P24" s="759"/>
      <c r="Q24" s="759"/>
      <c r="R24" s="759"/>
      <c r="S24" s="759"/>
      <c r="T24" s="438"/>
      <c r="U24" s="466"/>
      <c r="V24" s="466"/>
      <c r="W24" s="466"/>
      <c r="X24" s="466"/>
      <c r="Y24" s="466"/>
      <c r="Z24" s="466"/>
      <c r="AA24" s="466"/>
      <c r="AB24" s="465"/>
    </row>
    <row r="25" spans="1:28">
      <c r="A25" s="433">
        <v>3.3</v>
      </c>
      <c r="B25" s="467" t="s">
        <v>472</v>
      </c>
      <c r="C25" s="758">
        <v>73528801.879244</v>
      </c>
      <c r="D25" s="760">
        <v>73528801.879244</v>
      </c>
      <c r="E25" s="759"/>
      <c r="F25" s="759"/>
      <c r="G25" s="759"/>
      <c r="H25" s="754">
        <v>0</v>
      </c>
      <c r="I25" s="759"/>
      <c r="J25" s="759"/>
      <c r="K25" s="759"/>
      <c r="L25" s="754">
        <v>0</v>
      </c>
      <c r="M25" s="759"/>
      <c r="N25" s="759"/>
      <c r="O25" s="759"/>
      <c r="P25" s="759"/>
      <c r="Q25" s="759"/>
      <c r="R25" s="759"/>
      <c r="S25" s="759"/>
      <c r="T25" s="438"/>
      <c r="U25" s="466"/>
      <c r="V25" s="466"/>
      <c r="W25" s="466"/>
      <c r="X25" s="466"/>
      <c r="Y25" s="466"/>
      <c r="Z25" s="466"/>
      <c r="AA25" s="466"/>
      <c r="AB25" s="465"/>
    </row>
    <row r="26" spans="1:28">
      <c r="A26" s="433">
        <v>3.4</v>
      </c>
      <c r="B26" s="467" t="s">
        <v>473</v>
      </c>
      <c r="C26" s="758">
        <v>0</v>
      </c>
      <c r="D26" s="760">
        <v>0</v>
      </c>
      <c r="E26" s="759"/>
      <c r="F26" s="759"/>
      <c r="G26" s="759"/>
      <c r="H26" s="754">
        <v>0</v>
      </c>
      <c r="I26" s="759"/>
      <c r="J26" s="759"/>
      <c r="K26" s="759"/>
      <c r="L26" s="754">
        <v>0</v>
      </c>
      <c r="M26" s="759"/>
      <c r="N26" s="759"/>
      <c r="O26" s="759"/>
      <c r="P26" s="759"/>
      <c r="Q26" s="759"/>
      <c r="R26" s="759"/>
      <c r="S26" s="759"/>
      <c r="T26" s="438"/>
      <c r="U26" s="466"/>
      <c r="V26" s="466"/>
      <c r="W26" s="466"/>
      <c r="X26" s="466"/>
      <c r="Y26" s="466"/>
      <c r="Z26" s="466"/>
      <c r="AA26" s="466"/>
      <c r="AB26" s="465"/>
    </row>
    <row r="27" spans="1:28">
      <c r="A27" s="433">
        <v>3.5</v>
      </c>
      <c r="B27" s="467" t="s">
        <v>474</v>
      </c>
      <c r="C27" s="758">
        <v>25398822.304323997</v>
      </c>
      <c r="D27" s="760">
        <v>25398822.304323997</v>
      </c>
      <c r="E27" s="759"/>
      <c r="F27" s="759"/>
      <c r="G27" s="759"/>
      <c r="H27" s="754">
        <v>0</v>
      </c>
      <c r="I27" s="759"/>
      <c r="J27" s="759"/>
      <c r="K27" s="759"/>
      <c r="L27" s="754">
        <v>0</v>
      </c>
      <c r="M27" s="759"/>
      <c r="N27" s="759"/>
      <c r="O27" s="759"/>
      <c r="P27" s="759"/>
      <c r="Q27" s="759"/>
      <c r="R27" s="759"/>
      <c r="S27" s="759"/>
      <c r="T27" s="438"/>
      <c r="U27" s="466"/>
      <c r="V27" s="466"/>
      <c r="W27" s="466"/>
      <c r="X27" s="466"/>
      <c r="Y27" s="466"/>
      <c r="Z27" s="466"/>
      <c r="AA27" s="466"/>
      <c r="AB27" s="465"/>
    </row>
    <row r="28" spans="1:28">
      <c r="A28" s="433">
        <v>3.6</v>
      </c>
      <c r="B28" s="467" t="s">
        <v>475</v>
      </c>
      <c r="C28" s="758">
        <v>38364</v>
      </c>
      <c r="D28" s="760">
        <v>38364</v>
      </c>
      <c r="E28" s="759"/>
      <c r="F28" s="759"/>
      <c r="G28" s="759"/>
      <c r="H28" s="754">
        <v>0</v>
      </c>
      <c r="I28" s="759"/>
      <c r="J28" s="759"/>
      <c r="K28" s="759"/>
      <c r="L28" s="754">
        <v>0</v>
      </c>
      <c r="M28" s="759"/>
      <c r="N28" s="759"/>
      <c r="O28" s="759"/>
      <c r="P28" s="759"/>
      <c r="Q28" s="759"/>
      <c r="R28" s="759"/>
      <c r="S28" s="759"/>
      <c r="T28" s="438"/>
      <c r="U28" s="466"/>
      <c r="V28" s="466"/>
      <c r="W28" s="466"/>
      <c r="X28" s="466"/>
      <c r="Y28" s="466"/>
      <c r="Z28" s="466"/>
      <c r="AA28" s="466"/>
      <c r="AB28" s="46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3"/>
  <sheetViews>
    <sheetView showGridLines="0" zoomScaleNormal="100" workbookViewId="0">
      <selection activeCell="A5" sqref="A5:B7"/>
    </sheetView>
  </sheetViews>
  <sheetFormatPr defaultColWidth="9.109375" defaultRowHeight="12"/>
  <cols>
    <col min="1" max="1" width="11.88671875" style="445" bestFit="1" customWidth="1"/>
    <col min="2" max="2" width="38.5546875" style="445" bestFit="1" customWidth="1"/>
    <col min="3" max="3" width="14.44140625" style="445" bestFit="1" customWidth="1"/>
    <col min="4" max="4" width="12.5546875" style="445" bestFit="1" customWidth="1"/>
    <col min="5" max="5" width="13.88671875" style="445" bestFit="1" customWidth="1"/>
    <col min="6" max="6" width="15.5546875" style="445" bestFit="1" customWidth="1"/>
    <col min="7" max="7" width="17" style="445" customWidth="1"/>
    <col min="8" max="8" width="9" style="445" bestFit="1" customWidth="1"/>
    <col min="9" max="9" width="13.88671875" style="445" bestFit="1" customWidth="1"/>
    <col min="10" max="10" width="17.109375" style="445" customWidth="1"/>
    <col min="11" max="27" width="22.33203125" style="445" customWidth="1"/>
    <col min="28" max="16384" width="9.109375" style="445"/>
  </cols>
  <sheetData>
    <row r="1" spans="1:27" ht="13.2">
      <c r="A1" s="364" t="s">
        <v>30</v>
      </c>
      <c r="B1" s="546" t="str">
        <f>'1. key ratios '!B1</f>
        <v>JSC Isbank Georgia</v>
      </c>
    </row>
    <row r="2" spans="1:27" ht="13.2">
      <c r="A2" s="365" t="s">
        <v>31</v>
      </c>
      <c r="B2" s="547">
        <f>'1. key ratios '!B2</f>
        <v>45199</v>
      </c>
    </row>
    <row r="3" spans="1:27">
      <c r="A3" s="366" t="s">
        <v>478</v>
      </c>
      <c r="C3" s="447"/>
    </row>
    <row r="4" spans="1:27" ht="12.6" thickBot="1">
      <c r="A4" s="366"/>
      <c r="B4" s="514"/>
      <c r="C4" s="447"/>
    </row>
    <row r="5" spans="1:27" s="478" customFormat="1" ht="13.5" customHeight="1">
      <c r="A5" s="918" t="s">
        <v>684</v>
      </c>
      <c r="B5" s="919"/>
      <c r="C5" s="927" t="s">
        <v>683</v>
      </c>
      <c r="D5" s="928"/>
      <c r="E5" s="928"/>
      <c r="F5" s="928"/>
      <c r="G5" s="928"/>
      <c r="H5" s="928"/>
      <c r="I5" s="928"/>
      <c r="J5" s="928"/>
      <c r="K5" s="928"/>
      <c r="L5" s="928"/>
      <c r="M5" s="928"/>
      <c r="N5" s="928"/>
      <c r="O5" s="928"/>
      <c r="P5" s="928"/>
      <c r="Q5" s="928"/>
      <c r="R5" s="928"/>
      <c r="S5" s="929"/>
      <c r="T5" s="477"/>
      <c r="U5" s="477"/>
      <c r="V5" s="477"/>
      <c r="W5" s="477"/>
      <c r="X5" s="477"/>
      <c r="Y5" s="477"/>
      <c r="Z5" s="477"/>
      <c r="AA5" s="476"/>
    </row>
    <row r="6" spans="1:27" s="478" customFormat="1" ht="12" customHeight="1">
      <c r="A6" s="920"/>
      <c r="B6" s="921"/>
      <c r="C6" s="924" t="s">
        <v>64</v>
      </c>
      <c r="D6" s="916" t="s">
        <v>680</v>
      </c>
      <c r="E6" s="916"/>
      <c r="F6" s="916"/>
      <c r="G6" s="916"/>
      <c r="H6" s="916" t="s">
        <v>679</v>
      </c>
      <c r="I6" s="916"/>
      <c r="J6" s="916"/>
      <c r="K6" s="916"/>
      <c r="L6" s="475"/>
      <c r="M6" s="917" t="s">
        <v>678</v>
      </c>
      <c r="N6" s="917"/>
      <c r="O6" s="917"/>
      <c r="P6" s="917"/>
      <c r="Q6" s="917"/>
      <c r="R6" s="917"/>
      <c r="S6" s="926"/>
      <c r="T6" s="477"/>
      <c r="U6" s="905" t="s">
        <v>677</v>
      </c>
      <c r="V6" s="905"/>
      <c r="W6" s="905"/>
      <c r="X6" s="905"/>
      <c r="Y6" s="905"/>
      <c r="Z6" s="905"/>
      <c r="AA6" s="898"/>
    </row>
    <row r="7" spans="1:27" s="478" customFormat="1" ht="24">
      <c r="A7" s="922"/>
      <c r="B7" s="923"/>
      <c r="C7" s="925"/>
      <c r="D7" s="472"/>
      <c r="E7" s="470" t="s">
        <v>468</v>
      </c>
      <c r="F7" s="442" t="s">
        <v>675</v>
      </c>
      <c r="G7" s="444" t="s">
        <v>676</v>
      </c>
      <c r="H7" s="513"/>
      <c r="I7" s="470" t="s">
        <v>468</v>
      </c>
      <c r="J7" s="442" t="s">
        <v>675</v>
      </c>
      <c r="K7" s="444" t="s">
        <v>676</v>
      </c>
      <c r="L7" s="471"/>
      <c r="M7" s="470" t="s">
        <v>468</v>
      </c>
      <c r="N7" s="442" t="s">
        <v>675</v>
      </c>
      <c r="O7" s="442" t="s">
        <v>674</v>
      </c>
      <c r="P7" s="442" t="s">
        <v>673</v>
      </c>
      <c r="Q7" s="442" t="s">
        <v>672</v>
      </c>
      <c r="R7" s="442" t="s">
        <v>671</v>
      </c>
      <c r="S7" s="512" t="s">
        <v>670</v>
      </c>
      <c r="T7" s="511"/>
      <c r="U7" s="470" t="s">
        <v>468</v>
      </c>
      <c r="V7" s="470" t="s">
        <v>675</v>
      </c>
      <c r="W7" s="470" t="s">
        <v>674</v>
      </c>
      <c r="X7" s="470" t="s">
        <v>673</v>
      </c>
      <c r="Y7" s="470" t="s">
        <v>672</v>
      </c>
      <c r="Z7" s="442" t="s">
        <v>671</v>
      </c>
      <c r="AA7" s="470" t="s">
        <v>670</v>
      </c>
    </row>
    <row r="8" spans="1:27">
      <c r="A8" s="510">
        <v>1</v>
      </c>
      <c r="B8" s="509" t="s">
        <v>469</v>
      </c>
      <c r="C8" s="774">
        <v>239895541.49802408</v>
      </c>
      <c r="D8" s="761">
        <v>238518755.13552719</v>
      </c>
      <c r="E8" s="761">
        <v>4572965.4129878171</v>
      </c>
      <c r="F8" s="761">
        <v>14846.109612477045</v>
      </c>
      <c r="G8" s="761">
        <v>0</v>
      </c>
      <c r="H8" s="761">
        <v>341808.04263590218</v>
      </c>
      <c r="I8" s="761">
        <v>0</v>
      </c>
      <c r="J8" s="761">
        <v>81415.31</v>
      </c>
      <c r="K8" s="761">
        <v>0</v>
      </c>
      <c r="L8" s="761">
        <v>1034978.3198610105</v>
      </c>
      <c r="M8" s="761">
        <v>87535.913014513426</v>
      </c>
      <c r="N8" s="761">
        <v>0</v>
      </c>
      <c r="O8" s="761">
        <v>92269.640000000014</v>
      </c>
      <c r="P8" s="761">
        <v>0</v>
      </c>
      <c r="Q8" s="761">
        <v>13432.880000000001</v>
      </c>
      <c r="R8" s="761">
        <v>2765.8900000000003</v>
      </c>
      <c r="S8" s="775">
        <v>220944.65000000002</v>
      </c>
      <c r="T8" s="501"/>
      <c r="U8" s="433"/>
      <c r="V8" s="433"/>
      <c r="W8" s="433"/>
      <c r="X8" s="433"/>
      <c r="Y8" s="433"/>
      <c r="Z8" s="433"/>
      <c r="AA8" s="500"/>
    </row>
    <row r="9" spans="1:27">
      <c r="A9" s="507">
        <v>1.1000000000000001</v>
      </c>
      <c r="B9" s="508" t="s">
        <v>479</v>
      </c>
      <c r="C9" s="763">
        <v>183057081.28590497</v>
      </c>
      <c r="D9" s="752">
        <v>182135531.52332103</v>
      </c>
      <c r="E9" s="752">
        <v>4416716.7858999996</v>
      </c>
      <c r="F9" s="752">
        <v>10491.945637000001</v>
      </c>
      <c r="G9" s="752">
        <v>0</v>
      </c>
      <c r="H9" s="752">
        <v>334059.50185400003</v>
      </c>
      <c r="I9" s="752">
        <v>0</v>
      </c>
      <c r="J9" s="752">
        <v>76065.88</v>
      </c>
      <c r="K9" s="752">
        <v>0</v>
      </c>
      <c r="L9" s="752">
        <v>587490.26072999998</v>
      </c>
      <c r="M9" s="752">
        <v>81293.234664999996</v>
      </c>
      <c r="N9" s="752">
        <v>0</v>
      </c>
      <c r="O9" s="752">
        <v>79264.010000000009</v>
      </c>
      <c r="P9" s="752">
        <v>0</v>
      </c>
      <c r="Q9" s="752">
        <v>4393.1400000000003</v>
      </c>
      <c r="R9" s="752">
        <v>0</v>
      </c>
      <c r="S9" s="762">
        <v>157279.01</v>
      </c>
      <c r="T9" s="501"/>
      <c r="U9" s="433"/>
      <c r="V9" s="433"/>
      <c r="W9" s="433"/>
      <c r="X9" s="433"/>
      <c r="Y9" s="433"/>
      <c r="Z9" s="433"/>
      <c r="AA9" s="500"/>
    </row>
    <row r="10" spans="1:27">
      <c r="A10" s="505" t="s">
        <v>14</v>
      </c>
      <c r="B10" s="506" t="s">
        <v>480</v>
      </c>
      <c r="C10" s="764">
        <v>110667689.16734001</v>
      </c>
      <c r="D10" s="752">
        <v>109996212.06475601</v>
      </c>
      <c r="E10" s="752">
        <v>4133600.4358999999</v>
      </c>
      <c r="F10" s="752">
        <v>10491.945637000001</v>
      </c>
      <c r="G10" s="752">
        <v>0</v>
      </c>
      <c r="H10" s="752">
        <v>334059.50185400003</v>
      </c>
      <c r="I10" s="752">
        <v>0</v>
      </c>
      <c r="J10" s="752">
        <v>76065.88</v>
      </c>
      <c r="K10" s="752">
        <v>0</v>
      </c>
      <c r="L10" s="752">
        <v>337417.60073000001</v>
      </c>
      <c r="M10" s="752">
        <v>81293.234664999996</v>
      </c>
      <c r="N10" s="752">
        <v>0</v>
      </c>
      <c r="O10" s="752">
        <v>79264.010000000009</v>
      </c>
      <c r="P10" s="752">
        <v>0</v>
      </c>
      <c r="Q10" s="752">
        <v>0</v>
      </c>
      <c r="R10" s="752">
        <v>0</v>
      </c>
      <c r="S10" s="762">
        <v>0</v>
      </c>
      <c r="T10" s="501"/>
      <c r="U10" s="433"/>
      <c r="V10" s="433"/>
      <c r="W10" s="433"/>
      <c r="X10" s="433"/>
      <c r="Y10" s="433"/>
      <c r="Z10" s="433"/>
      <c r="AA10" s="500"/>
    </row>
    <row r="11" spans="1:27">
      <c r="A11" s="504" t="s">
        <v>481</v>
      </c>
      <c r="B11" s="503" t="s">
        <v>482</v>
      </c>
      <c r="C11" s="765">
        <v>47579151.326101996</v>
      </c>
      <c r="D11" s="752">
        <v>47053637.393518001</v>
      </c>
      <c r="E11" s="752">
        <v>4030589.1958999997</v>
      </c>
      <c r="F11" s="752">
        <v>10491.945637000001</v>
      </c>
      <c r="G11" s="752">
        <v>0</v>
      </c>
      <c r="H11" s="752">
        <v>334059.50185400003</v>
      </c>
      <c r="I11" s="752">
        <v>0</v>
      </c>
      <c r="J11" s="752">
        <v>76065.88</v>
      </c>
      <c r="K11" s="752">
        <v>0</v>
      </c>
      <c r="L11" s="752">
        <v>191454.43073000002</v>
      </c>
      <c r="M11" s="752">
        <v>81293.234664999996</v>
      </c>
      <c r="N11" s="752">
        <v>0</v>
      </c>
      <c r="O11" s="752">
        <v>0</v>
      </c>
      <c r="P11" s="752">
        <v>0</v>
      </c>
      <c r="Q11" s="752">
        <v>0</v>
      </c>
      <c r="R11" s="752">
        <v>0</v>
      </c>
      <c r="S11" s="762">
        <v>0</v>
      </c>
      <c r="T11" s="501"/>
      <c r="U11" s="433"/>
      <c r="V11" s="433"/>
      <c r="W11" s="433"/>
      <c r="X11" s="433"/>
      <c r="Y11" s="433"/>
      <c r="Z11" s="433"/>
      <c r="AA11" s="500"/>
    </row>
    <row r="12" spans="1:27">
      <c r="A12" s="504" t="s">
        <v>483</v>
      </c>
      <c r="B12" s="503" t="s">
        <v>484</v>
      </c>
      <c r="C12" s="765">
        <v>10331525.271453001</v>
      </c>
      <c r="D12" s="752">
        <v>10331525.271453001</v>
      </c>
      <c r="E12" s="752">
        <v>0</v>
      </c>
      <c r="F12" s="752">
        <v>0</v>
      </c>
      <c r="G12" s="752">
        <v>0</v>
      </c>
      <c r="H12" s="752">
        <v>0</v>
      </c>
      <c r="I12" s="752">
        <v>0</v>
      </c>
      <c r="J12" s="752">
        <v>0</v>
      </c>
      <c r="K12" s="752">
        <v>0</v>
      </c>
      <c r="L12" s="752">
        <v>0</v>
      </c>
      <c r="M12" s="752">
        <v>0</v>
      </c>
      <c r="N12" s="752">
        <v>0</v>
      </c>
      <c r="O12" s="752">
        <v>0</v>
      </c>
      <c r="P12" s="752">
        <v>0</v>
      </c>
      <c r="Q12" s="752">
        <v>0</v>
      </c>
      <c r="R12" s="752">
        <v>0</v>
      </c>
      <c r="S12" s="762">
        <v>0</v>
      </c>
      <c r="T12" s="501"/>
      <c r="U12" s="433"/>
      <c r="V12" s="433"/>
      <c r="W12" s="433"/>
      <c r="X12" s="433"/>
      <c r="Y12" s="433"/>
      <c r="Z12" s="433"/>
      <c r="AA12" s="500"/>
    </row>
    <row r="13" spans="1:27">
      <c r="A13" s="504" t="s">
        <v>485</v>
      </c>
      <c r="B13" s="503" t="s">
        <v>486</v>
      </c>
      <c r="C13" s="765">
        <v>9043039.3422999997</v>
      </c>
      <c r="D13" s="752">
        <v>8897076.1722999997</v>
      </c>
      <c r="E13" s="752">
        <v>103011.24</v>
      </c>
      <c r="F13" s="752">
        <v>0</v>
      </c>
      <c r="G13" s="752">
        <v>0</v>
      </c>
      <c r="H13" s="752">
        <v>0</v>
      </c>
      <c r="I13" s="752">
        <v>0</v>
      </c>
      <c r="J13" s="752">
        <v>0</v>
      </c>
      <c r="K13" s="752">
        <v>0</v>
      </c>
      <c r="L13" s="752">
        <v>145963.17000000001</v>
      </c>
      <c r="M13" s="752">
        <v>0</v>
      </c>
      <c r="N13" s="752">
        <v>0</v>
      </c>
      <c r="O13" s="752">
        <v>79264.010000000009</v>
      </c>
      <c r="P13" s="752">
        <v>0</v>
      </c>
      <c r="Q13" s="752">
        <v>0</v>
      </c>
      <c r="R13" s="752">
        <v>0</v>
      </c>
      <c r="S13" s="762">
        <v>0</v>
      </c>
      <c r="T13" s="501"/>
      <c r="U13" s="433"/>
      <c r="V13" s="433"/>
      <c r="W13" s="433"/>
      <c r="X13" s="433"/>
      <c r="Y13" s="433"/>
      <c r="Z13" s="433"/>
      <c r="AA13" s="500"/>
    </row>
    <row r="14" spans="1:27">
      <c r="A14" s="504" t="s">
        <v>487</v>
      </c>
      <c r="B14" s="503" t="s">
        <v>488</v>
      </c>
      <c r="C14" s="765">
        <v>43713973.227485031</v>
      </c>
      <c r="D14" s="752">
        <v>43713973.227485031</v>
      </c>
      <c r="E14" s="752">
        <v>0</v>
      </c>
      <c r="F14" s="752">
        <v>0</v>
      </c>
      <c r="G14" s="752">
        <v>0</v>
      </c>
      <c r="H14" s="752">
        <v>0</v>
      </c>
      <c r="I14" s="752">
        <v>0</v>
      </c>
      <c r="J14" s="752">
        <v>0</v>
      </c>
      <c r="K14" s="752">
        <v>0</v>
      </c>
      <c r="L14" s="752">
        <v>0</v>
      </c>
      <c r="M14" s="752">
        <v>0</v>
      </c>
      <c r="N14" s="752">
        <v>0</v>
      </c>
      <c r="O14" s="752">
        <v>0</v>
      </c>
      <c r="P14" s="752">
        <v>0</v>
      </c>
      <c r="Q14" s="752">
        <v>0</v>
      </c>
      <c r="R14" s="752">
        <v>0</v>
      </c>
      <c r="S14" s="762">
        <v>0</v>
      </c>
      <c r="T14" s="501"/>
      <c r="U14" s="433"/>
      <c r="V14" s="433"/>
      <c r="W14" s="433"/>
      <c r="X14" s="433"/>
      <c r="Y14" s="433"/>
      <c r="Z14" s="433"/>
      <c r="AA14" s="500"/>
    </row>
    <row r="15" spans="1:27">
      <c r="A15" s="502">
        <v>1.2</v>
      </c>
      <c r="B15" s="498" t="s">
        <v>682</v>
      </c>
      <c r="C15" s="766">
        <v>1604674.4632188424</v>
      </c>
      <c r="D15" s="752">
        <v>1229927.1641618293</v>
      </c>
      <c r="E15" s="752">
        <v>7863.8606034687527</v>
      </c>
      <c r="F15" s="752">
        <v>5.2087647184209027E-6</v>
      </c>
      <c r="G15" s="752">
        <v>0</v>
      </c>
      <c r="H15" s="752">
        <v>2.7500515471692308E-3</v>
      </c>
      <c r="I15" s="752">
        <v>0</v>
      </c>
      <c r="J15" s="752">
        <v>6.1706584394612932E-4</v>
      </c>
      <c r="K15" s="752">
        <v>0</v>
      </c>
      <c r="L15" s="752">
        <v>374747.29630696151</v>
      </c>
      <c r="M15" s="752">
        <v>1.6183174546589193E-4</v>
      </c>
      <c r="N15" s="752">
        <v>0</v>
      </c>
      <c r="O15" s="752">
        <v>9213.1506857110016</v>
      </c>
      <c r="P15" s="752">
        <v>0</v>
      </c>
      <c r="Q15" s="752">
        <v>2360.3091081578291</v>
      </c>
      <c r="R15" s="752">
        <v>0</v>
      </c>
      <c r="S15" s="762">
        <v>157279.01</v>
      </c>
      <c r="T15" s="501"/>
      <c r="U15" s="433"/>
      <c r="V15" s="433"/>
      <c r="W15" s="433"/>
      <c r="X15" s="433"/>
      <c r="Y15" s="433"/>
      <c r="Z15" s="433"/>
      <c r="AA15" s="500"/>
    </row>
    <row r="16" spans="1:27">
      <c r="A16" s="499">
        <v>1.3</v>
      </c>
      <c r="B16" s="498" t="s">
        <v>527</v>
      </c>
      <c r="C16" s="767"/>
      <c r="D16" s="768"/>
      <c r="E16" s="768"/>
      <c r="F16" s="768"/>
      <c r="G16" s="768"/>
      <c r="H16" s="768"/>
      <c r="I16" s="768"/>
      <c r="J16" s="768"/>
      <c r="K16" s="768"/>
      <c r="L16" s="768"/>
      <c r="M16" s="768"/>
      <c r="N16" s="768"/>
      <c r="O16" s="768"/>
      <c r="P16" s="768"/>
      <c r="Q16" s="768"/>
      <c r="R16" s="768"/>
      <c r="S16" s="769"/>
      <c r="T16" s="497"/>
      <c r="U16" s="496"/>
      <c r="V16" s="496"/>
      <c r="W16" s="496"/>
      <c r="X16" s="496"/>
      <c r="Y16" s="496"/>
      <c r="Z16" s="496"/>
      <c r="AA16" s="495"/>
    </row>
    <row r="17" spans="1:27" s="478" customFormat="1">
      <c r="A17" s="493" t="s">
        <v>489</v>
      </c>
      <c r="B17" s="494" t="s">
        <v>490</v>
      </c>
      <c r="C17" s="770">
        <v>180671199.37417406</v>
      </c>
      <c r="D17" s="753">
        <v>179749649.61159012</v>
      </c>
      <c r="E17" s="753">
        <v>4416716.7858999996</v>
      </c>
      <c r="F17" s="753">
        <v>10491.945637000001</v>
      </c>
      <c r="G17" s="753">
        <v>0</v>
      </c>
      <c r="H17" s="753">
        <v>334059.50185400003</v>
      </c>
      <c r="I17" s="753">
        <v>0</v>
      </c>
      <c r="J17" s="753">
        <v>76065.88</v>
      </c>
      <c r="K17" s="753">
        <v>0</v>
      </c>
      <c r="L17" s="753">
        <v>587490.26072999998</v>
      </c>
      <c r="M17" s="753">
        <v>81293.234664999996</v>
      </c>
      <c r="N17" s="753">
        <v>0</v>
      </c>
      <c r="O17" s="753">
        <v>79264.010000000009</v>
      </c>
      <c r="P17" s="753">
        <v>0</v>
      </c>
      <c r="Q17" s="753">
        <v>4393.1400000000003</v>
      </c>
      <c r="R17" s="753">
        <v>0</v>
      </c>
      <c r="S17" s="771">
        <v>157279.01</v>
      </c>
      <c r="T17" s="486"/>
      <c r="U17" s="434"/>
      <c r="V17" s="434"/>
      <c r="W17" s="434"/>
      <c r="X17" s="434"/>
      <c r="Y17" s="434"/>
      <c r="Z17" s="434"/>
      <c r="AA17" s="485"/>
    </row>
    <row r="18" spans="1:27" s="478" customFormat="1">
      <c r="A18" s="490" t="s">
        <v>491</v>
      </c>
      <c r="B18" s="491" t="s">
        <v>492</v>
      </c>
      <c r="C18" s="772">
        <v>91442760.737390727</v>
      </c>
      <c r="D18" s="753">
        <v>90771283.634806722</v>
      </c>
      <c r="E18" s="753">
        <v>4133600.4358999999</v>
      </c>
      <c r="F18" s="753">
        <v>10491.945637000001</v>
      </c>
      <c r="G18" s="753">
        <v>0</v>
      </c>
      <c r="H18" s="753">
        <v>334059.50185400003</v>
      </c>
      <c r="I18" s="753">
        <v>0</v>
      </c>
      <c r="J18" s="753">
        <v>76065.88</v>
      </c>
      <c r="K18" s="753">
        <v>0</v>
      </c>
      <c r="L18" s="753">
        <v>337417.60073000001</v>
      </c>
      <c r="M18" s="753">
        <v>81293.234664999996</v>
      </c>
      <c r="N18" s="753">
        <v>0</v>
      </c>
      <c r="O18" s="753">
        <v>79264.010000000009</v>
      </c>
      <c r="P18" s="753">
        <v>0</v>
      </c>
      <c r="Q18" s="753">
        <v>0</v>
      </c>
      <c r="R18" s="753">
        <v>0</v>
      </c>
      <c r="S18" s="771">
        <v>0</v>
      </c>
      <c r="T18" s="486"/>
      <c r="U18" s="434"/>
      <c r="V18" s="434"/>
      <c r="W18" s="434"/>
      <c r="X18" s="434"/>
      <c r="Y18" s="434"/>
      <c r="Z18" s="434"/>
      <c r="AA18" s="485"/>
    </row>
    <row r="19" spans="1:27" s="478" customFormat="1">
      <c r="A19" s="493" t="s">
        <v>493</v>
      </c>
      <c r="B19" s="492" t="s">
        <v>494</v>
      </c>
      <c r="C19" s="773">
        <v>190649963.53226548</v>
      </c>
      <c r="D19" s="753">
        <v>188690641.22306353</v>
      </c>
      <c r="E19" s="753">
        <v>11617039.960000001</v>
      </c>
      <c r="F19" s="753">
        <v>279052.79999999999</v>
      </c>
      <c r="G19" s="753">
        <v>0</v>
      </c>
      <c r="H19" s="753">
        <v>1350991.2</v>
      </c>
      <c r="I19" s="753">
        <v>0</v>
      </c>
      <c r="J19" s="753">
        <v>465535.19999999995</v>
      </c>
      <c r="K19" s="753">
        <v>0</v>
      </c>
      <c r="L19" s="753">
        <v>608331.10920199996</v>
      </c>
      <c r="M19" s="753">
        <v>95797.965335000015</v>
      </c>
      <c r="N19" s="753">
        <v>0</v>
      </c>
      <c r="O19" s="753">
        <v>427.02999999998428</v>
      </c>
      <c r="P19" s="753">
        <v>0</v>
      </c>
      <c r="Q19" s="753">
        <v>0</v>
      </c>
      <c r="R19" s="753">
        <v>0</v>
      </c>
      <c r="S19" s="771">
        <v>0</v>
      </c>
      <c r="T19" s="486"/>
      <c r="U19" s="434"/>
      <c r="V19" s="434"/>
      <c r="W19" s="434"/>
      <c r="X19" s="434"/>
      <c r="Y19" s="434"/>
      <c r="Z19" s="434"/>
      <c r="AA19" s="485"/>
    </row>
    <row r="20" spans="1:27" s="478" customFormat="1">
      <c r="A20" s="490" t="s">
        <v>495</v>
      </c>
      <c r="B20" s="491" t="s">
        <v>492</v>
      </c>
      <c r="C20" s="772">
        <v>91149507.001575708</v>
      </c>
      <c r="D20" s="753">
        <v>89814033.598459721</v>
      </c>
      <c r="E20" s="753">
        <v>11126946.6241</v>
      </c>
      <c r="F20" s="753">
        <v>268560.85436299996</v>
      </c>
      <c r="G20" s="753">
        <v>0</v>
      </c>
      <c r="H20" s="753">
        <v>764710.89814599999</v>
      </c>
      <c r="I20" s="753">
        <v>0</v>
      </c>
      <c r="J20" s="753">
        <v>137248.51999999999</v>
      </c>
      <c r="K20" s="753">
        <v>0</v>
      </c>
      <c r="L20" s="753">
        <v>570762.50497000001</v>
      </c>
      <c r="M20" s="753">
        <v>95797.965335000015</v>
      </c>
      <c r="N20" s="753">
        <v>0</v>
      </c>
      <c r="O20" s="753">
        <v>427.02999999998428</v>
      </c>
      <c r="P20" s="753">
        <v>0</v>
      </c>
      <c r="Q20" s="753">
        <v>0</v>
      </c>
      <c r="R20" s="753">
        <v>0</v>
      </c>
      <c r="S20" s="771">
        <v>0</v>
      </c>
      <c r="T20" s="486"/>
      <c r="U20" s="434"/>
      <c r="V20" s="434"/>
      <c r="W20" s="434"/>
      <c r="X20" s="434"/>
      <c r="Y20" s="434"/>
      <c r="Z20" s="434"/>
      <c r="AA20" s="485"/>
    </row>
    <row r="21" spans="1:27" s="478" customFormat="1">
      <c r="A21" s="489">
        <v>1.4</v>
      </c>
      <c r="B21" s="488" t="s">
        <v>496</v>
      </c>
      <c r="C21" s="487"/>
      <c r="D21" s="434"/>
      <c r="E21" s="434"/>
      <c r="F21" s="434"/>
      <c r="G21" s="434"/>
      <c r="H21" s="434"/>
      <c r="I21" s="434"/>
      <c r="J21" s="434"/>
      <c r="K21" s="434"/>
      <c r="L21" s="434"/>
      <c r="M21" s="434"/>
      <c r="N21" s="434"/>
      <c r="O21" s="434"/>
      <c r="P21" s="434"/>
      <c r="Q21" s="434"/>
      <c r="R21" s="434"/>
      <c r="S21" s="485"/>
      <c r="T21" s="486"/>
      <c r="U21" s="434"/>
      <c r="V21" s="434"/>
      <c r="W21" s="434"/>
      <c r="X21" s="434"/>
      <c r="Y21" s="434"/>
      <c r="Z21" s="434"/>
      <c r="AA21" s="485"/>
    </row>
    <row r="22" spans="1:27" s="478" customFormat="1" ht="12.6" thickBot="1">
      <c r="A22" s="484">
        <v>1.5</v>
      </c>
      <c r="B22" s="483" t="s">
        <v>497</v>
      </c>
      <c r="C22" s="482"/>
      <c r="D22" s="480"/>
      <c r="E22" s="480"/>
      <c r="F22" s="480"/>
      <c r="G22" s="480"/>
      <c r="H22" s="480"/>
      <c r="I22" s="480"/>
      <c r="J22" s="480"/>
      <c r="K22" s="480"/>
      <c r="L22" s="480"/>
      <c r="M22" s="480"/>
      <c r="N22" s="480"/>
      <c r="O22" s="480"/>
      <c r="P22" s="480"/>
      <c r="Q22" s="480"/>
      <c r="R22" s="480"/>
      <c r="S22" s="479"/>
      <c r="T22" s="481"/>
      <c r="U22" s="480"/>
      <c r="V22" s="480"/>
      <c r="W22" s="480"/>
      <c r="X22" s="480"/>
      <c r="Y22" s="480"/>
      <c r="Z22" s="480"/>
      <c r="AA22" s="479"/>
    </row>
    <row r="23" spans="1:27">
      <c r="A23" s="465"/>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09375" defaultRowHeight="12"/>
  <cols>
    <col min="1" max="1" width="11.88671875" style="445" bestFit="1" customWidth="1"/>
    <col min="2" max="2" width="53.44140625" style="445" bestFit="1" customWidth="1"/>
    <col min="3" max="4" width="12.33203125" style="445" bestFit="1" customWidth="1"/>
    <col min="5" max="5" width="8.6640625" style="445" bestFit="1" customWidth="1"/>
    <col min="6" max="6" width="10.33203125" style="515" bestFit="1" customWidth="1"/>
    <col min="7" max="7" width="4.88671875" style="515" bestFit="1" customWidth="1"/>
    <col min="8" max="8" width="10.33203125" style="445" bestFit="1" customWidth="1"/>
    <col min="9" max="9" width="10.33203125" style="515" bestFit="1" customWidth="1"/>
    <col min="10" max="10" width="7.109375" style="515" bestFit="1" customWidth="1"/>
    <col min="11" max="11" width="8.6640625" style="515" bestFit="1" customWidth="1"/>
    <col min="12" max="12" width="4.88671875" style="515" bestFit="1" customWidth="1"/>
    <col min="13" max="16384" width="9.109375" style="445"/>
  </cols>
  <sheetData>
    <row r="1" spans="1:12" ht="13.2">
      <c r="A1" s="364" t="s">
        <v>30</v>
      </c>
      <c r="B1" s="546" t="str">
        <f>'1. key ratios '!B1</f>
        <v>JSC Isbank Georgia</v>
      </c>
      <c r="F1" s="445"/>
      <c r="G1" s="445"/>
      <c r="I1" s="445"/>
      <c r="J1" s="445"/>
      <c r="K1" s="445"/>
      <c r="L1" s="445"/>
    </row>
    <row r="2" spans="1:12" ht="13.2">
      <c r="A2" s="365" t="s">
        <v>31</v>
      </c>
      <c r="B2" s="547">
        <f>'1. key ratios '!B2</f>
        <v>45199</v>
      </c>
      <c r="F2" s="445"/>
      <c r="G2" s="445"/>
      <c r="I2" s="445"/>
      <c r="J2" s="445"/>
      <c r="K2" s="445"/>
      <c r="L2" s="445"/>
    </row>
    <row r="3" spans="1:12">
      <c r="A3" s="366" t="s">
        <v>498</v>
      </c>
      <c r="F3" s="445"/>
      <c r="G3" s="445"/>
      <c r="I3" s="445"/>
      <c r="J3" s="445"/>
      <c r="K3" s="445"/>
      <c r="L3" s="445"/>
    </row>
    <row r="4" spans="1:12">
      <c r="F4" s="445"/>
      <c r="G4" s="445"/>
      <c r="I4" s="445"/>
      <c r="J4" s="445"/>
      <c r="K4" s="445"/>
      <c r="L4" s="445"/>
    </row>
    <row r="5" spans="1:12" ht="37.5" customHeight="1">
      <c r="A5" s="884" t="s">
        <v>515</v>
      </c>
      <c r="B5" s="885"/>
      <c r="C5" s="930" t="s">
        <v>499</v>
      </c>
      <c r="D5" s="931"/>
      <c r="E5" s="931"/>
      <c r="F5" s="931"/>
      <c r="G5" s="931"/>
      <c r="H5" s="932" t="s">
        <v>659</v>
      </c>
      <c r="I5" s="933"/>
      <c r="J5" s="933"/>
      <c r="K5" s="933"/>
      <c r="L5" s="934"/>
    </row>
    <row r="6" spans="1:12" ht="39.6" customHeight="1">
      <c r="A6" s="888"/>
      <c r="B6" s="889"/>
      <c r="C6" s="368"/>
      <c r="D6" s="443" t="s">
        <v>680</v>
      </c>
      <c r="E6" s="443" t="s">
        <v>679</v>
      </c>
      <c r="F6" s="443" t="s">
        <v>678</v>
      </c>
      <c r="G6" s="443" t="s">
        <v>677</v>
      </c>
      <c r="H6" s="518"/>
      <c r="I6" s="443" t="s">
        <v>680</v>
      </c>
      <c r="J6" s="443" t="s">
        <v>679</v>
      </c>
      <c r="K6" s="443" t="s">
        <v>678</v>
      </c>
      <c r="L6" s="443" t="s">
        <v>677</v>
      </c>
    </row>
    <row r="7" spans="1:12">
      <c r="A7" s="434">
        <v>1</v>
      </c>
      <c r="B7" s="451" t="s">
        <v>518</v>
      </c>
      <c r="C7" s="776">
        <v>3825278.1966188215</v>
      </c>
      <c r="D7" s="776">
        <v>3818125.4066188214</v>
      </c>
      <c r="E7" s="776">
        <v>0</v>
      </c>
      <c r="F7" s="776">
        <v>7152.79</v>
      </c>
      <c r="G7" s="776">
        <v>0</v>
      </c>
      <c r="H7" s="776">
        <v>16387.544111867821</v>
      </c>
      <c r="I7" s="776">
        <v>10773.307720935492</v>
      </c>
      <c r="J7" s="776">
        <v>0</v>
      </c>
      <c r="K7" s="776">
        <v>5614.2363909323294</v>
      </c>
      <c r="L7" s="776">
        <v>0</v>
      </c>
    </row>
    <row r="8" spans="1:12">
      <c r="A8" s="434">
        <v>2</v>
      </c>
      <c r="B8" s="451" t="s">
        <v>431</v>
      </c>
      <c r="C8" s="776">
        <v>57335603.145034194</v>
      </c>
      <c r="D8" s="752">
        <v>57335603.145034194</v>
      </c>
      <c r="E8" s="752">
        <v>0</v>
      </c>
      <c r="F8" s="777">
        <v>0</v>
      </c>
      <c r="G8" s="777">
        <v>0</v>
      </c>
      <c r="H8" s="752">
        <v>429697.862384432</v>
      </c>
      <c r="I8" s="777">
        <v>429697.862384432</v>
      </c>
      <c r="J8" s="777">
        <v>0</v>
      </c>
      <c r="K8" s="777">
        <v>0</v>
      </c>
      <c r="L8" s="777">
        <v>0</v>
      </c>
    </row>
    <row r="9" spans="1:12">
      <c r="A9" s="434">
        <v>3</v>
      </c>
      <c r="B9" s="451" t="s">
        <v>432</v>
      </c>
      <c r="C9" s="776">
        <v>0</v>
      </c>
      <c r="D9" s="752">
        <v>0</v>
      </c>
      <c r="E9" s="752">
        <v>0</v>
      </c>
      <c r="F9" s="778">
        <v>0</v>
      </c>
      <c r="G9" s="778">
        <v>0</v>
      </c>
      <c r="H9" s="752">
        <v>0</v>
      </c>
      <c r="I9" s="778">
        <v>0</v>
      </c>
      <c r="J9" s="778">
        <v>0</v>
      </c>
      <c r="K9" s="778">
        <v>0</v>
      </c>
      <c r="L9" s="778">
        <v>0</v>
      </c>
    </row>
    <row r="10" spans="1:12">
      <c r="A10" s="434">
        <v>4</v>
      </c>
      <c r="B10" s="451" t="s">
        <v>519</v>
      </c>
      <c r="C10" s="776">
        <v>14774397.024019066</v>
      </c>
      <c r="D10" s="752">
        <v>14774397.024019066</v>
      </c>
      <c r="E10" s="752">
        <v>0</v>
      </c>
      <c r="F10" s="778">
        <v>0</v>
      </c>
      <c r="G10" s="778">
        <v>0</v>
      </c>
      <c r="H10" s="752">
        <v>43480.062582369806</v>
      </c>
      <c r="I10" s="778">
        <v>43480.062582369806</v>
      </c>
      <c r="J10" s="778">
        <v>0</v>
      </c>
      <c r="K10" s="778">
        <v>0</v>
      </c>
      <c r="L10" s="778">
        <v>0</v>
      </c>
    </row>
    <row r="11" spans="1:12">
      <c r="A11" s="434">
        <v>5</v>
      </c>
      <c r="B11" s="451" t="s">
        <v>433</v>
      </c>
      <c r="C11" s="776">
        <v>9585119.4654912204</v>
      </c>
      <c r="D11" s="752">
        <v>9585119.4654912204</v>
      </c>
      <c r="E11" s="752">
        <v>0</v>
      </c>
      <c r="F11" s="778">
        <v>0</v>
      </c>
      <c r="G11" s="778">
        <v>0</v>
      </c>
      <c r="H11" s="752">
        <v>3125.7217305653912</v>
      </c>
      <c r="I11" s="778">
        <v>3125.7217305653912</v>
      </c>
      <c r="J11" s="778">
        <v>0</v>
      </c>
      <c r="K11" s="778">
        <v>0</v>
      </c>
      <c r="L11" s="778">
        <v>0</v>
      </c>
    </row>
    <row r="12" spans="1:12">
      <c r="A12" s="434">
        <v>6</v>
      </c>
      <c r="B12" s="451" t="s">
        <v>434</v>
      </c>
      <c r="C12" s="776">
        <v>8080099.2321560625</v>
      </c>
      <c r="D12" s="752">
        <v>8060365.3121560616</v>
      </c>
      <c r="E12" s="752">
        <v>0</v>
      </c>
      <c r="F12" s="778">
        <v>19733.919999999998</v>
      </c>
      <c r="G12" s="778">
        <v>0</v>
      </c>
      <c r="H12" s="752">
        <v>55418.798818458483</v>
      </c>
      <c r="I12" s="778">
        <v>46778.639710300646</v>
      </c>
      <c r="J12" s="778">
        <v>0</v>
      </c>
      <c r="K12" s="778">
        <v>8640.1591081578299</v>
      </c>
      <c r="L12" s="778">
        <v>0</v>
      </c>
    </row>
    <row r="13" spans="1:12">
      <c r="A13" s="434">
        <v>7</v>
      </c>
      <c r="B13" s="451" t="s">
        <v>435</v>
      </c>
      <c r="C13" s="776">
        <v>27497523.735791732</v>
      </c>
      <c r="D13" s="752">
        <v>27497523.735791732</v>
      </c>
      <c r="E13" s="752">
        <v>0</v>
      </c>
      <c r="F13" s="778">
        <v>0</v>
      </c>
      <c r="G13" s="778">
        <v>0</v>
      </c>
      <c r="H13" s="752">
        <v>232926.91829881736</v>
      </c>
      <c r="I13" s="778">
        <v>232926.91829881736</v>
      </c>
      <c r="J13" s="778">
        <v>0</v>
      </c>
      <c r="K13" s="778">
        <v>0</v>
      </c>
      <c r="L13" s="778">
        <v>0</v>
      </c>
    </row>
    <row r="14" spans="1:12">
      <c r="A14" s="434">
        <v>8</v>
      </c>
      <c r="B14" s="451" t="s">
        <v>436</v>
      </c>
      <c r="C14" s="776">
        <v>3237285.7442772244</v>
      </c>
      <c r="D14" s="752">
        <v>2972915.2193907266</v>
      </c>
      <c r="E14" s="752">
        <v>0</v>
      </c>
      <c r="F14" s="778">
        <v>264370.52488649735</v>
      </c>
      <c r="G14" s="778">
        <v>0</v>
      </c>
      <c r="H14" s="752">
        <v>265592.92392315622</v>
      </c>
      <c r="I14" s="778">
        <v>956.52392315621307</v>
      </c>
      <c r="J14" s="778">
        <v>0</v>
      </c>
      <c r="K14" s="778">
        <v>264636.40000000002</v>
      </c>
      <c r="L14" s="778">
        <v>0</v>
      </c>
    </row>
    <row r="15" spans="1:12">
      <c r="A15" s="434">
        <v>9</v>
      </c>
      <c r="B15" s="451" t="s">
        <v>437</v>
      </c>
      <c r="C15" s="776">
        <v>3002014.4499999997</v>
      </c>
      <c r="D15" s="752">
        <v>3002014.4499999997</v>
      </c>
      <c r="E15" s="752">
        <v>0</v>
      </c>
      <c r="F15" s="778">
        <v>0</v>
      </c>
      <c r="G15" s="778">
        <v>0</v>
      </c>
      <c r="H15" s="752">
        <v>1.4723113171984377E-3</v>
      </c>
      <c r="I15" s="778">
        <v>1.4723113171984377E-3</v>
      </c>
      <c r="J15" s="778">
        <v>0</v>
      </c>
      <c r="K15" s="778">
        <v>0</v>
      </c>
      <c r="L15" s="778">
        <v>0</v>
      </c>
    </row>
    <row r="16" spans="1:12">
      <c r="A16" s="434">
        <v>10</v>
      </c>
      <c r="B16" s="451" t="s">
        <v>438</v>
      </c>
      <c r="C16" s="776">
        <v>13677449.271734089</v>
      </c>
      <c r="D16" s="752">
        <v>13673267.831734089</v>
      </c>
      <c r="E16" s="752">
        <v>0</v>
      </c>
      <c r="F16" s="778">
        <v>4181.4399999999996</v>
      </c>
      <c r="G16" s="778">
        <v>0</v>
      </c>
      <c r="H16" s="752">
        <v>66767.297762053218</v>
      </c>
      <c r="I16" s="778">
        <v>64520.729039632475</v>
      </c>
      <c r="J16" s="778">
        <v>0</v>
      </c>
      <c r="K16" s="778">
        <v>2246.568722420745</v>
      </c>
      <c r="L16" s="778">
        <v>0</v>
      </c>
    </row>
    <row r="17" spans="1:12">
      <c r="A17" s="434">
        <v>11</v>
      </c>
      <c r="B17" s="451" t="s">
        <v>439</v>
      </c>
      <c r="C17" s="776">
        <v>15804789.307109708</v>
      </c>
      <c r="D17" s="752">
        <v>15777975.947109709</v>
      </c>
      <c r="E17" s="752">
        <v>0</v>
      </c>
      <c r="F17" s="778">
        <v>26813.360000000001</v>
      </c>
      <c r="G17" s="778">
        <v>0</v>
      </c>
      <c r="H17" s="752">
        <v>122814.31096015846</v>
      </c>
      <c r="I17" s="778">
        <v>98902.307372014257</v>
      </c>
      <c r="J17" s="778">
        <v>0</v>
      </c>
      <c r="K17" s="778">
        <v>23912.003588144202</v>
      </c>
      <c r="L17" s="778">
        <v>0</v>
      </c>
    </row>
    <row r="18" spans="1:12">
      <c r="A18" s="434">
        <v>12</v>
      </c>
      <c r="B18" s="451" t="s">
        <v>440</v>
      </c>
      <c r="C18" s="776">
        <v>15224570.56093047</v>
      </c>
      <c r="D18" s="752">
        <v>15012808.393683957</v>
      </c>
      <c r="E18" s="752">
        <v>0</v>
      </c>
      <c r="F18" s="778">
        <v>211762.16724651339</v>
      </c>
      <c r="G18" s="778">
        <v>0</v>
      </c>
      <c r="H18" s="752">
        <v>243904.42186731601</v>
      </c>
      <c r="I18" s="778">
        <v>150555.00105178179</v>
      </c>
      <c r="J18" s="778">
        <v>0</v>
      </c>
      <c r="K18" s="778">
        <v>93349.420815534206</v>
      </c>
      <c r="L18" s="778">
        <v>0</v>
      </c>
    </row>
    <row r="19" spans="1:12">
      <c r="A19" s="434">
        <v>13</v>
      </c>
      <c r="B19" s="451" t="s">
        <v>441</v>
      </c>
      <c r="C19" s="776">
        <v>1476838.3729878166</v>
      </c>
      <c r="D19" s="752">
        <v>1437314.362987817</v>
      </c>
      <c r="E19" s="752">
        <v>0</v>
      </c>
      <c r="F19" s="778">
        <v>39524.01</v>
      </c>
      <c r="G19" s="778">
        <v>0</v>
      </c>
      <c r="H19" s="752">
        <v>57543.147696879976</v>
      </c>
      <c r="I19" s="778">
        <v>33868.626041873751</v>
      </c>
      <c r="J19" s="778">
        <v>0</v>
      </c>
      <c r="K19" s="778">
        <v>23674.521655006214</v>
      </c>
      <c r="L19" s="778">
        <v>0</v>
      </c>
    </row>
    <row r="20" spans="1:12">
      <c r="A20" s="434">
        <v>14</v>
      </c>
      <c r="B20" s="451" t="s">
        <v>442</v>
      </c>
      <c r="C20" s="776">
        <v>8691998.6702372413</v>
      </c>
      <c r="D20" s="752">
        <v>8579632.8243422415</v>
      </c>
      <c r="E20" s="752">
        <v>0</v>
      </c>
      <c r="F20" s="778">
        <v>112365.84589499998</v>
      </c>
      <c r="G20" s="778">
        <v>0</v>
      </c>
      <c r="H20" s="752">
        <v>138636.84397547808</v>
      </c>
      <c r="I20" s="778">
        <v>38642.559084676861</v>
      </c>
      <c r="J20" s="778">
        <v>0</v>
      </c>
      <c r="K20" s="778">
        <v>99994.284890801238</v>
      </c>
      <c r="L20" s="778">
        <v>0</v>
      </c>
    </row>
    <row r="21" spans="1:12">
      <c r="A21" s="434">
        <v>15</v>
      </c>
      <c r="B21" s="451" t="s">
        <v>443</v>
      </c>
      <c r="C21" s="776">
        <v>27380.740000000005</v>
      </c>
      <c r="D21" s="752">
        <v>27380.740000000005</v>
      </c>
      <c r="E21" s="752">
        <v>0</v>
      </c>
      <c r="F21" s="778">
        <v>0</v>
      </c>
      <c r="G21" s="778">
        <v>0</v>
      </c>
      <c r="H21" s="752">
        <v>1255.4266871338832</v>
      </c>
      <c r="I21" s="778">
        <v>1255.4266871338832</v>
      </c>
      <c r="J21" s="778">
        <v>0</v>
      </c>
      <c r="K21" s="778">
        <v>0</v>
      </c>
      <c r="L21" s="778">
        <v>0</v>
      </c>
    </row>
    <row r="22" spans="1:12">
      <c r="A22" s="434">
        <v>16</v>
      </c>
      <c r="B22" s="451" t="s">
        <v>444</v>
      </c>
      <c r="C22" s="776">
        <v>1377025.8454315742</v>
      </c>
      <c r="D22" s="752">
        <v>1377025.8454315742</v>
      </c>
      <c r="E22" s="752">
        <v>0</v>
      </c>
      <c r="F22" s="778">
        <v>0</v>
      </c>
      <c r="G22" s="778">
        <v>0</v>
      </c>
      <c r="H22" s="752">
        <v>6.8144660949138894E-4</v>
      </c>
      <c r="I22" s="778">
        <v>6.8144660949138894E-4</v>
      </c>
      <c r="J22" s="778">
        <v>0</v>
      </c>
      <c r="K22" s="778">
        <v>0</v>
      </c>
      <c r="L22" s="778">
        <v>0</v>
      </c>
    </row>
    <row r="23" spans="1:12">
      <c r="A23" s="434">
        <v>17</v>
      </c>
      <c r="B23" s="451" t="s">
        <v>522</v>
      </c>
      <c r="C23" s="776">
        <v>0</v>
      </c>
      <c r="D23" s="752">
        <v>0</v>
      </c>
      <c r="E23" s="752">
        <v>0</v>
      </c>
      <c r="F23" s="778">
        <v>0</v>
      </c>
      <c r="G23" s="778">
        <v>0</v>
      </c>
      <c r="H23" s="752">
        <v>0</v>
      </c>
      <c r="I23" s="778">
        <v>0</v>
      </c>
      <c r="J23" s="778">
        <v>0</v>
      </c>
      <c r="K23" s="778">
        <v>0</v>
      </c>
      <c r="L23" s="778">
        <v>0</v>
      </c>
    </row>
    <row r="24" spans="1:12">
      <c r="A24" s="434">
        <v>18</v>
      </c>
      <c r="B24" s="451" t="s">
        <v>445</v>
      </c>
      <c r="C24" s="776">
        <v>11725213.013785776</v>
      </c>
      <c r="D24" s="752">
        <v>11725213.013785776</v>
      </c>
      <c r="E24" s="752">
        <v>0</v>
      </c>
      <c r="F24" s="778">
        <v>0</v>
      </c>
      <c r="G24" s="778">
        <v>0</v>
      </c>
      <c r="H24" s="752">
        <v>21015.580914044564</v>
      </c>
      <c r="I24" s="778">
        <v>21015.580914044564</v>
      </c>
      <c r="J24" s="778">
        <v>0</v>
      </c>
      <c r="K24" s="778">
        <v>0</v>
      </c>
      <c r="L24" s="778">
        <v>0</v>
      </c>
    </row>
    <row r="25" spans="1:12">
      <c r="A25" s="434">
        <v>19</v>
      </c>
      <c r="B25" s="451" t="s">
        <v>446</v>
      </c>
      <c r="C25" s="776">
        <v>13002225.196442593</v>
      </c>
      <c r="D25" s="752">
        <v>13002225.196442593</v>
      </c>
      <c r="E25" s="752">
        <v>0</v>
      </c>
      <c r="F25" s="778">
        <v>0</v>
      </c>
      <c r="G25" s="778">
        <v>0</v>
      </c>
      <c r="H25" s="752">
        <v>196587.46248548938</v>
      </c>
      <c r="I25" s="778">
        <v>196587.46248548938</v>
      </c>
      <c r="J25" s="778">
        <v>0</v>
      </c>
      <c r="K25" s="778">
        <v>0</v>
      </c>
      <c r="L25" s="778">
        <v>0</v>
      </c>
    </row>
    <row r="26" spans="1:12">
      <c r="A26" s="434">
        <v>20</v>
      </c>
      <c r="B26" s="451" t="s">
        <v>521</v>
      </c>
      <c r="C26" s="776">
        <v>13219736.399999999</v>
      </c>
      <c r="D26" s="752">
        <v>13175477.950000001</v>
      </c>
      <c r="E26" s="752">
        <v>0</v>
      </c>
      <c r="F26" s="778">
        <v>44258.450000000012</v>
      </c>
      <c r="G26" s="778">
        <v>0</v>
      </c>
      <c r="H26" s="752">
        <v>167906.32801876005</v>
      </c>
      <c r="I26" s="778">
        <v>130084.98619318902</v>
      </c>
      <c r="J26" s="778">
        <v>0</v>
      </c>
      <c r="K26" s="778">
        <v>37821.34182557102</v>
      </c>
      <c r="L26" s="778">
        <v>0</v>
      </c>
    </row>
    <row r="27" spans="1:12">
      <c r="A27" s="434">
        <v>21</v>
      </c>
      <c r="B27" s="451" t="s">
        <v>447</v>
      </c>
      <c r="C27" s="776">
        <v>92269.640000000014</v>
      </c>
      <c r="D27" s="752">
        <v>0</v>
      </c>
      <c r="E27" s="752">
        <v>0</v>
      </c>
      <c r="F27" s="778">
        <v>92269.640000000014</v>
      </c>
      <c r="G27" s="778">
        <v>0</v>
      </c>
      <c r="H27" s="752">
        <v>9213.1506857110016</v>
      </c>
      <c r="I27" s="778">
        <v>0</v>
      </c>
      <c r="J27" s="778">
        <v>0</v>
      </c>
      <c r="K27" s="778">
        <v>9213.1506857110016</v>
      </c>
      <c r="L27" s="778">
        <v>0</v>
      </c>
    </row>
    <row r="28" spans="1:12">
      <c r="A28" s="434">
        <v>22</v>
      </c>
      <c r="B28" s="451" t="s">
        <v>448</v>
      </c>
      <c r="C28" s="776">
        <v>0</v>
      </c>
      <c r="D28" s="752">
        <v>0</v>
      </c>
      <c r="E28" s="752">
        <v>0</v>
      </c>
      <c r="F28" s="778">
        <v>0</v>
      </c>
      <c r="G28" s="778">
        <v>0</v>
      </c>
      <c r="H28" s="752">
        <v>0</v>
      </c>
      <c r="I28" s="778">
        <v>0</v>
      </c>
      <c r="J28" s="778">
        <v>0</v>
      </c>
      <c r="K28" s="778">
        <v>0</v>
      </c>
      <c r="L28" s="778">
        <v>0</v>
      </c>
    </row>
    <row r="29" spans="1:12">
      <c r="A29" s="434">
        <v>23</v>
      </c>
      <c r="B29" s="451" t="s">
        <v>449</v>
      </c>
      <c r="C29" s="776">
        <v>12828432.445922323</v>
      </c>
      <c r="D29" s="752">
        <v>12463922.963286422</v>
      </c>
      <c r="E29" s="752">
        <v>341808.04263590218</v>
      </c>
      <c r="F29" s="778">
        <v>22701.440000000002</v>
      </c>
      <c r="G29" s="778">
        <v>0</v>
      </c>
      <c r="H29" s="752">
        <v>95162.920425794378</v>
      </c>
      <c r="I29" s="778">
        <v>72737.187465138762</v>
      </c>
      <c r="J29" s="778">
        <v>2.7500515471692308E-3</v>
      </c>
      <c r="K29" s="778">
        <v>22425.730210604062</v>
      </c>
      <c r="L29" s="778">
        <v>0</v>
      </c>
    </row>
    <row r="30" spans="1:12">
      <c r="A30" s="434">
        <v>24</v>
      </c>
      <c r="B30" s="451" t="s">
        <v>520</v>
      </c>
      <c r="C30" s="776">
        <v>5119400.7282211725</v>
      </c>
      <c r="D30" s="752">
        <v>5119400.7282211725</v>
      </c>
      <c r="E30" s="752">
        <v>0</v>
      </c>
      <c r="F30" s="778">
        <v>0</v>
      </c>
      <c r="G30" s="778">
        <v>0</v>
      </c>
      <c r="H30" s="752">
        <v>77747.629144326871</v>
      </c>
      <c r="I30" s="778">
        <v>77747.629144326871</v>
      </c>
      <c r="J30" s="778">
        <v>0</v>
      </c>
      <c r="K30" s="778">
        <v>0</v>
      </c>
      <c r="L30" s="778">
        <v>0</v>
      </c>
    </row>
    <row r="31" spans="1:12">
      <c r="A31" s="434">
        <v>25</v>
      </c>
      <c r="B31" s="451" t="s">
        <v>450</v>
      </c>
      <c r="C31" s="776">
        <v>290890.31183300004</v>
      </c>
      <c r="D31" s="752">
        <v>101045.58</v>
      </c>
      <c r="E31" s="752">
        <v>0</v>
      </c>
      <c r="F31" s="778">
        <v>189844.731833</v>
      </c>
      <c r="G31" s="778">
        <v>0</v>
      </c>
      <c r="H31" s="752">
        <v>189815.20056761714</v>
      </c>
      <c r="I31" s="778">
        <v>12.929104598125035</v>
      </c>
      <c r="J31" s="778">
        <v>0</v>
      </c>
      <c r="K31" s="778">
        <v>189802.27146301902</v>
      </c>
      <c r="L31" s="778">
        <v>0</v>
      </c>
    </row>
    <row r="32" spans="1:12">
      <c r="A32" s="434">
        <v>26</v>
      </c>
      <c r="B32" s="451" t="s">
        <v>517</v>
      </c>
      <c r="C32" s="776">
        <v>0</v>
      </c>
      <c r="D32" s="752">
        <v>0</v>
      </c>
      <c r="E32" s="752">
        <v>0</v>
      </c>
      <c r="F32" s="778">
        <v>0</v>
      </c>
      <c r="G32" s="778">
        <v>0</v>
      </c>
      <c r="H32" s="752">
        <v>0</v>
      </c>
      <c r="I32" s="778">
        <v>0</v>
      </c>
      <c r="J32" s="778">
        <v>0</v>
      </c>
      <c r="K32" s="778">
        <v>0</v>
      </c>
      <c r="L32" s="778">
        <v>0</v>
      </c>
    </row>
    <row r="33" spans="1:12">
      <c r="A33" s="434">
        <v>27</v>
      </c>
      <c r="B33" s="517" t="s">
        <v>64</v>
      </c>
      <c r="C33" s="779">
        <f>SUM(C7:C32)</f>
        <v>239895541.49802408</v>
      </c>
      <c r="D33" s="779">
        <f t="shared" ref="D33:L33" si="0">SUM(D7:D32)</f>
        <v>238518755.13552719</v>
      </c>
      <c r="E33" s="779">
        <f t="shared" si="0"/>
        <v>341808.04263590218</v>
      </c>
      <c r="F33" s="779">
        <f t="shared" si="0"/>
        <v>1034978.3198610106</v>
      </c>
      <c r="G33" s="779">
        <f t="shared" si="0"/>
        <v>0</v>
      </c>
      <c r="H33" s="779">
        <f t="shared" si="0"/>
        <v>2434999.5551941884</v>
      </c>
      <c r="I33" s="779">
        <f t="shared" si="0"/>
        <v>1653669.4630882347</v>
      </c>
      <c r="J33" s="779">
        <f t="shared" si="0"/>
        <v>2.7500515471692308E-3</v>
      </c>
      <c r="K33" s="779">
        <f t="shared" si="0"/>
        <v>781330.08935590181</v>
      </c>
      <c r="L33" s="779">
        <f t="shared" si="0"/>
        <v>0</v>
      </c>
    </row>
    <row r="34" spans="1:12">
      <c r="A34" s="465"/>
      <c r="B34" s="465"/>
      <c r="C34" s="465"/>
      <c r="D34" s="465"/>
      <c r="E34" s="465"/>
      <c r="H34" s="465"/>
    </row>
    <row r="35" spans="1:12">
      <c r="A35" s="465"/>
      <c r="B35" s="516"/>
      <c r="C35" s="516"/>
      <c r="D35" s="465"/>
      <c r="E35" s="465"/>
      <c r="H35" s="465"/>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6640625" defaultRowHeight="12"/>
  <cols>
    <col min="1" max="1" width="11.88671875" style="519" bestFit="1" customWidth="1"/>
    <col min="2" max="2" width="39.109375" style="519" bestFit="1" customWidth="1"/>
    <col min="3" max="3" width="16.109375" style="519" bestFit="1" customWidth="1"/>
    <col min="4" max="4" width="25.21875" style="519" bestFit="1" customWidth="1"/>
    <col min="5" max="5" width="20.44140625" style="519" bestFit="1" customWidth="1"/>
    <col min="6" max="6" width="25.5546875" style="519" bestFit="1" customWidth="1"/>
    <col min="7" max="7" width="26.6640625" style="519" bestFit="1" customWidth="1"/>
    <col min="8" max="8" width="25.77734375" style="519" bestFit="1" customWidth="1"/>
    <col min="9" max="9" width="24.33203125" style="519" bestFit="1" customWidth="1"/>
    <col min="10" max="10" width="27.5546875" style="519" bestFit="1" customWidth="1"/>
    <col min="11" max="11" width="17" style="519" bestFit="1" customWidth="1"/>
    <col min="12" max="16384" width="8.6640625" style="519"/>
  </cols>
  <sheetData>
    <row r="1" spans="1:11" s="445" customFormat="1" ht="13.2">
      <c r="A1" s="364" t="s">
        <v>30</v>
      </c>
      <c r="B1" s="546" t="str">
        <f>'1. key ratios '!B1</f>
        <v>JSC Isbank Georgia</v>
      </c>
    </row>
    <row r="2" spans="1:11" s="445" customFormat="1" ht="13.2">
      <c r="A2" s="365" t="s">
        <v>31</v>
      </c>
      <c r="B2" s="547">
        <f>'1. key ratios '!B2</f>
        <v>45199</v>
      </c>
    </row>
    <row r="3" spans="1:11" s="445" customFormat="1">
      <c r="A3" s="366" t="s">
        <v>500</v>
      </c>
    </row>
    <row r="4" spans="1:11">
      <c r="C4" s="523" t="s">
        <v>694</v>
      </c>
      <c r="D4" s="523" t="s">
        <v>693</v>
      </c>
      <c r="E4" s="523" t="s">
        <v>692</v>
      </c>
      <c r="F4" s="523" t="s">
        <v>691</v>
      </c>
      <c r="G4" s="523" t="s">
        <v>690</v>
      </c>
      <c r="H4" s="523" t="s">
        <v>689</v>
      </c>
      <c r="I4" s="523" t="s">
        <v>688</v>
      </c>
      <c r="J4" s="523" t="s">
        <v>687</v>
      </c>
      <c r="K4" s="523" t="s">
        <v>686</v>
      </c>
    </row>
    <row r="5" spans="1:11" ht="104.1" customHeight="1">
      <c r="A5" s="935" t="s">
        <v>685</v>
      </c>
      <c r="B5" s="936"/>
      <c r="C5" s="522" t="s">
        <v>501</v>
      </c>
      <c r="D5" s="522" t="s">
        <v>502</v>
      </c>
      <c r="E5" s="522" t="s">
        <v>503</v>
      </c>
      <c r="F5" s="522" t="s">
        <v>504</v>
      </c>
      <c r="G5" s="522" t="s">
        <v>505</v>
      </c>
      <c r="H5" s="522" t="s">
        <v>506</v>
      </c>
      <c r="I5" s="522" t="s">
        <v>507</v>
      </c>
      <c r="J5" s="522" t="s">
        <v>508</v>
      </c>
      <c r="K5" s="522" t="s">
        <v>509</v>
      </c>
    </row>
    <row r="6" spans="1:11">
      <c r="A6" s="433">
        <v>1</v>
      </c>
      <c r="B6" s="433" t="s">
        <v>469</v>
      </c>
      <c r="C6" s="752">
        <v>18661682.180000003</v>
      </c>
      <c r="D6" s="752">
        <v>0</v>
      </c>
      <c r="E6" s="752">
        <v>0</v>
      </c>
      <c r="F6" s="752">
        <v>0</v>
      </c>
      <c r="G6" s="752">
        <v>83314912.798162684</v>
      </c>
      <c r="H6" s="752">
        <v>0</v>
      </c>
      <c r="I6" s="752">
        <v>5519738.192431001</v>
      </c>
      <c r="J6" s="752">
        <v>73174866.203580394</v>
      </c>
      <c r="K6" s="752">
        <v>57464108.483232915</v>
      </c>
    </row>
    <row r="7" spans="1:11">
      <c r="A7" s="433">
        <v>2</v>
      </c>
      <c r="B7" s="434" t="s">
        <v>510</v>
      </c>
      <c r="C7" s="752">
        <v>0</v>
      </c>
      <c r="D7" s="752">
        <v>0</v>
      </c>
      <c r="E7" s="752">
        <v>0</v>
      </c>
      <c r="F7" s="752">
        <v>0</v>
      </c>
      <c r="G7" s="752">
        <v>0</v>
      </c>
      <c r="H7" s="752">
        <v>0</v>
      </c>
      <c r="I7" s="752">
        <v>0</v>
      </c>
      <c r="J7" s="752">
        <v>0</v>
      </c>
      <c r="K7" s="752">
        <v>65437580.66131147</v>
      </c>
    </row>
    <row r="8" spans="1:11">
      <c r="A8" s="433">
        <v>3</v>
      </c>
      <c r="B8" s="434" t="s">
        <v>477</v>
      </c>
      <c r="C8" s="752">
        <v>2642271.2081499994</v>
      </c>
      <c r="D8" s="752"/>
      <c r="E8" s="752">
        <v>0</v>
      </c>
      <c r="F8" s="752">
        <v>0</v>
      </c>
      <c r="G8" s="752">
        <v>14755483.828009263</v>
      </c>
      <c r="H8" s="752">
        <v>0</v>
      </c>
      <c r="I8" s="752">
        <v>0</v>
      </c>
      <c r="J8" s="752">
        <v>5736110.9986180002</v>
      </c>
      <c r="K8" s="752">
        <v>75793758.148790732</v>
      </c>
    </row>
    <row r="9" spans="1:11">
      <c r="A9" s="433">
        <v>4</v>
      </c>
      <c r="B9" s="467" t="s">
        <v>511</v>
      </c>
      <c r="C9" s="780">
        <v>0</v>
      </c>
      <c r="D9" s="780"/>
      <c r="E9" s="780">
        <v>0</v>
      </c>
      <c r="F9" s="780">
        <v>0</v>
      </c>
      <c r="G9" s="780">
        <v>337417.60073000001</v>
      </c>
      <c r="H9" s="780">
        <v>0</v>
      </c>
      <c r="I9" s="780">
        <v>0</v>
      </c>
      <c r="J9" s="780">
        <v>250072.66</v>
      </c>
      <c r="K9" s="780">
        <v>420827.16852299991</v>
      </c>
    </row>
    <row r="10" spans="1:11">
      <c r="A10" s="433">
        <v>5</v>
      </c>
      <c r="B10" s="455" t="s">
        <v>512</v>
      </c>
      <c r="C10" s="780"/>
      <c r="D10" s="780"/>
      <c r="E10" s="780"/>
      <c r="F10" s="780"/>
      <c r="G10" s="780"/>
      <c r="H10" s="780"/>
      <c r="I10" s="780"/>
      <c r="J10" s="780"/>
      <c r="K10" s="780"/>
    </row>
    <row r="11" spans="1:11">
      <c r="A11" s="433">
        <v>6</v>
      </c>
      <c r="B11" s="455" t="s">
        <v>513</v>
      </c>
      <c r="C11" s="780"/>
      <c r="D11" s="780"/>
      <c r="E11" s="780"/>
      <c r="F11" s="780"/>
      <c r="G11" s="780"/>
      <c r="H11" s="780"/>
      <c r="I11" s="780"/>
      <c r="J11" s="780"/>
      <c r="K11" s="780"/>
    </row>
    <row r="13" spans="1:11" ht="13.8">
      <c r="B13" s="520"/>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6640625" defaultRowHeight="14.4"/>
  <cols>
    <col min="1" max="1" width="10" style="524" bestFit="1" customWidth="1"/>
    <col min="2" max="2" width="71.6640625" style="524" customWidth="1"/>
    <col min="3" max="4" width="9" style="524" bestFit="1" customWidth="1"/>
    <col min="5" max="5" width="7.109375" style="524" bestFit="1" customWidth="1"/>
    <col min="6" max="6" width="7.6640625" style="524" bestFit="1" customWidth="1"/>
    <col min="7" max="7" width="4.88671875" style="524" bestFit="1" customWidth="1"/>
    <col min="8" max="9" width="9" style="524" bestFit="1" customWidth="1"/>
    <col min="10" max="10" width="7.109375" style="524" bestFit="1" customWidth="1"/>
    <col min="11" max="11" width="7.6640625" style="524" bestFit="1" customWidth="1"/>
    <col min="12" max="12" width="4.88671875" style="524" bestFit="1" customWidth="1"/>
    <col min="13" max="14" width="7.6640625" style="524" bestFit="1" customWidth="1"/>
    <col min="15" max="15" width="7.109375" style="524" bestFit="1" customWidth="1"/>
    <col min="16" max="16" width="7.6640625" style="524" bestFit="1" customWidth="1"/>
    <col min="17" max="17" width="4.88671875" style="524" bestFit="1" customWidth="1"/>
    <col min="18" max="18" width="9.5546875" style="524" bestFit="1" customWidth="1"/>
    <col min="19" max="19" width="25.5546875" style="524" bestFit="1" customWidth="1"/>
    <col min="20" max="20" width="29.33203125" style="524" bestFit="1" customWidth="1"/>
    <col min="21" max="21" width="28.6640625" style="524" bestFit="1" customWidth="1"/>
    <col min="22" max="22" width="23.6640625" style="524" customWidth="1"/>
    <col min="23" max="16384" width="8.6640625" style="524"/>
  </cols>
  <sheetData>
    <row r="1" spans="1:22">
      <c r="A1" s="364" t="s">
        <v>30</v>
      </c>
      <c r="B1" s="546" t="str">
        <f>'1. key ratios '!B1</f>
        <v>JSC Isbank Georgia</v>
      </c>
    </row>
    <row r="2" spans="1:22">
      <c r="A2" s="365" t="s">
        <v>31</v>
      </c>
      <c r="B2" s="547">
        <f>'1. key ratios '!B2</f>
        <v>45199</v>
      </c>
    </row>
    <row r="3" spans="1:22">
      <c r="A3" s="366" t="s">
        <v>528</v>
      </c>
      <c r="B3" s="445"/>
    </row>
    <row r="4" spans="1:22">
      <c r="A4" s="366"/>
      <c r="B4" s="445"/>
    </row>
    <row r="5" spans="1:22" ht="24" customHeight="1">
      <c r="A5" s="937" t="s">
        <v>529</v>
      </c>
      <c r="B5" s="938"/>
      <c r="C5" s="942" t="s">
        <v>695</v>
      </c>
      <c r="D5" s="942"/>
      <c r="E5" s="942"/>
      <c r="F5" s="942"/>
      <c r="G5" s="942"/>
      <c r="H5" s="942" t="s">
        <v>547</v>
      </c>
      <c r="I5" s="942"/>
      <c r="J5" s="942"/>
      <c r="K5" s="942"/>
      <c r="L5" s="942"/>
      <c r="M5" s="942" t="s">
        <v>659</v>
      </c>
      <c r="N5" s="942"/>
      <c r="O5" s="942"/>
      <c r="P5" s="942"/>
      <c r="Q5" s="942"/>
      <c r="R5" s="941" t="s">
        <v>530</v>
      </c>
      <c r="S5" s="941" t="s">
        <v>544</v>
      </c>
      <c r="T5" s="941" t="s">
        <v>545</v>
      </c>
      <c r="U5" s="941" t="s">
        <v>706</v>
      </c>
      <c r="V5" s="941" t="s">
        <v>707</v>
      </c>
    </row>
    <row r="6" spans="1:22" ht="36" customHeight="1">
      <c r="A6" s="939"/>
      <c r="B6" s="940"/>
      <c r="C6" s="534"/>
      <c r="D6" s="443" t="s">
        <v>680</v>
      </c>
      <c r="E6" s="443" t="s">
        <v>679</v>
      </c>
      <c r="F6" s="443" t="s">
        <v>678</v>
      </c>
      <c r="G6" s="443" t="s">
        <v>677</v>
      </c>
      <c r="H6" s="534"/>
      <c r="I6" s="443" t="s">
        <v>680</v>
      </c>
      <c r="J6" s="443" t="s">
        <v>679</v>
      </c>
      <c r="K6" s="443" t="s">
        <v>678</v>
      </c>
      <c r="L6" s="443" t="s">
        <v>677</v>
      </c>
      <c r="M6" s="534"/>
      <c r="N6" s="443" t="s">
        <v>680</v>
      </c>
      <c r="O6" s="443" t="s">
        <v>679</v>
      </c>
      <c r="P6" s="443" t="s">
        <v>678</v>
      </c>
      <c r="Q6" s="443" t="s">
        <v>677</v>
      </c>
      <c r="R6" s="941"/>
      <c r="S6" s="941"/>
      <c r="T6" s="941"/>
      <c r="U6" s="941"/>
      <c r="V6" s="941"/>
    </row>
    <row r="7" spans="1:22">
      <c r="A7" s="532">
        <v>1</v>
      </c>
      <c r="B7" s="533" t="s">
        <v>538</v>
      </c>
      <c r="C7" s="780">
        <v>101948.96</v>
      </c>
      <c r="D7" s="780">
        <v>101948.96</v>
      </c>
      <c r="E7" s="780">
        <v>0</v>
      </c>
      <c r="F7" s="780">
        <v>0</v>
      </c>
      <c r="G7" s="780">
        <v>0</v>
      </c>
      <c r="H7" s="780">
        <v>103038.28000000001</v>
      </c>
      <c r="I7" s="780">
        <v>103038.28000000001</v>
      </c>
      <c r="J7" s="780">
        <v>0</v>
      </c>
      <c r="K7" s="780">
        <v>0</v>
      </c>
      <c r="L7" s="780">
        <v>0</v>
      </c>
      <c r="M7" s="780">
        <v>1549.9508944009146</v>
      </c>
      <c r="N7" s="780">
        <v>1549.9508944009146</v>
      </c>
      <c r="O7" s="780">
        <v>0</v>
      </c>
      <c r="P7" s="780">
        <v>0</v>
      </c>
      <c r="Q7" s="780">
        <v>0</v>
      </c>
      <c r="R7" s="780">
        <v>1</v>
      </c>
      <c r="S7" s="783">
        <v>0.12821917999999999</v>
      </c>
      <c r="T7" s="783">
        <v>0.2261</v>
      </c>
      <c r="U7" s="783">
        <v>0.12821917999999999</v>
      </c>
      <c r="V7" s="780">
        <v>17.899999999999999</v>
      </c>
    </row>
    <row r="8" spans="1:22">
      <c r="A8" s="532">
        <v>2</v>
      </c>
      <c r="B8" s="531" t="s">
        <v>537</v>
      </c>
      <c r="C8" s="780">
        <v>4671641.3463410009</v>
      </c>
      <c r="D8" s="780">
        <v>4371515.5704460014</v>
      </c>
      <c r="E8" s="780">
        <v>0</v>
      </c>
      <c r="F8" s="780">
        <v>300125.77589500009</v>
      </c>
      <c r="G8" s="780">
        <v>0</v>
      </c>
      <c r="H8" s="780">
        <v>4700948.6027237214</v>
      </c>
      <c r="I8" s="780">
        <v>4389500.0668287221</v>
      </c>
      <c r="J8" s="780">
        <v>0</v>
      </c>
      <c r="K8" s="780">
        <v>311448.5358950001</v>
      </c>
      <c r="L8" s="780">
        <v>0</v>
      </c>
      <c r="M8" s="780">
        <v>427247.83368450287</v>
      </c>
      <c r="N8" s="780">
        <v>152486.34626554316</v>
      </c>
      <c r="O8" s="780">
        <v>0</v>
      </c>
      <c r="P8" s="780">
        <v>274761.48741895996</v>
      </c>
      <c r="Q8" s="780">
        <v>0</v>
      </c>
      <c r="R8" s="780">
        <v>137</v>
      </c>
      <c r="S8" s="783">
        <v>0.11501409697049919</v>
      </c>
      <c r="T8" s="783">
        <v>0.12832562089049918</v>
      </c>
      <c r="U8" s="783">
        <v>0.12544157792158661</v>
      </c>
      <c r="V8" s="780">
        <v>42.182680475148594</v>
      </c>
    </row>
    <row r="9" spans="1:22">
      <c r="A9" s="532">
        <v>3</v>
      </c>
      <c r="B9" s="531" t="s">
        <v>536</v>
      </c>
      <c r="C9" s="780">
        <v>0</v>
      </c>
      <c r="D9" s="780">
        <v>0</v>
      </c>
      <c r="E9" s="780">
        <v>0</v>
      </c>
      <c r="F9" s="780">
        <v>0</v>
      </c>
      <c r="G9" s="780">
        <v>0</v>
      </c>
      <c r="H9" s="780">
        <v>0</v>
      </c>
      <c r="I9" s="780">
        <v>0</v>
      </c>
      <c r="J9" s="780">
        <v>0</v>
      </c>
      <c r="K9" s="780">
        <v>0</v>
      </c>
      <c r="L9" s="780">
        <v>0</v>
      </c>
      <c r="M9" s="780">
        <v>0</v>
      </c>
      <c r="N9" s="780">
        <v>0</v>
      </c>
      <c r="O9" s="780">
        <v>0</v>
      </c>
      <c r="P9" s="780">
        <v>0</v>
      </c>
      <c r="Q9" s="780">
        <v>0</v>
      </c>
      <c r="R9" s="780"/>
      <c r="S9" s="783"/>
      <c r="T9" s="783"/>
      <c r="U9" s="783"/>
      <c r="V9" s="780"/>
    </row>
    <row r="10" spans="1:22">
      <c r="A10" s="532">
        <v>4</v>
      </c>
      <c r="B10" s="531" t="s">
        <v>535</v>
      </c>
      <c r="C10" s="780">
        <v>0</v>
      </c>
      <c r="D10" s="780">
        <v>0</v>
      </c>
      <c r="E10" s="780">
        <v>0</v>
      </c>
      <c r="F10" s="780">
        <v>0</v>
      </c>
      <c r="G10" s="780">
        <v>0</v>
      </c>
      <c r="H10" s="780">
        <v>0</v>
      </c>
      <c r="I10" s="780">
        <v>0</v>
      </c>
      <c r="J10" s="780">
        <v>0</v>
      </c>
      <c r="K10" s="780">
        <v>0</v>
      </c>
      <c r="L10" s="780">
        <v>0</v>
      </c>
      <c r="M10" s="780">
        <v>0</v>
      </c>
      <c r="N10" s="780">
        <v>0</v>
      </c>
      <c r="O10" s="780">
        <v>0</v>
      </c>
      <c r="P10" s="780">
        <v>0</v>
      </c>
      <c r="Q10" s="780">
        <v>0</v>
      </c>
      <c r="R10" s="780"/>
      <c r="S10" s="783"/>
      <c r="T10" s="783"/>
      <c r="U10" s="783"/>
      <c r="V10" s="780"/>
    </row>
    <row r="11" spans="1:22">
      <c r="A11" s="532">
        <v>5</v>
      </c>
      <c r="B11" s="531" t="s">
        <v>534</v>
      </c>
      <c r="C11" s="780">
        <v>36786</v>
      </c>
      <c r="D11" s="780">
        <v>24080.39</v>
      </c>
      <c r="E11" s="780">
        <v>0</v>
      </c>
      <c r="F11" s="780">
        <v>12705.61</v>
      </c>
      <c r="G11" s="780">
        <v>0</v>
      </c>
      <c r="H11" s="780">
        <v>37173.910000000003</v>
      </c>
      <c r="I11" s="780">
        <v>24381</v>
      </c>
      <c r="J11" s="780">
        <v>0</v>
      </c>
      <c r="K11" s="780">
        <v>12792.91</v>
      </c>
      <c r="L11" s="780">
        <v>0</v>
      </c>
      <c r="M11" s="780">
        <v>10180.284748186308</v>
      </c>
      <c r="N11" s="780">
        <v>1924.0911227854558</v>
      </c>
      <c r="O11" s="780">
        <v>0</v>
      </c>
      <c r="P11" s="780">
        <v>8256.1936254008542</v>
      </c>
      <c r="Q11" s="780">
        <v>0</v>
      </c>
      <c r="R11" s="780">
        <v>31</v>
      </c>
      <c r="S11" s="783">
        <v>0.1470889876583483</v>
      </c>
      <c r="T11" s="783">
        <v>0</v>
      </c>
      <c r="U11" s="783">
        <v>0.1470889876583483</v>
      </c>
      <c r="V11" s="780">
        <v>24</v>
      </c>
    </row>
    <row r="12" spans="1:22">
      <c r="A12" s="532">
        <v>6</v>
      </c>
      <c r="B12" s="531" t="s">
        <v>533</v>
      </c>
      <c r="C12" s="780">
        <v>0</v>
      </c>
      <c r="D12" s="780">
        <v>0</v>
      </c>
      <c r="E12" s="780">
        <v>0</v>
      </c>
      <c r="F12" s="780">
        <v>0</v>
      </c>
      <c r="G12" s="780">
        <v>0</v>
      </c>
      <c r="H12" s="780">
        <v>0</v>
      </c>
      <c r="I12" s="780">
        <v>0</v>
      </c>
      <c r="J12" s="780">
        <v>0</v>
      </c>
      <c r="K12" s="780">
        <v>0</v>
      </c>
      <c r="L12" s="780">
        <v>0</v>
      </c>
      <c r="M12" s="780">
        <v>0</v>
      </c>
      <c r="N12" s="780">
        <v>0</v>
      </c>
      <c r="O12" s="780">
        <v>0</v>
      </c>
      <c r="P12" s="780">
        <v>0</v>
      </c>
      <c r="Q12" s="780">
        <v>0</v>
      </c>
      <c r="R12" s="780"/>
      <c r="S12" s="783"/>
      <c r="T12" s="783"/>
      <c r="U12" s="783"/>
      <c r="V12" s="780"/>
    </row>
    <row r="13" spans="1:22">
      <c r="A13" s="532">
        <v>7</v>
      </c>
      <c r="B13" s="531" t="s">
        <v>532</v>
      </c>
      <c r="C13" s="782">
        <f>SUM(C14:C16)</f>
        <v>4255578.7163309995</v>
      </c>
      <c r="D13" s="782">
        <f t="shared" ref="D13:R13" si="0">SUM(D14:D16)</f>
        <v>3963247.1998330005</v>
      </c>
      <c r="E13" s="782">
        <f t="shared" si="0"/>
        <v>0</v>
      </c>
      <c r="F13" s="782">
        <f t="shared" si="0"/>
        <v>292331.51649800001</v>
      </c>
      <c r="G13" s="782">
        <f t="shared" si="0"/>
        <v>0</v>
      </c>
      <c r="H13" s="782">
        <f t="shared" si="0"/>
        <v>4290691.1285082446</v>
      </c>
      <c r="I13" s="782">
        <f t="shared" si="0"/>
        <v>3983326.1836607326</v>
      </c>
      <c r="J13" s="782">
        <f t="shared" si="0"/>
        <v>0</v>
      </c>
      <c r="K13" s="782">
        <f t="shared" si="0"/>
        <v>307364.94484751346</v>
      </c>
      <c r="L13" s="782">
        <f t="shared" si="0"/>
        <v>0</v>
      </c>
      <c r="M13" s="782">
        <f t="shared" si="0"/>
        <v>193688.45162367489</v>
      </c>
      <c r="N13" s="782">
        <f t="shared" si="0"/>
        <v>63828.913965836196</v>
      </c>
      <c r="O13" s="782">
        <f t="shared" si="0"/>
        <v>0</v>
      </c>
      <c r="P13" s="782">
        <f t="shared" si="0"/>
        <v>129859.53765783869</v>
      </c>
      <c r="Q13" s="782">
        <f t="shared" si="0"/>
        <v>0</v>
      </c>
      <c r="R13" s="782">
        <f t="shared" si="0"/>
        <v>32</v>
      </c>
      <c r="S13" s="783"/>
      <c r="T13" s="783"/>
      <c r="U13" s="783">
        <v>0.12649927660613172</v>
      </c>
      <c r="V13" s="780">
        <v>192.58735935587237</v>
      </c>
    </row>
    <row r="14" spans="1:22">
      <c r="A14" s="526">
        <v>7.1</v>
      </c>
      <c r="B14" s="525" t="s">
        <v>541</v>
      </c>
      <c r="C14" s="780">
        <v>3368040.2053569993</v>
      </c>
      <c r="D14" s="780">
        <v>3129471.5706920004</v>
      </c>
      <c r="E14" s="780">
        <v>0</v>
      </c>
      <c r="F14" s="780">
        <v>238568.63466500002</v>
      </c>
      <c r="G14" s="780">
        <v>0</v>
      </c>
      <c r="H14" s="780">
        <v>3399249.2945996886</v>
      </c>
      <c r="I14" s="780">
        <v>3145647.2315851767</v>
      </c>
      <c r="J14" s="780">
        <v>0</v>
      </c>
      <c r="K14" s="780">
        <v>253602.06301451343</v>
      </c>
      <c r="L14" s="780">
        <v>0</v>
      </c>
      <c r="M14" s="780">
        <v>128591.29143754955</v>
      </c>
      <c r="N14" s="780">
        <v>52592.993779710851</v>
      </c>
      <c r="O14" s="780">
        <v>0</v>
      </c>
      <c r="P14" s="780">
        <v>75998.297657838688</v>
      </c>
      <c r="Q14" s="780">
        <v>0</v>
      </c>
      <c r="R14" s="780">
        <v>24</v>
      </c>
      <c r="S14" s="783">
        <v>0.11825474803412787</v>
      </c>
      <c r="T14" s="783">
        <v>0.13074277044690369</v>
      </c>
      <c r="U14" s="783">
        <v>0.12706244283923565</v>
      </c>
      <c r="V14" s="780">
        <v>82.847411090626238</v>
      </c>
    </row>
    <row r="15" spans="1:22">
      <c r="A15" s="526">
        <v>7.2</v>
      </c>
      <c r="B15" s="525" t="s">
        <v>543</v>
      </c>
      <c r="C15" s="780">
        <v>887538.51097399998</v>
      </c>
      <c r="D15" s="780">
        <v>833775.6291410001</v>
      </c>
      <c r="E15" s="780">
        <v>0</v>
      </c>
      <c r="F15" s="780">
        <v>53762.881832999999</v>
      </c>
      <c r="G15" s="780">
        <v>0</v>
      </c>
      <c r="H15" s="780">
        <v>891441.83390855568</v>
      </c>
      <c r="I15" s="780">
        <v>837678.9520755558</v>
      </c>
      <c r="J15" s="780">
        <v>0</v>
      </c>
      <c r="K15" s="780">
        <v>53762.881832999999</v>
      </c>
      <c r="L15" s="780">
        <v>0</v>
      </c>
      <c r="M15" s="780">
        <v>65097.160186125344</v>
      </c>
      <c r="N15" s="780">
        <v>11235.920186125346</v>
      </c>
      <c r="O15" s="780">
        <v>0</v>
      </c>
      <c r="P15" s="780">
        <v>53861.24</v>
      </c>
      <c r="Q15" s="780">
        <v>0</v>
      </c>
      <c r="R15" s="780">
        <v>8</v>
      </c>
      <c r="S15" s="783">
        <v>0.14064657999999999</v>
      </c>
      <c r="T15" s="783">
        <v>0.16420000000000001</v>
      </c>
      <c r="U15" s="783">
        <v>0.12436216763346118</v>
      </c>
      <c r="V15" s="780">
        <v>109.73994826524613</v>
      </c>
    </row>
    <row r="16" spans="1:22">
      <c r="A16" s="526">
        <v>7.3</v>
      </c>
      <c r="B16" s="525" t="s">
        <v>540</v>
      </c>
      <c r="C16" s="780">
        <v>0</v>
      </c>
      <c r="D16" s="780">
        <v>0</v>
      </c>
      <c r="E16" s="780">
        <v>0</v>
      </c>
      <c r="F16" s="780">
        <v>0</v>
      </c>
      <c r="G16" s="780">
        <v>0</v>
      </c>
      <c r="H16" s="780">
        <v>0</v>
      </c>
      <c r="I16" s="780">
        <v>0</v>
      </c>
      <c r="J16" s="780">
        <v>0</v>
      </c>
      <c r="K16" s="780">
        <v>0</v>
      </c>
      <c r="L16" s="780">
        <v>0</v>
      </c>
      <c r="M16" s="780">
        <v>0</v>
      </c>
      <c r="N16" s="780">
        <v>0</v>
      </c>
      <c r="O16" s="780">
        <v>0</v>
      </c>
      <c r="P16" s="780">
        <v>0</v>
      </c>
      <c r="Q16" s="780">
        <v>0</v>
      </c>
      <c r="R16" s="780"/>
      <c r="S16" s="783"/>
      <c r="T16" s="783"/>
      <c r="U16" s="783"/>
      <c r="V16" s="780"/>
    </row>
    <row r="17" spans="1:22">
      <c r="A17" s="532">
        <v>8</v>
      </c>
      <c r="B17" s="531" t="s">
        <v>539</v>
      </c>
      <c r="C17" s="780">
        <v>0</v>
      </c>
      <c r="D17" s="780">
        <v>0</v>
      </c>
      <c r="E17" s="780">
        <v>0</v>
      </c>
      <c r="F17" s="780">
        <v>0</v>
      </c>
      <c r="G17" s="780">
        <v>0</v>
      </c>
      <c r="H17" s="780">
        <v>0</v>
      </c>
      <c r="I17" s="780">
        <v>0</v>
      </c>
      <c r="J17" s="780">
        <v>0</v>
      </c>
      <c r="K17" s="780">
        <v>0</v>
      </c>
      <c r="L17" s="780">
        <v>0</v>
      </c>
      <c r="M17" s="780">
        <v>0</v>
      </c>
      <c r="N17" s="780">
        <v>0</v>
      </c>
      <c r="O17" s="780">
        <v>0</v>
      </c>
      <c r="P17" s="780">
        <v>0</v>
      </c>
      <c r="Q17" s="780">
        <v>0</v>
      </c>
      <c r="R17" s="780"/>
      <c r="S17" s="783"/>
      <c r="T17" s="783"/>
      <c r="U17" s="783"/>
      <c r="V17" s="780"/>
    </row>
    <row r="18" spans="1:22">
      <c r="A18" s="530">
        <v>9</v>
      </c>
      <c r="B18" s="529" t="s">
        <v>531</v>
      </c>
      <c r="C18" s="781">
        <v>0</v>
      </c>
      <c r="D18" s="781">
        <v>0</v>
      </c>
      <c r="E18" s="781">
        <v>0</v>
      </c>
      <c r="F18" s="781">
        <v>0</v>
      </c>
      <c r="G18" s="781">
        <v>0</v>
      </c>
      <c r="H18" s="781">
        <v>0</v>
      </c>
      <c r="I18" s="781">
        <v>0</v>
      </c>
      <c r="J18" s="781">
        <v>0</v>
      </c>
      <c r="K18" s="781">
        <v>0</v>
      </c>
      <c r="L18" s="781">
        <v>0</v>
      </c>
      <c r="M18" s="781">
        <v>0</v>
      </c>
      <c r="N18" s="781">
        <v>0</v>
      </c>
      <c r="O18" s="781">
        <v>0</v>
      </c>
      <c r="P18" s="781">
        <v>0</v>
      </c>
      <c r="Q18" s="781">
        <v>0</v>
      </c>
      <c r="R18" s="781"/>
      <c r="S18" s="784"/>
      <c r="T18" s="784"/>
      <c r="U18" s="784"/>
      <c r="V18" s="781"/>
    </row>
    <row r="19" spans="1:22">
      <c r="A19" s="528">
        <v>10</v>
      </c>
      <c r="B19" s="527" t="s">
        <v>542</v>
      </c>
      <c r="C19" s="782">
        <f>SUM(C7:C13)</f>
        <v>9065955.0226720013</v>
      </c>
      <c r="D19" s="782">
        <f t="shared" ref="D19:R19" si="1">SUM(D7:D13)</f>
        <v>8460792.1202790011</v>
      </c>
      <c r="E19" s="782">
        <f t="shared" si="1"/>
        <v>0</v>
      </c>
      <c r="F19" s="782">
        <f t="shared" si="1"/>
        <v>605162.90239300008</v>
      </c>
      <c r="G19" s="782">
        <f t="shared" si="1"/>
        <v>0</v>
      </c>
      <c r="H19" s="782">
        <f t="shared" si="1"/>
        <v>9131851.9212319665</v>
      </c>
      <c r="I19" s="782">
        <f t="shared" si="1"/>
        <v>8500245.5304894559</v>
      </c>
      <c r="J19" s="782">
        <f t="shared" si="1"/>
        <v>0</v>
      </c>
      <c r="K19" s="782">
        <f t="shared" si="1"/>
        <v>631606.39074251358</v>
      </c>
      <c r="L19" s="782">
        <f t="shared" si="1"/>
        <v>0</v>
      </c>
      <c r="M19" s="782">
        <f t="shared" si="1"/>
        <v>632666.520950765</v>
      </c>
      <c r="N19" s="782">
        <f t="shared" si="1"/>
        <v>219789.30224856574</v>
      </c>
      <c r="O19" s="782">
        <f t="shared" si="1"/>
        <v>0</v>
      </c>
      <c r="P19" s="782">
        <f t="shared" si="1"/>
        <v>412877.21870219952</v>
      </c>
      <c r="Q19" s="782">
        <f t="shared" si="1"/>
        <v>0</v>
      </c>
      <c r="R19" s="782">
        <f t="shared" si="1"/>
        <v>201</v>
      </c>
      <c r="S19" s="783">
        <v>0.12532872538189146</v>
      </c>
      <c r="T19" s="783">
        <v>0.14144920184095558</v>
      </c>
      <c r="U19" s="783">
        <v>0.12605713527368598</v>
      </c>
      <c r="V19" s="780">
        <v>112.23482613490224</v>
      </c>
    </row>
    <row r="20" spans="1:22" ht="24">
      <c r="A20" s="526">
        <v>10.1</v>
      </c>
      <c r="B20" s="525" t="s">
        <v>546</v>
      </c>
      <c r="C20" s="521"/>
      <c r="D20" s="521"/>
      <c r="E20" s="521"/>
      <c r="F20" s="521"/>
      <c r="G20" s="521"/>
      <c r="H20" s="521"/>
      <c r="I20" s="521"/>
      <c r="J20" s="521"/>
      <c r="K20" s="521"/>
      <c r="L20" s="521"/>
      <c r="M20" s="521"/>
      <c r="N20" s="521"/>
      <c r="O20" s="521"/>
      <c r="P20" s="521"/>
      <c r="Q20" s="521"/>
      <c r="R20" s="521"/>
      <c r="S20" s="783"/>
      <c r="T20" s="783"/>
      <c r="U20" s="783"/>
      <c r="V20" s="52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Normal="100" workbookViewId="0">
      <selection activeCell="B4" sqref="B4:B5"/>
    </sheetView>
  </sheetViews>
  <sheetFormatPr defaultRowHeight="14.4"/>
  <cols>
    <col min="1" max="1" width="8.6640625" style="389"/>
    <col min="2" max="2" width="69.33203125" style="390" customWidth="1"/>
    <col min="3" max="3" width="13.5546875" customWidth="1"/>
    <col min="4" max="4" width="14.44140625" customWidth="1"/>
    <col min="5" max="8" width="13.109375" customWidth="1"/>
  </cols>
  <sheetData>
    <row r="1" spans="1:8" s="5" customFormat="1" ht="13.8">
      <c r="A1" s="2" t="s">
        <v>30</v>
      </c>
      <c r="B1" s="546" t="str">
        <f>'1. key ratios '!B1</f>
        <v>JSC Isbank Georgia</v>
      </c>
      <c r="C1" s="3"/>
      <c r="D1" s="4"/>
      <c r="E1" s="4"/>
      <c r="F1" s="4"/>
      <c r="G1" s="4"/>
    </row>
    <row r="2" spans="1:8" s="5" customFormat="1" ht="13.8">
      <c r="A2" s="2" t="s">
        <v>31</v>
      </c>
      <c r="B2" s="547">
        <f>'1. key ratios '!B2</f>
        <v>45199</v>
      </c>
      <c r="C2" s="6"/>
      <c r="D2" s="7"/>
      <c r="E2" s="7"/>
      <c r="F2" s="7"/>
      <c r="G2" s="7"/>
      <c r="H2" s="8"/>
    </row>
    <row r="3" spans="1:8" s="5" customFormat="1" thickBot="1">
      <c r="A3" s="2"/>
      <c r="B3" s="6"/>
      <c r="C3" s="6"/>
      <c r="D3" s="7"/>
      <c r="E3" s="7"/>
      <c r="F3" s="7"/>
      <c r="G3" s="7"/>
      <c r="H3" s="8"/>
    </row>
    <row r="4" spans="1:8" ht="21" customHeight="1">
      <c r="A4" s="826" t="s">
        <v>6</v>
      </c>
      <c r="B4" s="828" t="s">
        <v>553</v>
      </c>
      <c r="C4" s="830" t="s">
        <v>554</v>
      </c>
      <c r="D4" s="831"/>
      <c r="E4" s="831"/>
      <c r="F4" s="831" t="s">
        <v>555</v>
      </c>
      <c r="G4" s="831"/>
      <c r="H4" s="832"/>
    </row>
    <row r="5" spans="1:8" ht="21" customHeight="1">
      <c r="A5" s="827"/>
      <c r="B5" s="829"/>
      <c r="C5" s="617" t="s">
        <v>32</v>
      </c>
      <c r="D5" s="577" t="s">
        <v>33</v>
      </c>
      <c r="E5" s="577" t="s">
        <v>34</v>
      </c>
      <c r="F5" s="577" t="s">
        <v>32</v>
      </c>
      <c r="G5" s="577" t="s">
        <v>33</v>
      </c>
      <c r="H5" s="578" t="s">
        <v>34</v>
      </c>
    </row>
    <row r="6" spans="1:8" ht="26.4" customHeight="1">
      <c r="A6" s="827"/>
      <c r="B6" s="593" t="s">
        <v>556</v>
      </c>
      <c r="C6" s="833"/>
      <c r="D6" s="834"/>
      <c r="E6" s="834"/>
      <c r="F6" s="834"/>
      <c r="G6" s="834"/>
      <c r="H6" s="835"/>
    </row>
    <row r="7" spans="1:8" ht="23.1" customHeight="1">
      <c r="A7" s="579">
        <v>1</v>
      </c>
      <c r="B7" s="594" t="s">
        <v>557</v>
      </c>
      <c r="C7" s="619">
        <f>SUM(C8:C10)</f>
        <v>33374866.579123966</v>
      </c>
      <c r="D7" s="576">
        <f>SUM(D8:D10)</f>
        <v>93000728.727618158</v>
      </c>
      <c r="E7" s="575">
        <f>C7+D7</f>
        <v>126375595.30674213</v>
      </c>
      <c r="F7" s="573">
        <f>SUM(F8:F10)</f>
        <v>0</v>
      </c>
      <c r="G7" s="573">
        <f>SUM(G8:G10)</f>
        <v>0</v>
      </c>
      <c r="H7" s="581">
        <f>F7+G7</f>
        <v>0</v>
      </c>
    </row>
    <row r="8" spans="1:8">
      <c r="A8" s="579">
        <v>1.1000000000000001</v>
      </c>
      <c r="B8" s="595" t="s">
        <v>558</v>
      </c>
      <c r="C8" s="618">
        <v>463719.85</v>
      </c>
      <c r="D8" s="573">
        <v>1806750.9291000001</v>
      </c>
      <c r="E8" s="575">
        <f t="shared" ref="E8:E36" si="0">C8+D8</f>
        <v>2270470.7790999999</v>
      </c>
      <c r="F8" s="573"/>
      <c r="G8" s="573"/>
      <c r="H8" s="581">
        <f t="shared" ref="H8:H36" si="1">F8+G8</f>
        <v>0</v>
      </c>
    </row>
    <row r="9" spans="1:8">
      <c r="A9" s="579">
        <v>1.2</v>
      </c>
      <c r="B9" s="595" t="s">
        <v>559</v>
      </c>
      <c r="C9" s="618">
        <v>2966871.4445510888</v>
      </c>
      <c r="D9" s="573">
        <v>76434919.223775208</v>
      </c>
      <c r="E9" s="575">
        <f t="shared" si="0"/>
        <v>79401790.668326303</v>
      </c>
      <c r="F9" s="573"/>
      <c r="G9" s="573"/>
      <c r="H9" s="581">
        <f t="shared" si="1"/>
        <v>0</v>
      </c>
    </row>
    <row r="10" spans="1:8">
      <c r="A10" s="579">
        <v>1.3</v>
      </c>
      <c r="B10" s="595" t="s">
        <v>560</v>
      </c>
      <c r="C10" s="618">
        <v>29944275.284572877</v>
      </c>
      <c r="D10" s="573">
        <v>14759058.574742936</v>
      </c>
      <c r="E10" s="575">
        <f t="shared" si="0"/>
        <v>44703333.859315813</v>
      </c>
      <c r="F10" s="573"/>
      <c r="G10" s="573"/>
      <c r="H10" s="581">
        <f t="shared" si="1"/>
        <v>0</v>
      </c>
    </row>
    <row r="11" spans="1:8">
      <c r="A11" s="579">
        <v>2</v>
      </c>
      <c r="B11" s="596" t="s">
        <v>561</v>
      </c>
      <c r="C11" s="618"/>
      <c r="D11" s="573"/>
      <c r="E11" s="575">
        <f t="shared" si="0"/>
        <v>0</v>
      </c>
      <c r="F11" s="573"/>
      <c r="G11" s="573"/>
      <c r="H11" s="581">
        <f t="shared" si="1"/>
        <v>0</v>
      </c>
    </row>
    <row r="12" spans="1:8">
      <c r="A12" s="579">
        <v>2.1</v>
      </c>
      <c r="B12" s="597" t="s">
        <v>562</v>
      </c>
      <c r="C12" s="618"/>
      <c r="D12" s="573"/>
      <c r="E12" s="575">
        <f t="shared" si="0"/>
        <v>0</v>
      </c>
      <c r="F12" s="573"/>
      <c r="G12" s="573"/>
      <c r="H12" s="581">
        <f t="shared" si="1"/>
        <v>0</v>
      </c>
    </row>
    <row r="13" spans="1:8" ht="26.4" customHeight="1">
      <c r="A13" s="579">
        <v>3</v>
      </c>
      <c r="B13" s="598" t="s">
        <v>563</v>
      </c>
      <c r="C13" s="618"/>
      <c r="D13" s="573"/>
      <c r="E13" s="575">
        <f t="shared" si="0"/>
        <v>0</v>
      </c>
      <c r="F13" s="573"/>
      <c r="G13" s="573"/>
      <c r="H13" s="581">
        <f t="shared" si="1"/>
        <v>0</v>
      </c>
    </row>
    <row r="14" spans="1:8" ht="26.4" customHeight="1">
      <c r="A14" s="579">
        <v>4</v>
      </c>
      <c r="B14" s="599" t="s">
        <v>564</v>
      </c>
      <c r="C14" s="618"/>
      <c r="D14" s="573"/>
      <c r="E14" s="575">
        <f t="shared" si="0"/>
        <v>0</v>
      </c>
      <c r="F14" s="573"/>
      <c r="G14" s="573"/>
      <c r="H14" s="581">
        <f t="shared" si="1"/>
        <v>0</v>
      </c>
    </row>
    <row r="15" spans="1:8" ht="24.6" customHeight="1">
      <c r="A15" s="579">
        <v>5</v>
      </c>
      <c r="B15" s="600" t="s">
        <v>565</v>
      </c>
      <c r="C15" s="810">
        <f>SUM(C16:C18)</f>
        <v>0</v>
      </c>
      <c r="D15" s="811">
        <f>SUM(D16:D18)</f>
        <v>0</v>
      </c>
      <c r="E15" s="583">
        <f t="shared" si="0"/>
        <v>0</v>
      </c>
      <c r="F15" s="582">
        <f>SUM(F16:F18)</f>
        <v>0</v>
      </c>
      <c r="G15" s="582">
        <f>SUM(G16:G18)</f>
        <v>0</v>
      </c>
      <c r="H15" s="584">
        <f t="shared" si="1"/>
        <v>0</v>
      </c>
    </row>
    <row r="16" spans="1:8">
      <c r="A16" s="579">
        <v>5.0999999999999996</v>
      </c>
      <c r="B16" s="601" t="s">
        <v>566</v>
      </c>
      <c r="C16" s="618"/>
      <c r="D16" s="573"/>
      <c r="E16" s="575">
        <f t="shared" si="0"/>
        <v>0</v>
      </c>
      <c r="F16" s="573"/>
      <c r="G16" s="573"/>
      <c r="H16" s="581">
        <f t="shared" si="1"/>
        <v>0</v>
      </c>
    </row>
    <row r="17" spans="1:8">
      <c r="A17" s="579">
        <v>5.2</v>
      </c>
      <c r="B17" s="601" t="s">
        <v>567</v>
      </c>
      <c r="C17" s="618"/>
      <c r="D17" s="573"/>
      <c r="E17" s="575">
        <f t="shared" si="0"/>
        <v>0</v>
      </c>
      <c r="F17" s="573"/>
      <c r="G17" s="573"/>
      <c r="H17" s="581">
        <f t="shared" si="1"/>
        <v>0</v>
      </c>
    </row>
    <row r="18" spans="1:8">
      <c r="A18" s="579">
        <v>5.3</v>
      </c>
      <c r="B18" s="602" t="s">
        <v>568</v>
      </c>
      <c r="C18" s="618"/>
      <c r="D18" s="573"/>
      <c r="E18" s="575">
        <f t="shared" si="0"/>
        <v>0</v>
      </c>
      <c r="F18" s="573"/>
      <c r="G18" s="573"/>
      <c r="H18" s="581">
        <f t="shared" si="1"/>
        <v>0</v>
      </c>
    </row>
    <row r="19" spans="1:8">
      <c r="A19" s="579">
        <v>6</v>
      </c>
      <c r="B19" s="598" t="s">
        <v>569</v>
      </c>
      <c r="C19" s="619">
        <f>SUM(C20:C21)</f>
        <v>146977673.25189826</v>
      </c>
      <c r="D19" s="576">
        <f>SUM(D20:D21)</f>
        <v>156235443.07816321</v>
      </c>
      <c r="E19" s="575">
        <f t="shared" si="0"/>
        <v>303213116.33006144</v>
      </c>
      <c r="F19" s="573">
        <f>SUM(F20:F21)</f>
        <v>0</v>
      </c>
      <c r="G19" s="573">
        <f>SUM(G20:G21)</f>
        <v>0</v>
      </c>
      <c r="H19" s="581">
        <f t="shared" si="1"/>
        <v>0</v>
      </c>
    </row>
    <row r="20" spans="1:8">
      <c r="A20" s="579">
        <v>6.1</v>
      </c>
      <c r="B20" s="601" t="s">
        <v>567</v>
      </c>
      <c r="C20" s="618">
        <v>52211146.693507619</v>
      </c>
      <c r="D20" s="573">
        <v>13541427.693723947</v>
      </c>
      <c r="E20" s="575">
        <f t="shared" si="0"/>
        <v>65752574.387231566</v>
      </c>
      <c r="F20" s="573"/>
      <c r="G20" s="573"/>
      <c r="H20" s="581">
        <f t="shared" si="1"/>
        <v>0</v>
      </c>
    </row>
    <row r="21" spans="1:8">
      <c r="A21" s="579">
        <v>6.2</v>
      </c>
      <c r="B21" s="602" t="s">
        <v>568</v>
      </c>
      <c r="C21" s="618">
        <v>94766526.558390647</v>
      </c>
      <c r="D21" s="573">
        <v>142694015.38443926</v>
      </c>
      <c r="E21" s="575">
        <f t="shared" si="0"/>
        <v>237460541.94282991</v>
      </c>
      <c r="F21" s="573"/>
      <c r="G21" s="573"/>
      <c r="H21" s="581">
        <f t="shared" si="1"/>
        <v>0</v>
      </c>
    </row>
    <row r="22" spans="1:8">
      <c r="A22" s="579">
        <v>7</v>
      </c>
      <c r="B22" s="596" t="s">
        <v>570</v>
      </c>
      <c r="C22" s="618"/>
      <c r="D22" s="573"/>
      <c r="E22" s="575">
        <f t="shared" si="0"/>
        <v>0</v>
      </c>
      <c r="F22" s="573"/>
      <c r="G22" s="573"/>
      <c r="H22" s="581">
        <f t="shared" si="1"/>
        <v>0</v>
      </c>
    </row>
    <row r="23" spans="1:8">
      <c r="A23" s="579">
        <v>8</v>
      </c>
      <c r="B23" s="603" t="s">
        <v>571</v>
      </c>
      <c r="C23" s="618"/>
      <c r="D23" s="573"/>
      <c r="E23" s="575">
        <f t="shared" si="0"/>
        <v>0</v>
      </c>
      <c r="F23" s="573"/>
      <c r="G23" s="573"/>
      <c r="H23" s="581">
        <f t="shared" si="1"/>
        <v>0</v>
      </c>
    </row>
    <row r="24" spans="1:8">
      <c r="A24" s="579">
        <v>9</v>
      </c>
      <c r="B24" s="599" t="s">
        <v>572</v>
      </c>
      <c r="C24" s="619">
        <f>SUM(C25:C26)</f>
        <v>6073902.7700000005</v>
      </c>
      <c r="D24" s="576">
        <f>SUM(D25:D26)</f>
        <v>0</v>
      </c>
      <c r="E24" s="575">
        <f t="shared" si="0"/>
        <v>6073902.7700000005</v>
      </c>
      <c r="F24" s="573">
        <f>SUM(F25:F26)</f>
        <v>0</v>
      </c>
      <c r="G24" s="573">
        <f>SUM(G25:G26)</f>
        <v>0</v>
      </c>
      <c r="H24" s="581">
        <f t="shared" si="1"/>
        <v>0</v>
      </c>
    </row>
    <row r="25" spans="1:8">
      <c r="A25" s="579">
        <v>9.1</v>
      </c>
      <c r="B25" s="601" t="s">
        <v>573</v>
      </c>
      <c r="C25" s="618">
        <v>6073902.7700000005</v>
      </c>
      <c r="D25" s="573"/>
      <c r="E25" s="575">
        <f t="shared" si="0"/>
        <v>6073902.7700000005</v>
      </c>
      <c r="F25" s="573"/>
      <c r="G25" s="573"/>
      <c r="H25" s="581">
        <f t="shared" si="1"/>
        <v>0</v>
      </c>
    </row>
    <row r="26" spans="1:8">
      <c r="A26" s="579">
        <v>9.1999999999999993</v>
      </c>
      <c r="B26" s="601" t="s">
        <v>574</v>
      </c>
      <c r="C26" s="618"/>
      <c r="D26" s="573"/>
      <c r="E26" s="575">
        <f t="shared" si="0"/>
        <v>0</v>
      </c>
      <c r="F26" s="573"/>
      <c r="G26" s="573"/>
      <c r="H26" s="581">
        <f t="shared" si="1"/>
        <v>0</v>
      </c>
    </row>
    <row r="27" spans="1:8">
      <c r="A27" s="579">
        <v>10</v>
      </c>
      <c r="B27" s="599" t="s">
        <v>575</v>
      </c>
      <c r="C27" s="619">
        <f>SUM(C28:C29)</f>
        <v>177648.31928219183</v>
      </c>
      <c r="D27" s="576">
        <f>SUM(D28:D29)</f>
        <v>0</v>
      </c>
      <c r="E27" s="575">
        <f t="shared" si="0"/>
        <v>177648.31928219183</v>
      </c>
      <c r="F27" s="573">
        <f>SUM(F28:F29)</f>
        <v>0</v>
      </c>
      <c r="G27" s="573">
        <f>SUM(G28:G29)</f>
        <v>0</v>
      </c>
      <c r="H27" s="581">
        <f t="shared" si="1"/>
        <v>0</v>
      </c>
    </row>
    <row r="28" spans="1:8">
      <c r="A28" s="579">
        <v>10.1</v>
      </c>
      <c r="B28" s="601" t="s">
        <v>576</v>
      </c>
      <c r="C28" s="618"/>
      <c r="D28" s="573"/>
      <c r="E28" s="575">
        <f t="shared" si="0"/>
        <v>0</v>
      </c>
      <c r="F28" s="573"/>
      <c r="G28" s="573"/>
      <c r="H28" s="581">
        <f t="shared" si="1"/>
        <v>0</v>
      </c>
    </row>
    <row r="29" spans="1:8">
      <c r="A29" s="579">
        <v>10.199999999999999</v>
      </c>
      <c r="B29" s="601" t="s">
        <v>577</v>
      </c>
      <c r="C29" s="618">
        <v>177648.31928219183</v>
      </c>
      <c r="D29" s="573"/>
      <c r="E29" s="575">
        <f t="shared" si="0"/>
        <v>177648.31928219183</v>
      </c>
      <c r="F29" s="573"/>
      <c r="G29" s="573"/>
      <c r="H29" s="581">
        <f t="shared" si="1"/>
        <v>0</v>
      </c>
    </row>
    <row r="30" spans="1:8">
      <c r="A30" s="579">
        <v>11</v>
      </c>
      <c r="B30" s="599" t="s">
        <v>578</v>
      </c>
      <c r="C30" s="619">
        <f>SUM(C31:C32)</f>
        <v>4126977.25</v>
      </c>
      <c r="D30" s="576">
        <f>SUM(D31:D32)</f>
        <v>0</v>
      </c>
      <c r="E30" s="575">
        <f t="shared" si="0"/>
        <v>4126977.25</v>
      </c>
      <c r="F30" s="573">
        <f>SUM(F31:F32)</f>
        <v>0</v>
      </c>
      <c r="G30" s="573">
        <f>SUM(G31:G32)</f>
        <v>0</v>
      </c>
      <c r="H30" s="581">
        <f t="shared" si="1"/>
        <v>0</v>
      </c>
    </row>
    <row r="31" spans="1:8">
      <c r="A31" s="579">
        <v>11.1</v>
      </c>
      <c r="B31" s="601" t="s">
        <v>579</v>
      </c>
      <c r="C31" s="618">
        <v>4126977.25</v>
      </c>
      <c r="D31" s="573"/>
      <c r="E31" s="575">
        <f t="shared" si="0"/>
        <v>4126977.25</v>
      </c>
      <c r="F31" s="573"/>
      <c r="G31" s="573"/>
      <c r="H31" s="581">
        <f t="shared" si="1"/>
        <v>0</v>
      </c>
    </row>
    <row r="32" spans="1:8">
      <c r="A32" s="579">
        <v>11.2</v>
      </c>
      <c r="B32" s="601" t="s">
        <v>580</v>
      </c>
      <c r="C32" s="618"/>
      <c r="D32" s="573"/>
      <c r="E32" s="575">
        <f t="shared" si="0"/>
        <v>0</v>
      </c>
      <c r="F32" s="573"/>
      <c r="G32" s="573"/>
      <c r="H32" s="581">
        <f t="shared" si="1"/>
        <v>0</v>
      </c>
    </row>
    <row r="33" spans="1:8">
      <c r="A33" s="579">
        <v>13</v>
      </c>
      <c r="B33" s="599" t="s">
        <v>581</v>
      </c>
      <c r="C33" s="619">
        <v>3487593.6708287075</v>
      </c>
      <c r="D33" s="576">
        <v>186585.195595</v>
      </c>
      <c r="E33" s="575">
        <f t="shared" si="0"/>
        <v>3674178.8664237075</v>
      </c>
      <c r="F33" s="573"/>
      <c r="G33" s="573"/>
      <c r="H33" s="581">
        <f t="shared" si="1"/>
        <v>0</v>
      </c>
    </row>
    <row r="34" spans="1:8">
      <c r="A34" s="579">
        <v>13.1</v>
      </c>
      <c r="B34" s="604" t="s">
        <v>582</v>
      </c>
      <c r="C34" s="618">
        <v>1349093.18</v>
      </c>
      <c r="D34" s="573"/>
      <c r="E34" s="575">
        <f t="shared" si="0"/>
        <v>1349093.18</v>
      </c>
      <c r="F34" s="573"/>
      <c r="G34" s="573"/>
      <c r="H34" s="581">
        <f t="shared" si="1"/>
        <v>0</v>
      </c>
    </row>
    <row r="35" spans="1:8">
      <c r="A35" s="579">
        <v>13.2</v>
      </c>
      <c r="B35" s="604" t="s">
        <v>583</v>
      </c>
      <c r="C35" s="618"/>
      <c r="D35" s="573"/>
      <c r="E35" s="575">
        <f t="shared" si="0"/>
        <v>0</v>
      </c>
      <c r="F35" s="573"/>
      <c r="G35" s="573"/>
      <c r="H35" s="581">
        <f t="shared" si="1"/>
        <v>0</v>
      </c>
    </row>
    <row r="36" spans="1:8">
      <c r="A36" s="579">
        <v>14</v>
      </c>
      <c r="B36" s="605" t="s">
        <v>584</v>
      </c>
      <c r="C36" s="619">
        <f>SUM(C7,C11,C13,C14,C15,C19,C22,C23,C24,C27,C30,C33)</f>
        <v>194218661.84113315</v>
      </c>
      <c r="D36" s="576">
        <f>SUM(D7,D11,D13,D14,D15,D19,D22,D23,D24,D27,D30,D33)</f>
        <v>249422757.00137636</v>
      </c>
      <c r="E36" s="575">
        <f t="shared" si="0"/>
        <v>443641418.84250951</v>
      </c>
      <c r="F36" s="573">
        <f>SUM(F7,F11,F13,F14,F15,F19,F22,F23,F24,F27,F30,F33)</f>
        <v>0</v>
      </c>
      <c r="G36" s="573">
        <f>SUM(G7,G11,G13,G14,G15,G19,G22,G23,G24,G27,G30,G33)</f>
        <v>0</v>
      </c>
      <c r="H36" s="581">
        <f t="shared" si="1"/>
        <v>0</v>
      </c>
    </row>
    <row r="37" spans="1:8" ht="22.5" customHeight="1">
      <c r="A37" s="579"/>
      <c r="B37" s="606" t="s">
        <v>585</v>
      </c>
      <c r="C37" s="823"/>
      <c r="D37" s="824"/>
      <c r="E37" s="824"/>
      <c r="F37" s="824"/>
      <c r="G37" s="824"/>
      <c r="H37" s="825"/>
    </row>
    <row r="38" spans="1:8">
      <c r="A38" s="579">
        <v>15</v>
      </c>
      <c r="B38" s="607" t="s">
        <v>586</v>
      </c>
      <c r="C38" s="618"/>
      <c r="D38" s="573"/>
      <c r="E38" s="575">
        <f>C38+D38</f>
        <v>0</v>
      </c>
      <c r="F38" s="573"/>
      <c r="G38" s="573"/>
      <c r="H38" s="581">
        <f>F38+G38</f>
        <v>0</v>
      </c>
    </row>
    <row r="39" spans="1:8">
      <c r="A39" s="579">
        <v>15.1</v>
      </c>
      <c r="B39" s="597" t="s">
        <v>562</v>
      </c>
      <c r="C39" s="618"/>
      <c r="D39" s="573"/>
      <c r="E39" s="575">
        <f t="shared" ref="E39:E53" si="2">C39+D39</f>
        <v>0</v>
      </c>
      <c r="F39" s="573"/>
      <c r="G39" s="573"/>
      <c r="H39" s="581">
        <f t="shared" ref="H39:H53" si="3">F39+G39</f>
        <v>0</v>
      </c>
    </row>
    <row r="40" spans="1:8" ht="24" customHeight="1">
      <c r="A40" s="579">
        <v>16</v>
      </c>
      <c r="B40" s="596" t="s">
        <v>587</v>
      </c>
      <c r="C40" s="618"/>
      <c r="D40" s="573"/>
      <c r="E40" s="575">
        <f t="shared" si="2"/>
        <v>0</v>
      </c>
      <c r="F40" s="573"/>
      <c r="G40" s="573"/>
      <c r="H40" s="581">
        <f t="shared" si="3"/>
        <v>0</v>
      </c>
    </row>
    <row r="41" spans="1:8">
      <c r="A41" s="579">
        <v>17</v>
      </c>
      <c r="B41" s="596" t="s">
        <v>588</v>
      </c>
      <c r="C41" s="619">
        <f>SUM(C42:C45)</f>
        <v>56660780.410000004</v>
      </c>
      <c r="D41" s="576">
        <f>SUM(D42:D45)</f>
        <v>248339594.43109405</v>
      </c>
      <c r="E41" s="575">
        <f t="shared" si="2"/>
        <v>305000374.84109408</v>
      </c>
      <c r="F41" s="573">
        <f>SUM(F42:F45)</f>
        <v>0</v>
      </c>
      <c r="G41" s="573">
        <f>SUM(G42:G45)</f>
        <v>0</v>
      </c>
      <c r="H41" s="581">
        <f t="shared" si="3"/>
        <v>0</v>
      </c>
    </row>
    <row r="42" spans="1:8">
      <c r="A42" s="579">
        <v>17.100000000000001</v>
      </c>
      <c r="B42" s="608" t="s">
        <v>589</v>
      </c>
      <c r="C42" s="618">
        <v>56660780.410000004</v>
      </c>
      <c r="D42" s="573">
        <v>198550780.8145757</v>
      </c>
      <c r="E42" s="575">
        <f t="shared" si="2"/>
        <v>255211561.2245757</v>
      </c>
      <c r="F42" s="573"/>
      <c r="G42" s="573"/>
      <c r="H42" s="581">
        <f t="shared" si="3"/>
        <v>0</v>
      </c>
    </row>
    <row r="43" spans="1:8">
      <c r="A43" s="579">
        <v>17.2</v>
      </c>
      <c r="B43" s="595" t="s">
        <v>590</v>
      </c>
      <c r="C43" s="618">
        <v>0</v>
      </c>
      <c r="D43" s="573">
        <v>44963468.295112357</v>
      </c>
      <c r="E43" s="575">
        <f t="shared" si="2"/>
        <v>44963468.295112357</v>
      </c>
      <c r="F43" s="573"/>
      <c r="G43" s="573"/>
      <c r="H43" s="581">
        <f t="shared" si="3"/>
        <v>0</v>
      </c>
    </row>
    <row r="44" spans="1:8">
      <c r="A44" s="579">
        <v>17.3</v>
      </c>
      <c r="B44" s="608" t="s">
        <v>591</v>
      </c>
      <c r="C44" s="618"/>
      <c r="D44" s="573"/>
      <c r="E44" s="575">
        <f t="shared" si="2"/>
        <v>0</v>
      </c>
      <c r="F44" s="573"/>
      <c r="G44" s="573"/>
      <c r="H44" s="581">
        <f t="shared" si="3"/>
        <v>0</v>
      </c>
    </row>
    <row r="45" spans="1:8">
      <c r="A45" s="579">
        <v>17.399999999999999</v>
      </c>
      <c r="B45" s="608" t="s">
        <v>592</v>
      </c>
      <c r="C45" s="618">
        <v>0</v>
      </c>
      <c r="D45" s="573">
        <v>4825345.3214060003</v>
      </c>
      <c r="E45" s="575">
        <f t="shared" si="2"/>
        <v>4825345.3214060003</v>
      </c>
      <c r="F45" s="573"/>
      <c r="G45" s="573"/>
      <c r="H45" s="581">
        <f t="shared" si="3"/>
        <v>0</v>
      </c>
    </row>
    <row r="46" spans="1:8">
      <c r="A46" s="579">
        <v>18</v>
      </c>
      <c r="B46" s="609" t="s">
        <v>593</v>
      </c>
      <c r="C46" s="619">
        <v>159433.62946566884</v>
      </c>
      <c r="D46" s="576">
        <v>250762.8418285072</v>
      </c>
      <c r="E46" s="575">
        <f t="shared" si="2"/>
        <v>410196.47129417607</v>
      </c>
      <c r="F46" s="573"/>
      <c r="G46" s="573"/>
      <c r="H46" s="581">
        <f t="shared" si="3"/>
        <v>0</v>
      </c>
    </row>
    <row r="47" spans="1:8">
      <c r="A47" s="579">
        <v>19</v>
      </c>
      <c r="B47" s="609" t="s">
        <v>594</v>
      </c>
      <c r="C47" s="619">
        <f>SUM(C48:C49)</f>
        <v>4422961.04</v>
      </c>
      <c r="D47" s="576">
        <f>SUM(D48:D49)</f>
        <v>0</v>
      </c>
      <c r="E47" s="575">
        <f t="shared" si="2"/>
        <v>4422961.04</v>
      </c>
      <c r="F47" s="573">
        <f>SUM(F48:F49)</f>
        <v>0</v>
      </c>
      <c r="G47" s="573">
        <f>SUM(G48:G49)</f>
        <v>0</v>
      </c>
      <c r="H47" s="581">
        <f t="shared" si="3"/>
        <v>0</v>
      </c>
    </row>
    <row r="48" spans="1:8">
      <c r="A48" s="579">
        <v>19.100000000000001</v>
      </c>
      <c r="B48" s="610" t="s">
        <v>595</v>
      </c>
      <c r="C48" s="618">
        <v>4422961.04</v>
      </c>
      <c r="D48" s="573">
        <v>0</v>
      </c>
      <c r="E48" s="575">
        <f t="shared" si="2"/>
        <v>4422961.04</v>
      </c>
      <c r="F48" s="573"/>
      <c r="G48" s="573"/>
      <c r="H48" s="581">
        <f t="shared" si="3"/>
        <v>0</v>
      </c>
    </row>
    <row r="49" spans="1:8">
      <c r="A49" s="579">
        <v>19.2</v>
      </c>
      <c r="B49" s="611" t="s">
        <v>596</v>
      </c>
      <c r="C49" s="618"/>
      <c r="D49" s="573"/>
      <c r="E49" s="575">
        <f t="shared" si="2"/>
        <v>0</v>
      </c>
      <c r="F49" s="573"/>
      <c r="G49" s="573"/>
      <c r="H49" s="581">
        <f t="shared" si="3"/>
        <v>0</v>
      </c>
    </row>
    <row r="50" spans="1:8">
      <c r="A50" s="579">
        <v>20</v>
      </c>
      <c r="B50" s="612" t="s">
        <v>597</v>
      </c>
      <c r="C50" s="618"/>
      <c r="D50" s="573"/>
      <c r="E50" s="575">
        <f t="shared" si="2"/>
        <v>0</v>
      </c>
      <c r="F50" s="573"/>
      <c r="G50" s="573"/>
      <c r="H50" s="581">
        <f t="shared" si="3"/>
        <v>0</v>
      </c>
    </row>
    <row r="51" spans="1:8">
      <c r="A51" s="579">
        <v>21</v>
      </c>
      <c r="B51" s="603" t="s">
        <v>598</v>
      </c>
      <c r="C51" s="619">
        <v>1653968.2749769171</v>
      </c>
      <c r="D51" s="576">
        <v>1187855.2065330001</v>
      </c>
      <c r="E51" s="575">
        <f t="shared" si="2"/>
        <v>2841823.4815099174</v>
      </c>
      <c r="F51" s="573"/>
      <c r="G51" s="573"/>
      <c r="H51" s="581">
        <f t="shared" si="3"/>
        <v>0</v>
      </c>
    </row>
    <row r="52" spans="1:8">
      <c r="A52" s="579">
        <v>21.1</v>
      </c>
      <c r="B52" s="595" t="s">
        <v>599</v>
      </c>
      <c r="C52" s="618"/>
      <c r="D52" s="573"/>
      <c r="E52" s="575">
        <f t="shared" si="2"/>
        <v>0</v>
      </c>
      <c r="F52" s="573"/>
      <c r="G52" s="573"/>
      <c r="H52" s="581">
        <f t="shared" si="3"/>
        <v>0</v>
      </c>
    </row>
    <row r="53" spans="1:8">
      <c r="A53" s="579">
        <v>22</v>
      </c>
      <c r="B53" s="613" t="s">
        <v>600</v>
      </c>
      <c r="C53" s="619">
        <f>SUM(C38,C40,C41,C46,C47,C50,C51)</f>
        <v>62897143.354442589</v>
      </c>
      <c r="D53" s="576">
        <f>SUM(D38,D40,D41,D46,D47,D50,D51)</f>
        <v>249778212.47945556</v>
      </c>
      <c r="E53" s="575">
        <f t="shared" si="2"/>
        <v>312675355.83389813</v>
      </c>
      <c r="F53" s="573">
        <f>SUM(F38,F40,F41,F46,F47,F50,F51)</f>
        <v>0</v>
      </c>
      <c r="G53" s="573">
        <f>SUM(G38,G40,G41,G46,G47,G50,G51)</f>
        <v>0</v>
      </c>
      <c r="H53" s="581">
        <f t="shared" si="3"/>
        <v>0</v>
      </c>
    </row>
    <row r="54" spans="1:8" ht="24" customHeight="1">
      <c r="A54" s="579"/>
      <c r="B54" s="606" t="s">
        <v>601</v>
      </c>
      <c r="C54" s="823"/>
      <c r="D54" s="824"/>
      <c r="E54" s="824"/>
      <c r="F54" s="824"/>
      <c r="G54" s="824"/>
      <c r="H54" s="825"/>
    </row>
    <row r="55" spans="1:8">
      <c r="A55" s="579">
        <v>23</v>
      </c>
      <c r="B55" s="612" t="s">
        <v>602</v>
      </c>
      <c r="C55" s="618">
        <v>69161600</v>
      </c>
      <c r="D55" s="573"/>
      <c r="E55" s="575">
        <f>C55+D55</f>
        <v>69161600</v>
      </c>
      <c r="F55" s="573"/>
      <c r="G55" s="573"/>
      <c r="H55" s="581">
        <f>F55+G55</f>
        <v>0</v>
      </c>
    </row>
    <row r="56" spans="1:8">
      <c r="A56" s="579">
        <v>24</v>
      </c>
      <c r="B56" s="612" t="s">
        <v>603</v>
      </c>
      <c r="C56" s="618"/>
      <c r="D56" s="573"/>
      <c r="E56" s="575">
        <f t="shared" ref="E56:E69" si="4">C56+D56</f>
        <v>0</v>
      </c>
      <c r="F56" s="573"/>
      <c r="G56" s="573"/>
      <c r="H56" s="581">
        <f t="shared" ref="H56:H69" si="5">F56+G56</f>
        <v>0</v>
      </c>
    </row>
    <row r="57" spans="1:8">
      <c r="A57" s="579">
        <v>25</v>
      </c>
      <c r="B57" s="609" t="s">
        <v>604</v>
      </c>
      <c r="C57" s="618"/>
      <c r="D57" s="573"/>
      <c r="E57" s="575">
        <f t="shared" si="4"/>
        <v>0</v>
      </c>
      <c r="F57" s="573"/>
      <c r="G57" s="573"/>
      <c r="H57" s="581">
        <f t="shared" si="5"/>
        <v>0</v>
      </c>
    </row>
    <row r="58" spans="1:8">
      <c r="A58" s="579">
        <v>26</v>
      </c>
      <c r="B58" s="609" t="s">
        <v>605</v>
      </c>
      <c r="C58" s="618"/>
      <c r="D58" s="573"/>
      <c r="E58" s="575">
        <f t="shared" si="4"/>
        <v>0</v>
      </c>
      <c r="F58" s="573"/>
      <c r="G58" s="573"/>
      <c r="H58" s="581">
        <f t="shared" si="5"/>
        <v>0</v>
      </c>
    </row>
    <row r="59" spans="1:8">
      <c r="A59" s="579">
        <v>27</v>
      </c>
      <c r="B59" s="609" t="s">
        <v>606</v>
      </c>
      <c r="C59" s="618">
        <f>SUM(C60:C61)</f>
        <v>0</v>
      </c>
      <c r="D59" s="573">
        <f>SUM(D60:D61)</f>
        <v>0</v>
      </c>
      <c r="E59" s="575">
        <f t="shared" si="4"/>
        <v>0</v>
      </c>
      <c r="F59" s="573"/>
      <c r="G59" s="573"/>
      <c r="H59" s="581">
        <f t="shared" si="5"/>
        <v>0</v>
      </c>
    </row>
    <row r="60" spans="1:8">
      <c r="A60" s="579">
        <v>27.1</v>
      </c>
      <c r="B60" s="608" t="s">
        <v>607</v>
      </c>
      <c r="C60" s="618"/>
      <c r="D60" s="573"/>
      <c r="E60" s="575">
        <f t="shared" si="4"/>
        <v>0</v>
      </c>
      <c r="F60" s="573"/>
      <c r="G60" s="573"/>
      <c r="H60" s="581">
        <f t="shared" si="5"/>
        <v>0</v>
      </c>
    </row>
    <row r="61" spans="1:8">
      <c r="A61" s="579">
        <v>27.2</v>
      </c>
      <c r="B61" s="608" t="s">
        <v>608</v>
      </c>
      <c r="C61" s="618"/>
      <c r="D61" s="573"/>
      <c r="E61" s="575">
        <f t="shared" si="4"/>
        <v>0</v>
      </c>
      <c r="F61" s="573"/>
      <c r="G61" s="573"/>
      <c r="H61" s="581">
        <f t="shared" si="5"/>
        <v>0</v>
      </c>
    </row>
    <row r="62" spans="1:8">
      <c r="A62" s="579">
        <v>28</v>
      </c>
      <c r="B62" s="614" t="s">
        <v>609</v>
      </c>
      <c r="C62" s="618"/>
      <c r="D62" s="573"/>
      <c r="E62" s="575">
        <f t="shared" si="4"/>
        <v>0</v>
      </c>
      <c r="F62" s="573"/>
      <c r="G62" s="573"/>
      <c r="H62" s="581">
        <f t="shared" si="5"/>
        <v>0</v>
      </c>
    </row>
    <row r="63" spans="1:8">
      <c r="A63" s="579">
        <v>29</v>
      </c>
      <c r="B63" s="609" t="s">
        <v>610</v>
      </c>
      <c r="C63" s="618">
        <f>SUM(C64:C66)</f>
        <v>0</v>
      </c>
      <c r="D63" s="573">
        <f>SUM(D64:D66)</f>
        <v>0</v>
      </c>
      <c r="E63" s="575">
        <f t="shared" si="4"/>
        <v>0</v>
      </c>
      <c r="F63" s="573"/>
      <c r="G63" s="573"/>
      <c r="H63" s="581">
        <f t="shared" si="5"/>
        <v>0</v>
      </c>
    </row>
    <row r="64" spans="1:8">
      <c r="A64" s="579">
        <v>29.1</v>
      </c>
      <c r="B64" s="602" t="s">
        <v>611</v>
      </c>
      <c r="C64" s="618"/>
      <c r="D64" s="573"/>
      <c r="E64" s="575">
        <f t="shared" si="4"/>
        <v>0</v>
      </c>
      <c r="F64" s="573"/>
      <c r="G64" s="573"/>
      <c r="H64" s="581">
        <f t="shared" si="5"/>
        <v>0</v>
      </c>
    </row>
    <row r="65" spans="1:8" ht="24.9" customHeight="1">
      <c r="A65" s="579">
        <v>29.2</v>
      </c>
      <c r="B65" s="615" t="s">
        <v>612</v>
      </c>
      <c r="C65" s="618"/>
      <c r="D65" s="573"/>
      <c r="E65" s="575">
        <f t="shared" si="4"/>
        <v>0</v>
      </c>
      <c r="F65" s="573"/>
      <c r="G65" s="573"/>
      <c r="H65" s="581">
        <f t="shared" si="5"/>
        <v>0</v>
      </c>
    </row>
    <row r="66" spans="1:8" ht="22.5" customHeight="1">
      <c r="A66" s="579">
        <v>29.3</v>
      </c>
      <c r="B66" s="615" t="s">
        <v>613</v>
      </c>
      <c r="C66" s="618"/>
      <c r="D66" s="573"/>
      <c r="E66" s="575">
        <f t="shared" si="4"/>
        <v>0</v>
      </c>
      <c r="F66" s="573"/>
      <c r="G66" s="573"/>
      <c r="H66" s="581">
        <f t="shared" si="5"/>
        <v>0</v>
      </c>
    </row>
    <row r="67" spans="1:8">
      <c r="A67" s="579">
        <v>30</v>
      </c>
      <c r="B67" s="599" t="s">
        <v>614</v>
      </c>
      <c r="C67" s="618">
        <v>61804463.008611336</v>
      </c>
      <c r="D67" s="573"/>
      <c r="E67" s="575">
        <f t="shared" si="4"/>
        <v>61804463.008611336</v>
      </c>
      <c r="F67" s="573"/>
      <c r="G67" s="573"/>
      <c r="H67" s="581">
        <f t="shared" si="5"/>
        <v>0</v>
      </c>
    </row>
    <row r="68" spans="1:8">
      <c r="A68" s="579">
        <v>31</v>
      </c>
      <c r="B68" s="586" t="s">
        <v>615</v>
      </c>
      <c r="C68" s="619">
        <f>SUM(C55,C56,C57,C58,C59,C62,C63,C67)</f>
        <v>130966063.00861134</v>
      </c>
      <c r="D68" s="576">
        <f>SUM(D55,D56,D57,D58,D59,D62,D63,D67)</f>
        <v>0</v>
      </c>
      <c r="E68" s="575">
        <f t="shared" si="4"/>
        <v>130966063.00861134</v>
      </c>
      <c r="F68" s="573">
        <f>SUM(F55,F56,F57,F58,F59,F62,F63,F67)</f>
        <v>0</v>
      </c>
      <c r="G68" s="573">
        <f>SUM(G55,G56,G57,G58,G59,G62,G63,G67)</f>
        <v>0</v>
      </c>
      <c r="H68" s="581">
        <f t="shared" si="5"/>
        <v>0</v>
      </c>
    </row>
    <row r="69" spans="1:8" ht="15" thickBot="1">
      <c r="A69" s="587">
        <v>32</v>
      </c>
      <c r="B69" s="616" t="s">
        <v>616</v>
      </c>
      <c r="C69" s="620">
        <f>SUM(C53,C68)</f>
        <v>193863206.36305392</v>
      </c>
      <c r="D69" s="589">
        <f>SUM(D53,D68)</f>
        <v>249778212.47945556</v>
      </c>
      <c r="E69" s="590">
        <f t="shared" si="4"/>
        <v>443641418.84250951</v>
      </c>
      <c r="F69" s="591">
        <f>SUM(F68)</f>
        <v>0</v>
      </c>
      <c r="G69" s="591">
        <f>SUM(G68)</f>
        <v>0</v>
      </c>
      <c r="H69" s="592">
        <f t="shared" si="5"/>
        <v>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showGridLines="0" zoomScaleNormal="100" workbookViewId="0">
      <selection activeCell="B4" sqref="B4:B5"/>
    </sheetView>
  </sheetViews>
  <sheetFormatPr defaultRowHeight="14.4"/>
  <cols>
    <col min="2" max="2" width="66.5546875" customWidth="1"/>
    <col min="3" max="8" width="17.88671875" customWidth="1"/>
    <col min="9" max="9" width="10.5546875" bestFit="1" customWidth="1"/>
  </cols>
  <sheetData>
    <row r="1" spans="1:8" s="5" customFormat="1" ht="13.8">
      <c r="A1" s="2" t="s">
        <v>30</v>
      </c>
      <c r="B1" s="546" t="str">
        <f>'1. key ratios '!B1</f>
        <v>JSC Isbank Georgia</v>
      </c>
      <c r="C1" s="3"/>
      <c r="D1" s="4"/>
      <c r="E1" s="4"/>
      <c r="F1" s="4"/>
      <c r="G1" s="4"/>
    </row>
    <row r="2" spans="1:8" s="5" customFormat="1" ht="13.8">
      <c r="A2" s="2" t="s">
        <v>31</v>
      </c>
      <c r="B2" s="547">
        <f>'1. key ratios '!B2</f>
        <v>45199</v>
      </c>
      <c r="C2" s="6"/>
      <c r="D2" s="7"/>
      <c r="E2" s="7"/>
      <c r="F2" s="7"/>
      <c r="G2" s="7"/>
      <c r="H2" s="8"/>
    </row>
    <row r="4" spans="1:8">
      <c r="A4" s="836" t="s">
        <v>6</v>
      </c>
      <c r="B4" s="838" t="s">
        <v>617</v>
      </c>
      <c r="C4" s="831" t="s">
        <v>554</v>
      </c>
      <c r="D4" s="831"/>
      <c r="E4" s="831"/>
      <c r="F4" s="831" t="s">
        <v>555</v>
      </c>
      <c r="G4" s="831"/>
      <c r="H4" s="832"/>
    </row>
    <row r="5" spans="1:8" ht="15.6" customHeight="1">
      <c r="A5" s="837"/>
      <c r="B5" s="839"/>
      <c r="C5" s="391" t="s">
        <v>32</v>
      </c>
      <c r="D5" s="391" t="s">
        <v>33</v>
      </c>
      <c r="E5" s="391" t="s">
        <v>34</v>
      </c>
      <c r="F5" s="391" t="s">
        <v>32</v>
      </c>
      <c r="G5" s="391" t="s">
        <v>33</v>
      </c>
      <c r="H5" s="391" t="s">
        <v>34</v>
      </c>
    </row>
    <row r="6" spans="1:8">
      <c r="A6" s="392">
        <v>1</v>
      </c>
      <c r="B6" s="393" t="s">
        <v>618</v>
      </c>
      <c r="C6" s="812">
        <f>SUM(C7:C12)</f>
        <v>16637611.606420513</v>
      </c>
      <c r="D6" s="812">
        <f>SUM(D7:D12)</f>
        <v>10473978.218444061</v>
      </c>
      <c r="E6" s="813">
        <f>C6+D6</f>
        <v>27111589.824864574</v>
      </c>
      <c r="F6" s="573">
        <f>SUM(F7:F12)</f>
        <v>0</v>
      </c>
      <c r="G6" s="573">
        <f>SUM(G7:G12)</f>
        <v>0</v>
      </c>
      <c r="H6" s="574">
        <f>F6+G6</f>
        <v>0</v>
      </c>
    </row>
    <row r="7" spans="1:8">
      <c r="A7" s="392">
        <v>1.1000000000000001</v>
      </c>
      <c r="B7" s="394" t="s">
        <v>561</v>
      </c>
      <c r="C7" s="814"/>
      <c r="D7" s="814"/>
      <c r="E7" s="813">
        <f t="shared" ref="E7:E45" si="0">C7+D7</f>
        <v>0</v>
      </c>
      <c r="F7" s="573"/>
      <c r="G7" s="573"/>
      <c r="H7" s="574">
        <f t="shared" ref="H7:H45" si="1">F7+G7</f>
        <v>0</v>
      </c>
    </row>
    <row r="8" spans="1:8">
      <c r="A8" s="392">
        <v>1.2</v>
      </c>
      <c r="B8" s="394" t="s">
        <v>563</v>
      </c>
      <c r="C8" s="814"/>
      <c r="D8" s="814"/>
      <c r="E8" s="813">
        <f t="shared" si="0"/>
        <v>0</v>
      </c>
      <c r="F8" s="573"/>
      <c r="G8" s="573"/>
      <c r="H8" s="574">
        <f t="shared" si="1"/>
        <v>0</v>
      </c>
    </row>
    <row r="9" spans="1:8" ht="21.6" customHeight="1">
      <c r="A9" s="392">
        <v>1.3</v>
      </c>
      <c r="B9" s="394" t="s">
        <v>619</v>
      </c>
      <c r="C9" s="814"/>
      <c r="D9" s="814"/>
      <c r="E9" s="813">
        <f t="shared" si="0"/>
        <v>0</v>
      </c>
      <c r="F9" s="573"/>
      <c r="G9" s="573"/>
      <c r="H9" s="574">
        <f t="shared" si="1"/>
        <v>0</v>
      </c>
    </row>
    <row r="10" spans="1:8">
      <c r="A10" s="392">
        <v>1.4</v>
      </c>
      <c r="B10" s="394" t="s">
        <v>565</v>
      </c>
      <c r="C10" s="814">
        <v>2762.8174175824179</v>
      </c>
      <c r="D10" s="814">
        <v>17594.988194444446</v>
      </c>
      <c r="E10" s="813">
        <f t="shared" si="0"/>
        <v>20357.805612026863</v>
      </c>
      <c r="F10" s="573"/>
      <c r="G10" s="573"/>
      <c r="H10" s="574">
        <f t="shared" si="1"/>
        <v>0</v>
      </c>
    </row>
    <row r="11" spans="1:8">
      <c r="A11" s="392">
        <v>1.5</v>
      </c>
      <c r="B11" s="394" t="s">
        <v>569</v>
      </c>
      <c r="C11" s="814">
        <v>16634848.789002931</v>
      </c>
      <c r="D11" s="814">
        <v>10456383.230249615</v>
      </c>
      <c r="E11" s="813">
        <f t="shared" si="0"/>
        <v>27091232.019252546</v>
      </c>
      <c r="F11" s="573"/>
      <c r="G11" s="573"/>
      <c r="H11" s="574">
        <f t="shared" si="1"/>
        <v>0</v>
      </c>
    </row>
    <row r="12" spans="1:8">
      <c r="A12" s="392">
        <v>1.6</v>
      </c>
      <c r="B12" s="395" t="s">
        <v>451</v>
      </c>
      <c r="C12" s="814"/>
      <c r="D12" s="814"/>
      <c r="E12" s="813">
        <f t="shared" si="0"/>
        <v>0</v>
      </c>
      <c r="F12" s="573"/>
      <c r="G12" s="573"/>
      <c r="H12" s="574">
        <f t="shared" si="1"/>
        <v>0</v>
      </c>
    </row>
    <row r="13" spans="1:8">
      <c r="A13" s="392">
        <v>2</v>
      </c>
      <c r="B13" s="396" t="s">
        <v>620</v>
      </c>
      <c r="C13" s="812">
        <f>SUM(C14:C17)</f>
        <v>-2529691.7503712638</v>
      </c>
      <c r="D13" s="812">
        <f>SUM(D14:D17)</f>
        <v>-5470158.0564690037</v>
      </c>
      <c r="E13" s="813">
        <f t="shared" si="0"/>
        <v>-7999849.806840267</v>
      </c>
      <c r="F13" s="573">
        <f>SUM(F14:F17)</f>
        <v>0</v>
      </c>
      <c r="G13" s="573">
        <f>SUM(G14:G17)</f>
        <v>0</v>
      </c>
      <c r="H13" s="574">
        <f t="shared" si="1"/>
        <v>0</v>
      </c>
    </row>
    <row r="14" spans="1:8">
      <c r="A14" s="392">
        <v>2.1</v>
      </c>
      <c r="B14" s="394" t="s">
        <v>621</v>
      </c>
      <c r="C14" s="814"/>
      <c r="D14" s="814"/>
      <c r="E14" s="813">
        <f t="shared" si="0"/>
        <v>0</v>
      </c>
      <c r="F14" s="573"/>
      <c r="G14" s="573"/>
      <c r="H14" s="574">
        <f t="shared" si="1"/>
        <v>0</v>
      </c>
    </row>
    <row r="15" spans="1:8" ht="24.6" customHeight="1">
      <c r="A15" s="392">
        <v>2.2000000000000002</v>
      </c>
      <c r="B15" s="394" t="s">
        <v>622</v>
      </c>
      <c r="C15" s="814"/>
      <c r="D15" s="814"/>
      <c r="E15" s="813">
        <f t="shared" si="0"/>
        <v>0</v>
      </c>
      <c r="F15" s="573"/>
      <c r="G15" s="573"/>
      <c r="H15" s="574">
        <f t="shared" si="1"/>
        <v>0</v>
      </c>
    </row>
    <row r="16" spans="1:8" ht="20.399999999999999" customHeight="1">
      <c r="A16" s="392">
        <v>2.2999999999999998</v>
      </c>
      <c r="B16" s="394" t="s">
        <v>623</v>
      </c>
      <c r="C16" s="814">
        <v>-2529691.7503712638</v>
      </c>
      <c r="D16" s="814">
        <v>-5470158.0564690037</v>
      </c>
      <c r="E16" s="813">
        <f t="shared" si="0"/>
        <v>-7999849.806840267</v>
      </c>
      <c r="F16" s="573"/>
      <c r="G16" s="573"/>
      <c r="H16" s="574">
        <f t="shared" si="1"/>
        <v>0</v>
      </c>
    </row>
    <row r="17" spans="1:9">
      <c r="A17" s="392">
        <v>2.4</v>
      </c>
      <c r="B17" s="394" t="s">
        <v>624</v>
      </c>
      <c r="C17" s="814"/>
      <c r="D17" s="814"/>
      <c r="E17" s="813">
        <f t="shared" si="0"/>
        <v>0</v>
      </c>
      <c r="F17" s="573"/>
      <c r="G17" s="573"/>
      <c r="H17" s="574">
        <f t="shared" si="1"/>
        <v>0</v>
      </c>
    </row>
    <row r="18" spans="1:9">
      <c r="A18" s="392">
        <v>3</v>
      </c>
      <c r="B18" s="396" t="s">
        <v>625</v>
      </c>
      <c r="C18" s="814"/>
      <c r="D18" s="814"/>
      <c r="E18" s="813">
        <f t="shared" si="0"/>
        <v>0</v>
      </c>
      <c r="F18" s="573"/>
      <c r="G18" s="573"/>
      <c r="H18" s="574">
        <f t="shared" si="1"/>
        <v>0</v>
      </c>
    </row>
    <row r="19" spans="1:9">
      <c r="A19" s="392">
        <v>4</v>
      </c>
      <c r="B19" s="396" t="s">
        <v>626</v>
      </c>
      <c r="C19" s="814">
        <v>1482299.8599999994</v>
      </c>
      <c r="D19" s="814">
        <v>1439358.5436179987</v>
      </c>
      <c r="E19" s="813">
        <f t="shared" si="0"/>
        <v>2921658.4036179981</v>
      </c>
      <c r="F19" s="573"/>
      <c r="G19" s="573"/>
      <c r="H19" s="574">
        <f t="shared" si="1"/>
        <v>0</v>
      </c>
    </row>
    <row r="20" spans="1:9">
      <c r="A20" s="392">
        <v>5</v>
      </c>
      <c r="B20" s="396" t="s">
        <v>627</v>
      </c>
      <c r="C20" s="814">
        <v>-153080.78999999998</v>
      </c>
      <c r="D20" s="814">
        <v>-549275.78</v>
      </c>
      <c r="E20" s="813">
        <f t="shared" si="0"/>
        <v>-702356.57000000007</v>
      </c>
      <c r="F20" s="573"/>
      <c r="G20" s="573"/>
      <c r="H20" s="574">
        <f t="shared" si="1"/>
        <v>0</v>
      </c>
    </row>
    <row r="21" spans="1:9" ht="24" customHeight="1">
      <c r="A21" s="392">
        <v>6</v>
      </c>
      <c r="B21" s="396" t="s">
        <v>628</v>
      </c>
      <c r="C21" s="814"/>
      <c r="D21" s="814"/>
      <c r="E21" s="813">
        <f t="shared" si="0"/>
        <v>0</v>
      </c>
      <c r="F21" s="573"/>
      <c r="G21" s="573"/>
      <c r="H21" s="574">
        <f t="shared" si="1"/>
        <v>0</v>
      </c>
    </row>
    <row r="22" spans="1:9" ht="18.600000000000001" customHeight="1">
      <c r="A22" s="392">
        <v>7</v>
      </c>
      <c r="B22" s="396" t="s">
        <v>629</v>
      </c>
      <c r="C22" s="814"/>
      <c r="D22" s="814"/>
      <c r="E22" s="813">
        <f t="shared" si="0"/>
        <v>0</v>
      </c>
      <c r="F22" s="573"/>
      <c r="G22" s="573"/>
      <c r="H22" s="574">
        <f t="shared" si="1"/>
        <v>0</v>
      </c>
    </row>
    <row r="23" spans="1:9" ht="25.5" customHeight="1">
      <c r="A23" s="392">
        <v>8</v>
      </c>
      <c r="B23" s="397" t="s">
        <v>630</v>
      </c>
      <c r="C23" s="814"/>
      <c r="D23" s="814"/>
      <c r="E23" s="813">
        <f t="shared" si="0"/>
        <v>0</v>
      </c>
      <c r="F23" s="573"/>
      <c r="G23" s="573"/>
      <c r="H23" s="574">
        <f t="shared" si="1"/>
        <v>0</v>
      </c>
    </row>
    <row r="24" spans="1:9" ht="34.5" customHeight="1">
      <c r="A24" s="392">
        <v>9</v>
      </c>
      <c r="B24" s="397" t="s">
        <v>631</v>
      </c>
      <c r="C24" s="814"/>
      <c r="D24" s="814"/>
      <c r="E24" s="813">
        <f t="shared" si="0"/>
        <v>0</v>
      </c>
      <c r="F24" s="573"/>
      <c r="G24" s="573"/>
      <c r="H24" s="574">
        <f t="shared" si="1"/>
        <v>0</v>
      </c>
    </row>
    <row r="25" spans="1:9">
      <c r="A25" s="392">
        <v>10</v>
      </c>
      <c r="B25" s="396" t="s">
        <v>632</v>
      </c>
      <c r="C25" s="814">
        <v>2768429.9300000006</v>
      </c>
      <c r="D25" s="814">
        <v>0</v>
      </c>
      <c r="E25" s="813">
        <f t="shared" si="0"/>
        <v>2768429.9300000006</v>
      </c>
      <c r="F25" s="573"/>
      <c r="G25" s="573"/>
      <c r="H25" s="574">
        <f t="shared" si="1"/>
        <v>0</v>
      </c>
    </row>
    <row r="26" spans="1:9">
      <c r="A26" s="392">
        <v>11</v>
      </c>
      <c r="B26" s="398" t="s">
        <v>633</v>
      </c>
      <c r="C26" s="814"/>
      <c r="D26" s="814">
        <v>-69282.481836494102</v>
      </c>
      <c r="E26" s="813">
        <f t="shared" si="0"/>
        <v>-69282.481836494102</v>
      </c>
      <c r="F26" s="573"/>
      <c r="G26" s="573"/>
      <c r="H26" s="574">
        <f t="shared" si="1"/>
        <v>0</v>
      </c>
    </row>
    <row r="27" spans="1:9">
      <c r="A27" s="392">
        <v>12</v>
      </c>
      <c r="B27" s="396" t="s">
        <v>634</v>
      </c>
      <c r="C27" s="814"/>
      <c r="D27" s="814"/>
      <c r="E27" s="813">
        <f t="shared" si="0"/>
        <v>0</v>
      </c>
      <c r="F27" s="573"/>
      <c r="G27" s="573"/>
      <c r="H27" s="574">
        <f t="shared" si="1"/>
        <v>0</v>
      </c>
    </row>
    <row r="28" spans="1:9">
      <c r="A28" s="392">
        <v>13</v>
      </c>
      <c r="B28" s="399" t="s">
        <v>635</v>
      </c>
      <c r="C28" s="814"/>
      <c r="D28" s="814"/>
      <c r="E28" s="813">
        <f t="shared" si="0"/>
        <v>0</v>
      </c>
      <c r="F28" s="573"/>
      <c r="G28" s="573"/>
      <c r="H28" s="574">
        <f t="shared" si="1"/>
        <v>0</v>
      </c>
    </row>
    <row r="29" spans="1:9">
      <c r="A29" s="392">
        <v>14</v>
      </c>
      <c r="B29" s="400" t="s">
        <v>636</v>
      </c>
      <c r="C29" s="812">
        <f>SUM(C30:C31)</f>
        <v>-3908316.0105346264</v>
      </c>
      <c r="D29" s="812">
        <f>SUM(D30:D31)</f>
        <v>-1219093.7499609692</v>
      </c>
      <c r="E29" s="813">
        <f t="shared" si="0"/>
        <v>-5127409.7604955956</v>
      </c>
      <c r="F29" s="573">
        <f>SUM(F30:F31)</f>
        <v>0</v>
      </c>
      <c r="G29" s="573">
        <f>SUM(G30:G31)</f>
        <v>0</v>
      </c>
      <c r="H29" s="574">
        <f t="shared" si="1"/>
        <v>0</v>
      </c>
    </row>
    <row r="30" spans="1:9">
      <c r="A30" s="392">
        <v>14.1</v>
      </c>
      <c r="B30" s="376" t="s">
        <v>637</v>
      </c>
      <c r="C30" s="814">
        <v>-2550076.3705346263</v>
      </c>
      <c r="D30" s="814">
        <v>-1080388.2899609692</v>
      </c>
      <c r="E30" s="813">
        <f t="shared" si="0"/>
        <v>-3630464.6604955955</v>
      </c>
      <c r="F30" s="573"/>
      <c r="G30" s="573"/>
      <c r="H30" s="574">
        <f t="shared" si="1"/>
        <v>0</v>
      </c>
    </row>
    <row r="31" spans="1:9">
      <c r="A31" s="392">
        <v>14.2</v>
      </c>
      <c r="B31" s="376" t="s">
        <v>638</v>
      </c>
      <c r="C31" s="814">
        <v>-1358239.64</v>
      </c>
      <c r="D31" s="814">
        <v>-138705.46</v>
      </c>
      <c r="E31" s="813">
        <f t="shared" si="0"/>
        <v>-1496945.0999999999</v>
      </c>
      <c r="F31" s="573"/>
      <c r="G31" s="573"/>
      <c r="H31" s="574">
        <f t="shared" si="1"/>
        <v>0</v>
      </c>
      <c r="I31" s="794"/>
    </row>
    <row r="32" spans="1:9">
      <c r="A32" s="392">
        <v>15</v>
      </c>
      <c r="B32" s="396" t="s">
        <v>639</v>
      </c>
      <c r="C32" s="814">
        <v>-846615.27868630132</v>
      </c>
      <c r="D32" s="814">
        <v>0</v>
      </c>
      <c r="E32" s="813">
        <f t="shared" si="0"/>
        <v>-846615.27868630132</v>
      </c>
      <c r="F32" s="573"/>
      <c r="G32" s="573"/>
      <c r="H32" s="574">
        <f t="shared" si="1"/>
        <v>0</v>
      </c>
      <c r="I32" s="794"/>
    </row>
    <row r="33" spans="1:8" ht="22.5" customHeight="1">
      <c r="A33" s="392">
        <v>16</v>
      </c>
      <c r="B33" s="374" t="s">
        <v>640</v>
      </c>
      <c r="C33" s="814"/>
      <c r="D33" s="814"/>
      <c r="E33" s="813">
        <f t="shared" si="0"/>
        <v>0</v>
      </c>
      <c r="F33" s="573"/>
      <c r="G33" s="573"/>
      <c r="H33" s="574">
        <f t="shared" si="1"/>
        <v>0</v>
      </c>
    </row>
    <row r="34" spans="1:8">
      <c r="A34" s="392">
        <v>17</v>
      </c>
      <c r="B34" s="396" t="s">
        <v>641</v>
      </c>
      <c r="C34" s="812">
        <f>SUM(C35:C36)</f>
        <v>-102154.81885951231</v>
      </c>
      <c r="D34" s="812">
        <f>SUM(D35:D36)</f>
        <v>-236589.72212051135</v>
      </c>
      <c r="E34" s="813">
        <f t="shared" si="0"/>
        <v>-338744.54098002368</v>
      </c>
      <c r="F34" s="573">
        <f>SUM(F35:F36)</f>
        <v>0</v>
      </c>
      <c r="G34" s="573">
        <f>SUM(G35:G36)</f>
        <v>0</v>
      </c>
      <c r="H34" s="574">
        <f t="shared" si="1"/>
        <v>0</v>
      </c>
    </row>
    <row r="35" spans="1:8">
      <c r="A35" s="392">
        <v>17.100000000000001</v>
      </c>
      <c r="B35" s="376" t="s">
        <v>642</v>
      </c>
      <c r="C35" s="814">
        <v>-18640.361157012958</v>
      </c>
      <c r="D35" s="814">
        <v>-8690.0243598098677</v>
      </c>
      <c r="E35" s="813">
        <f t="shared" si="0"/>
        <v>-27330.385516822826</v>
      </c>
      <c r="F35" s="573"/>
      <c r="G35" s="573"/>
      <c r="H35" s="574">
        <f t="shared" si="1"/>
        <v>0</v>
      </c>
    </row>
    <row r="36" spans="1:8">
      <c r="A36" s="392">
        <v>17.2</v>
      </c>
      <c r="B36" s="376" t="s">
        <v>643</v>
      </c>
      <c r="C36" s="814">
        <v>-83514.457702499349</v>
      </c>
      <c r="D36" s="814">
        <v>-227899.69776070147</v>
      </c>
      <c r="E36" s="813">
        <f t="shared" si="0"/>
        <v>-311414.15546320082</v>
      </c>
      <c r="F36" s="573"/>
      <c r="G36" s="573"/>
      <c r="H36" s="574">
        <f t="shared" si="1"/>
        <v>0</v>
      </c>
    </row>
    <row r="37" spans="1:8" ht="41.4" customHeight="1">
      <c r="A37" s="392">
        <v>18</v>
      </c>
      <c r="B37" s="401" t="s">
        <v>644</v>
      </c>
      <c r="C37" s="812">
        <f>SUM(C38:C39)</f>
        <v>224623.72945034283</v>
      </c>
      <c r="D37" s="812">
        <f>SUM(D38:D39)</f>
        <v>-455406.79048290185</v>
      </c>
      <c r="E37" s="813">
        <f t="shared" si="0"/>
        <v>-230783.06103255902</v>
      </c>
      <c r="F37" s="573">
        <f>SUM(F38:F39)</f>
        <v>0</v>
      </c>
      <c r="G37" s="621">
        <f>SUM(G38:G39)</f>
        <v>0</v>
      </c>
      <c r="H37" s="574">
        <f t="shared" si="1"/>
        <v>0</v>
      </c>
    </row>
    <row r="38" spans="1:8">
      <c r="A38" s="392">
        <v>18.100000000000001</v>
      </c>
      <c r="B38" s="402" t="s">
        <v>645</v>
      </c>
      <c r="C38" s="814">
        <v>128.018881890183</v>
      </c>
      <c r="D38" s="814">
        <v>6146.4243442921097</v>
      </c>
      <c r="E38" s="813">
        <f t="shared" si="0"/>
        <v>6274.4432261822931</v>
      </c>
      <c r="F38" s="573"/>
      <c r="G38" s="573"/>
      <c r="H38" s="574">
        <f t="shared" si="1"/>
        <v>0</v>
      </c>
    </row>
    <row r="39" spans="1:8">
      <c r="A39" s="392">
        <v>18.2</v>
      </c>
      <c r="B39" s="402" t="s">
        <v>646</v>
      </c>
      <c r="C39" s="814">
        <v>224495.71056845263</v>
      </c>
      <c r="D39" s="814">
        <v>-461553.21482719394</v>
      </c>
      <c r="E39" s="813">
        <f t="shared" si="0"/>
        <v>-237057.5042587413</v>
      </c>
      <c r="F39" s="573"/>
      <c r="G39" s="573"/>
      <c r="H39" s="574">
        <f t="shared" si="1"/>
        <v>0</v>
      </c>
    </row>
    <row r="40" spans="1:8" ht="24.6" customHeight="1">
      <c r="A40" s="392">
        <v>19</v>
      </c>
      <c r="B40" s="401" t="s">
        <v>647</v>
      </c>
      <c r="C40" s="814"/>
      <c r="D40" s="814"/>
      <c r="E40" s="813">
        <f t="shared" si="0"/>
        <v>0</v>
      </c>
      <c r="F40" s="573"/>
      <c r="G40" s="573"/>
      <c r="H40" s="574">
        <f t="shared" si="1"/>
        <v>0</v>
      </c>
    </row>
    <row r="41" spans="1:8" ht="17.399999999999999" customHeight="1">
      <c r="A41" s="392">
        <v>20</v>
      </c>
      <c r="B41" s="401" t="s">
        <v>648</v>
      </c>
      <c r="C41" s="814"/>
      <c r="D41" s="814"/>
      <c r="E41" s="813">
        <f t="shared" si="0"/>
        <v>0</v>
      </c>
      <c r="F41" s="573"/>
      <c r="G41" s="573"/>
      <c r="H41" s="574">
        <f t="shared" si="1"/>
        <v>0</v>
      </c>
    </row>
    <row r="42" spans="1:8" ht="26.4" customHeight="1">
      <c r="A42" s="392">
        <v>21</v>
      </c>
      <c r="B42" s="401" t="s">
        <v>649</v>
      </c>
      <c r="C42" s="814"/>
      <c r="D42" s="814"/>
      <c r="E42" s="813">
        <f t="shared" si="0"/>
        <v>0</v>
      </c>
      <c r="F42" s="573"/>
      <c r="G42" s="573"/>
      <c r="H42" s="574">
        <f t="shared" si="1"/>
        <v>0</v>
      </c>
    </row>
    <row r="43" spans="1:8">
      <c r="A43" s="392">
        <v>22</v>
      </c>
      <c r="B43" s="403" t="s">
        <v>650</v>
      </c>
      <c r="C43" s="812">
        <f>SUM(C6,C13,C18,C19,C20,C21,C22,C23,C24,C25,C26,C27,C28,C29,C32,C33,C34,C37,C40,C41,C42)</f>
        <v>13573106.477419155</v>
      </c>
      <c r="D43" s="812">
        <f>SUM(D6,D13,D18,D19,D20,D21,D22,D23,D24,D25,D26,D27,D28,D29,D32,D33,D34,D37,D40,D41,D42)</f>
        <v>3913530.1811921783</v>
      </c>
      <c r="E43" s="813">
        <f t="shared" si="0"/>
        <v>17486636.658611335</v>
      </c>
      <c r="F43" s="573">
        <f>SUM(F6,F13,F18,F19,F20,F21,F22,F23,F24,F25,F26,F27,F28,F29,F32,F33,F34,F37,F40,F41,F42)</f>
        <v>0</v>
      </c>
      <c r="G43" s="573">
        <f>SUM(G6,G13,G18,G19,G20,G21,G22,G23,G24,G25,G26,G27,G28,G29,G32,G33,G34,G37,G40,G41,G42)</f>
        <v>0</v>
      </c>
      <c r="H43" s="574">
        <f t="shared" si="1"/>
        <v>0</v>
      </c>
    </row>
    <row r="44" spans="1:8">
      <c r="A44" s="392">
        <v>23</v>
      </c>
      <c r="B44" s="403" t="s">
        <v>651</v>
      </c>
      <c r="C44" s="814">
        <v>3867173.65</v>
      </c>
      <c r="D44" s="814"/>
      <c r="E44" s="813">
        <f t="shared" si="0"/>
        <v>3867173.65</v>
      </c>
      <c r="F44" s="573"/>
      <c r="G44" s="573"/>
      <c r="H44" s="574">
        <f t="shared" si="1"/>
        <v>0</v>
      </c>
    </row>
    <row r="45" spans="1:8">
      <c r="A45" s="392">
        <v>24</v>
      </c>
      <c r="B45" s="404" t="s">
        <v>652</v>
      </c>
      <c r="C45" s="812">
        <f>C43-C44</f>
        <v>9705932.8274191543</v>
      </c>
      <c r="D45" s="812">
        <f>D43-D44</f>
        <v>3913530.1811921783</v>
      </c>
      <c r="E45" s="813">
        <f t="shared" si="0"/>
        <v>13619463.008611333</v>
      </c>
      <c r="F45" s="573">
        <f>F43-F44</f>
        <v>0</v>
      </c>
      <c r="G45" s="573">
        <f>G43-G44</f>
        <v>0</v>
      </c>
      <c r="H45" s="574">
        <f t="shared" si="1"/>
        <v>0</v>
      </c>
    </row>
    <row r="48" spans="1:8">
      <c r="E48" s="794"/>
    </row>
    <row r="49" spans="5:5">
      <c r="E49" s="795"/>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Normal="100" workbookViewId="0">
      <selection activeCell="B4" sqref="B4:B5"/>
    </sheetView>
  </sheetViews>
  <sheetFormatPr defaultRowHeight="14.4"/>
  <cols>
    <col min="1" max="1" width="8.6640625" style="389"/>
    <col min="2" max="2" width="83.88671875" bestFit="1" customWidth="1"/>
    <col min="3" max="8" width="15.44140625" customWidth="1"/>
  </cols>
  <sheetData>
    <row r="1" spans="1:8" s="5" customFormat="1" ht="13.8">
      <c r="A1" s="2" t="s">
        <v>30</v>
      </c>
      <c r="B1" s="546" t="str">
        <f>'1. key ratios '!B1</f>
        <v>JSC Isbank Georgia</v>
      </c>
      <c r="C1" s="3"/>
      <c r="D1" s="4"/>
      <c r="E1" s="4"/>
      <c r="F1" s="4"/>
      <c r="G1" s="4"/>
    </row>
    <row r="2" spans="1:8" s="5" customFormat="1" ht="13.8">
      <c r="A2" s="2" t="s">
        <v>31</v>
      </c>
      <c r="B2" s="547">
        <f>'1. key ratios '!B2</f>
        <v>45199</v>
      </c>
      <c r="C2" s="6"/>
      <c r="D2" s="7"/>
      <c r="E2" s="7"/>
      <c r="F2" s="7"/>
      <c r="G2" s="7"/>
      <c r="H2" s="8"/>
    </row>
    <row r="3" spans="1:8" ht="15" thickBot="1">
      <c r="A3"/>
    </row>
    <row r="4" spans="1:8">
      <c r="A4" s="840" t="s">
        <v>6</v>
      </c>
      <c r="B4" s="842" t="s">
        <v>94</v>
      </c>
      <c r="C4" s="830" t="s">
        <v>554</v>
      </c>
      <c r="D4" s="831"/>
      <c r="E4" s="831"/>
      <c r="F4" s="831" t="s">
        <v>555</v>
      </c>
      <c r="G4" s="831"/>
      <c r="H4" s="832"/>
    </row>
    <row r="5" spans="1:8">
      <c r="A5" s="841"/>
      <c r="B5" s="843"/>
      <c r="C5" s="632" t="s">
        <v>32</v>
      </c>
      <c r="D5" s="391" t="s">
        <v>33</v>
      </c>
      <c r="E5" s="391" t="s">
        <v>34</v>
      </c>
      <c r="F5" s="391" t="s">
        <v>32</v>
      </c>
      <c r="G5" s="391" t="s">
        <v>33</v>
      </c>
      <c r="H5" s="633" t="s">
        <v>34</v>
      </c>
    </row>
    <row r="6" spans="1:8">
      <c r="A6" s="579">
        <v>1</v>
      </c>
      <c r="B6" s="622" t="s">
        <v>653</v>
      </c>
      <c r="C6" s="634"/>
      <c r="D6" s="635"/>
      <c r="E6" s="640">
        <f t="shared" ref="E6:E43" si="0">C6+D6</f>
        <v>0</v>
      </c>
      <c r="F6" s="635"/>
      <c r="G6" s="635"/>
      <c r="H6" s="636">
        <f t="shared" ref="H6:H43" si="1">F6+G6</f>
        <v>0</v>
      </c>
    </row>
    <row r="7" spans="1:8">
      <c r="A7" s="579">
        <v>2</v>
      </c>
      <c r="B7" s="622" t="s">
        <v>196</v>
      </c>
      <c r="C7" s="634"/>
      <c r="D7" s="635"/>
      <c r="E7" s="640">
        <f t="shared" si="0"/>
        <v>0</v>
      </c>
      <c r="F7" s="635"/>
      <c r="G7" s="635"/>
      <c r="H7" s="636">
        <f t="shared" si="1"/>
        <v>0</v>
      </c>
    </row>
    <row r="8" spans="1:8">
      <c r="A8" s="579">
        <v>3</v>
      </c>
      <c r="B8" s="622" t="s">
        <v>206</v>
      </c>
      <c r="C8" s="796">
        <f>C9+C10</f>
        <v>125302148.58459935</v>
      </c>
      <c r="D8" s="797">
        <f>D9+D10</f>
        <v>122269286.52363104</v>
      </c>
      <c r="E8" s="640">
        <f t="shared" si="0"/>
        <v>247571435.10823038</v>
      </c>
      <c r="F8" s="635">
        <f>F9+F10</f>
        <v>0</v>
      </c>
      <c r="G8" s="635">
        <f>G9+G10</f>
        <v>0</v>
      </c>
      <c r="H8" s="636">
        <f t="shared" si="1"/>
        <v>0</v>
      </c>
    </row>
    <row r="9" spans="1:8">
      <c r="A9" s="579">
        <v>3.1</v>
      </c>
      <c r="B9" s="623" t="s">
        <v>197</v>
      </c>
      <c r="C9" s="634">
        <v>81630449.674599349</v>
      </c>
      <c r="D9" s="635">
        <v>92412183.554387033</v>
      </c>
      <c r="E9" s="640">
        <f t="shared" si="0"/>
        <v>174042633.22898638</v>
      </c>
      <c r="F9" s="635"/>
      <c r="G9" s="635"/>
      <c r="H9" s="636">
        <f t="shared" si="1"/>
        <v>0</v>
      </c>
    </row>
    <row r="10" spans="1:8">
      <c r="A10" s="579">
        <v>3.2</v>
      </c>
      <c r="B10" s="623" t="s">
        <v>193</v>
      </c>
      <c r="C10" s="634">
        <v>43671698.909999996</v>
      </c>
      <c r="D10" s="635">
        <v>29857102.969244003</v>
      </c>
      <c r="E10" s="640">
        <f t="shared" si="0"/>
        <v>73528801.879244</v>
      </c>
      <c r="F10" s="635"/>
      <c r="G10" s="635"/>
      <c r="H10" s="636">
        <f t="shared" si="1"/>
        <v>0</v>
      </c>
    </row>
    <row r="11" spans="1:8">
      <c r="A11" s="579">
        <v>4</v>
      </c>
      <c r="B11" s="624" t="s">
        <v>195</v>
      </c>
      <c r="C11" s="634">
        <f>C12+C13</f>
        <v>0</v>
      </c>
      <c r="D11" s="635">
        <f>D12+D13</f>
        <v>0</v>
      </c>
      <c r="E11" s="640">
        <f t="shared" si="0"/>
        <v>0</v>
      </c>
      <c r="F11" s="635">
        <f>F12+F13</f>
        <v>0</v>
      </c>
      <c r="G11" s="635">
        <f>G12+G13</f>
        <v>0</v>
      </c>
      <c r="H11" s="636">
        <f t="shared" si="1"/>
        <v>0</v>
      </c>
    </row>
    <row r="12" spans="1:8">
      <c r="A12" s="579">
        <v>4.0999999999999996</v>
      </c>
      <c r="B12" s="623" t="s">
        <v>179</v>
      </c>
      <c r="C12" s="634"/>
      <c r="D12" s="635"/>
      <c r="E12" s="640">
        <f t="shared" si="0"/>
        <v>0</v>
      </c>
      <c r="F12" s="635"/>
      <c r="G12" s="635"/>
      <c r="H12" s="636">
        <f t="shared" si="1"/>
        <v>0</v>
      </c>
    </row>
    <row r="13" spans="1:8">
      <c r="A13" s="579">
        <v>4.2</v>
      </c>
      <c r="B13" s="623" t="s">
        <v>180</v>
      </c>
      <c r="C13" s="634"/>
      <c r="D13" s="635"/>
      <c r="E13" s="640">
        <f t="shared" si="0"/>
        <v>0</v>
      </c>
      <c r="F13" s="635"/>
      <c r="G13" s="635"/>
      <c r="H13" s="636">
        <f t="shared" si="1"/>
        <v>0</v>
      </c>
    </row>
    <row r="14" spans="1:8">
      <c r="A14" s="579">
        <v>5</v>
      </c>
      <c r="B14" s="624" t="s">
        <v>205</v>
      </c>
      <c r="C14" s="796">
        <f>C15+C16+C17+C23+C24+C25+C26</f>
        <v>14638306.531500001</v>
      </c>
      <c r="D14" s="797">
        <f>D15+D16+D17+D23+D24+D25+D26</f>
        <v>249390227.0508408</v>
      </c>
      <c r="E14" s="640">
        <f t="shared" si="0"/>
        <v>264028533.58234081</v>
      </c>
      <c r="F14" s="635">
        <f>F15+F16+F17+F23+F24+F25+F26</f>
        <v>0</v>
      </c>
      <c r="G14" s="635">
        <f>G15+G16+G17+G23+G24+G25+G26</f>
        <v>0</v>
      </c>
      <c r="H14" s="636">
        <f t="shared" si="1"/>
        <v>0</v>
      </c>
    </row>
    <row r="15" spans="1:8">
      <c r="A15" s="579">
        <v>5.0999999999999996</v>
      </c>
      <c r="B15" s="625" t="s">
        <v>183</v>
      </c>
      <c r="C15" s="634">
        <v>14638306.531500001</v>
      </c>
      <c r="D15" s="635">
        <v>7211060.7976924144</v>
      </c>
      <c r="E15" s="640">
        <f t="shared" si="0"/>
        <v>21849367.329192415</v>
      </c>
      <c r="F15" s="635"/>
      <c r="G15" s="635"/>
      <c r="H15" s="636">
        <f t="shared" si="1"/>
        <v>0</v>
      </c>
    </row>
    <row r="16" spans="1:8">
      <c r="A16" s="579">
        <v>5.2</v>
      </c>
      <c r="B16" s="625" t="s">
        <v>182</v>
      </c>
      <c r="C16" s="634"/>
      <c r="D16" s="635"/>
      <c r="E16" s="640">
        <f t="shared" si="0"/>
        <v>0</v>
      </c>
      <c r="F16" s="635"/>
      <c r="G16" s="635"/>
      <c r="H16" s="636">
        <f t="shared" si="1"/>
        <v>0</v>
      </c>
    </row>
    <row r="17" spans="1:8">
      <c r="A17" s="579">
        <v>5.3</v>
      </c>
      <c r="B17" s="625" t="s">
        <v>181</v>
      </c>
      <c r="C17" s="796">
        <f>C18+C19+C20+C21+C22</f>
        <v>0</v>
      </c>
      <c r="D17" s="797">
        <f>D18+D19+D20+D21+D22</f>
        <v>226241947.87619218</v>
      </c>
      <c r="E17" s="640">
        <f t="shared" si="0"/>
        <v>226241947.87619218</v>
      </c>
      <c r="F17" s="635"/>
      <c r="G17" s="635"/>
      <c r="H17" s="636">
        <f t="shared" si="1"/>
        <v>0</v>
      </c>
    </row>
    <row r="18" spans="1:8">
      <c r="A18" s="579" t="s">
        <v>15</v>
      </c>
      <c r="B18" s="626" t="s">
        <v>36</v>
      </c>
      <c r="C18" s="634"/>
      <c r="D18" s="635">
        <v>33022168.35527147</v>
      </c>
      <c r="E18" s="640">
        <f t="shared" si="0"/>
        <v>33022168.35527147</v>
      </c>
      <c r="F18" s="635"/>
      <c r="G18" s="635"/>
      <c r="H18" s="636">
        <f t="shared" si="1"/>
        <v>0</v>
      </c>
    </row>
    <row r="19" spans="1:8">
      <c r="A19" s="579" t="s">
        <v>16</v>
      </c>
      <c r="B19" s="626" t="s">
        <v>37</v>
      </c>
      <c r="C19" s="634"/>
      <c r="D19" s="635">
        <v>163275096.73259524</v>
      </c>
      <c r="E19" s="640">
        <f t="shared" si="0"/>
        <v>163275096.73259524</v>
      </c>
      <c r="F19" s="635"/>
      <c r="G19" s="635"/>
      <c r="H19" s="636">
        <f t="shared" si="1"/>
        <v>0</v>
      </c>
    </row>
    <row r="20" spans="1:8">
      <c r="A20" s="579" t="s">
        <v>17</v>
      </c>
      <c r="B20" s="626" t="s">
        <v>38</v>
      </c>
      <c r="C20" s="634"/>
      <c r="D20" s="635">
        <v>162953.9978842095</v>
      </c>
      <c r="E20" s="640">
        <f t="shared" si="0"/>
        <v>162953.9978842095</v>
      </c>
      <c r="F20" s="635"/>
      <c r="G20" s="635"/>
      <c r="H20" s="636">
        <f t="shared" si="1"/>
        <v>0</v>
      </c>
    </row>
    <row r="21" spans="1:8">
      <c r="A21" s="579" t="s">
        <v>18</v>
      </c>
      <c r="B21" s="626" t="s">
        <v>39</v>
      </c>
      <c r="C21" s="634"/>
      <c r="D21" s="635">
        <v>29781728.790441271</v>
      </c>
      <c r="E21" s="640">
        <f t="shared" si="0"/>
        <v>29781728.790441271</v>
      </c>
      <c r="F21" s="635"/>
      <c r="G21" s="635"/>
      <c r="H21" s="636">
        <f t="shared" si="1"/>
        <v>0</v>
      </c>
    </row>
    <row r="22" spans="1:8">
      <c r="A22" s="579" t="s">
        <v>19</v>
      </c>
      <c r="B22" s="626" t="s">
        <v>40</v>
      </c>
      <c r="C22" s="634"/>
      <c r="D22" s="635">
        <v>0</v>
      </c>
      <c r="E22" s="640">
        <f t="shared" si="0"/>
        <v>0</v>
      </c>
      <c r="F22" s="635"/>
      <c r="G22" s="635"/>
      <c r="H22" s="636">
        <f t="shared" si="1"/>
        <v>0</v>
      </c>
    </row>
    <row r="23" spans="1:8">
      <c r="A23" s="579">
        <v>5.4</v>
      </c>
      <c r="B23" s="625" t="s">
        <v>184</v>
      </c>
      <c r="C23" s="634"/>
      <c r="D23" s="635">
        <v>15937218.376956187</v>
      </c>
      <c r="E23" s="640">
        <f t="shared" si="0"/>
        <v>15937218.376956187</v>
      </c>
      <c r="F23" s="635"/>
      <c r="G23" s="635"/>
      <c r="H23" s="636">
        <f t="shared" si="1"/>
        <v>0</v>
      </c>
    </row>
    <row r="24" spans="1:8">
      <c r="A24" s="579">
        <v>5.5</v>
      </c>
      <c r="B24" s="625" t="s">
        <v>185</v>
      </c>
      <c r="C24" s="634"/>
      <c r="D24" s="635">
        <v>0</v>
      </c>
      <c r="E24" s="640">
        <f t="shared" si="0"/>
        <v>0</v>
      </c>
      <c r="F24" s="635"/>
      <c r="G24" s="635"/>
      <c r="H24" s="636">
        <f t="shared" si="1"/>
        <v>0</v>
      </c>
    </row>
    <row r="25" spans="1:8">
      <c r="A25" s="579">
        <v>5.6</v>
      </c>
      <c r="B25" s="625" t="s">
        <v>186</v>
      </c>
      <c r="C25" s="634"/>
      <c r="D25" s="635">
        <v>0</v>
      </c>
      <c r="E25" s="640">
        <f t="shared" si="0"/>
        <v>0</v>
      </c>
      <c r="F25" s="635"/>
      <c r="G25" s="635"/>
      <c r="H25" s="636">
        <f t="shared" si="1"/>
        <v>0</v>
      </c>
    </row>
    <row r="26" spans="1:8">
      <c r="A26" s="579">
        <v>5.7</v>
      </c>
      <c r="B26" s="625" t="s">
        <v>40</v>
      </c>
      <c r="C26" s="634"/>
      <c r="D26" s="635">
        <v>0</v>
      </c>
      <c r="E26" s="640">
        <f t="shared" si="0"/>
        <v>0</v>
      </c>
      <c r="F26" s="635"/>
      <c r="G26" s="635"/>
      <c r="H26" s="636">
        <f t="shared" si="1"/>
        <v>0</v>
      </c>
    </row>
    <row r="27" spans="1:8">
      <c r="A27" s="579">
        <v>6</v>
      </c>
      <c r="B27" s="627" t="s">
        <v>654</v>
      </c>
      <c r="C27" s="634">
        <v>38364</v>
      </c>
      <c r="D27" s="635">
        <v>0</v>
      </c>
      <c r="E27" s="640">
        <f t="shared" si="0"/>
        <v>38364</v>
      </c>
      <c r="F27" s="635"/>
      <c r="G27" s="635"/>
      <c r="H27" s="636">
        <f t="shared" si="1"/>
        <v>0</v>
      </c>
    </row>
    <row r="28" spans="1:8">
      <c r="A28" s="579">
        <v>7</v>
      </c>
      <c r="B28" s="627" t="s">
        <v>655</v>
      </c>
      <c r="C28" s="634">
        <v>46740375.279999994</v>
      </c>
      <c r="D28" s="635">
        <v>52187248.903568</v>
      </c>
      <c r="E28" s="640">
        <f t="shared" si="0"/>
        <v>98927624.183568001</v>
      </c>
      <c r="F28" s="635"/>
      <c r="G28" s="635"/>
      <c r="H28" s="636">
        <f t="shared" si="1"/>
        <v>0</v>
      </c>
    </row>
    <row r="29" spans="1:8">
      <c r="A29" s="579">
        <v>8</v>
      </c>
      <c r="B29" s="627" t="s">
        <v>194</v>
      </c>
      <c r="C29" s="634"/>
      <c r="D29" s="635"/>
      <c r="E29" s="640">
        <f t="shared" si="0"/>
        <v>0</v>
      </c>
      <c r="F29" s="635"/>
      <c r="G29" s="635"/>
      <c r="H29" s="636">
        <f t="shared" si="1"/>
        <v>0</v>
      </c>
    </row>
    <row r="30" spans="1:8">
      <c r="A30" s="579">
        <v>9</v>
      </c>
      <c r="B30" s="628" t="s">
        <v>211</v>
      </c>
      <c r="C30" s="634">
        <f>C31+C32+C33+C34+C35+C36+C37</f>
        <v>0</v>
      </c>
      <c r="D30" s="635">
        <f>D31+D32+D33+D34+D35+D36+D37</f>
        <v>0</v>
      </c>
      <c r="E30" s="640">
        <f t="shared" si="0"/>
        <v>0</v>
      </c>
      <c r="F30" s="635">
        <f>F31+F32+F33+F34+F35+F36+F37</f>
        <v>0</v>
      </c>
      <c r="G30" s="635">
        <f>G31+G32+G33+G34+G35+G36+G37</f>
        <v>0</v>
      </c>
      <c r="H30" s="636">
        <f t="shared" si="1"/>
        <v>0</v>
      </c>
    </row>
    <row r="31" spans="1:8">
      <c r="A31" s="579">
        <v>9.1</v>
      </c>
      <c r="B31" s="629" t="s">
        <v>201</v>
      </c>
      <c r="C31" s="634"/>
      <c r="D31" s="635"/>
      <c r="E31" s="640">
        <f t="shared" si="0"/>
        <v>0</v>
      </c>
      <c r="F31" s="635"/>
      <c r="G31" s="635"/>
      <c r="H31" s="636">
        <f t="shared" si="1"/>
        <v>0</v>
      </c>
    </row>
    <row r="32" spans="1:8">
      <c r="A32" s="579">
        <v>9.1999999999999993</v>
      </c>
      <c r="B32" s="629" t="s">
        <v>202</v>
      </c>
      <c r="C32" s="634"/>
      <c r="D32" s="635"/>
      <c r="E32" s="640">
        <f t="shared" si="0"/>
        <v>0</v>
      </c>
      <c r="F32" s="635"/>
      <c r="G32" s="635"/>
      <c r="H32" s="636">
        <f t="shared" si="1"/>
        <v>0</v>
      </c>
    </row>
    <row r="33" spans="1:8">
      <c r="A33" s="579">
        <v>9.3000000000000007</v>
      </c>
      <c r="B33" s="629" t="s">
        <v>198</v>
      </c>
      <c r="C33" s="634"/>
      <c r="D33" s="635"/>
      <c r="E33" s="640">
        <f t="shared" si="0"/>
        <v>0</v>
      </c>
      <c r="F33" s="635"/>
      <c r="G33" s="635"/>
      <c r="H33" s="636">
        <f t="shared" si="1"/>
        <v>0</v>
      </c>
    </row>
    <row r="34" spans="1:8">
      <c r="A34" s="579">
        <v>9.4</v>
      </c>
      <c r="B34" s="629" t="s">
        <v>199</v>
      </c>
      <c r="C34" s="634"/>
      <c r="D34" s="635"/>
      <c r="E34" s="640">
        <f t="shared" si="0"/>
        <v>0</v>
      </c>
      <c r="F34" s="635"/>
      <c r="G34" s="635"/>
      <c r="H34" s="636">
        <f t="shared" si="1"/>
        <v>0</v>
      </c>
    </row>
    <row r="35" spans="1:8">
      <c r="A35" s="579">
        <v>9.5</v>
      </c>
      <c r="B35" s="629" t="s">
        <v>200</v>
      </c>
      <c r="C35" s="634"/>
      <c r="D35" s="635"/>
      <c r="E35" s="640">
        <f t="shared" si="0"/>
        <v>0</v>
      </c>
      <c r="F35" s="635"/>
      <c r="G35" s="635"/>
      <c r="H35" s="636">
        <f t="shared" si="1"/>
        <v>0</v>
      </c>
    </row>
    <row r="36" spans="1:8">
      <c r="A36" s="579">
        <v>9.6</v>
      </c>
      <c r="B36" s="629" t="s">
        <v>203</v>
      </c>
      <c r="C36" s="634"/>
      <c r="D36" s="635"/>
      <c r="E36" s="640">
        <f t="shared" si="0"/>
        <v>0</v>
      </c>
      <c r="F36" s="635"/>
      <c r="G36" s="635"/>
      <c r="H36" s="636">
        <f t="shared" si="1"/>
        <v>0</v>
      </c>
    </row>
    <row r="37" spans="1:8">
      <c r="A37" s="579">
        <v>9.6999999999999993</v>
      </c>
      <c r="B37" s="629" t="s">
        <v>204</v>
      </c>
      <c r="C37" s="634"/>
      <c r="D37" s="635"/>
      <c r="E37" s="640">
        <f t="shared" si="0"/>
        <v>0</v>
      </c>
      <c r="F37" s="635"/>
      <c r="G37" s="635"/>
      <c r="H37" s="636">
        <f t="shared" si="1"/>
        <v>0</v>
      </c>
    </row>
    <row r="38" spans="1:8">
      <c r="A38" s="579">
        <v>10</v>
      </c>
      <c r="B38" s="624" t="s">
        <v>207</v>
      </c>
      <c r="C38" s="634">
        <f>C39+C40+C41+C42</f>
        <v>0</v>
      </c>
      <c r="D38" s="635">
        <f>D39+D40+D41+D42</f>
        <v>0</v>
      </c>
      <c r="E38" s="640">
        <f t="shared" si="0"/>
        <v>0</v>
      </c>
      <c r="F38" s="635">
        <f>F39+F40+F41+F42</f>
        <v>0</v>
      </c>
      <c r="G38" s="635">
        <f>G39+G40+G41+G42</f>
        <v>0</v>
      </c>
      <c r="H38" s="636">
        <f t="shared" si="1"/>
        <v>0</v>
      </c>
    </row>
    <row r="39" spans="1:8">
      <c r="A39" s="579">
        <v>10.1</v>
      </c>
      <c r="B39" s="630" t="s">
        <v>208</v>
      </c>
      <c r="C39" s="634"/>
      <c r="D39" s="635"/>
      <c r="E39" s="640">
        <f t="shared" si="0"/>
        <v>0</v>
      </c>
      <c r="F39" s="635"/>
      <c r="G39" s="635"/>
      <c r="H39" s="636">
        <f t="shared" si="1"/>
        <v>0</v>
      </c>
    </row>
    <row r="40" spans="1:8" ht="26.4">
      <c r="A40" s="579">
        <v>10.199999999999999</v>
      </c>
      <c r="B40" s="630" t="s">
        <v>209</v>
      </c>
      <c r="C40" s="634"/>
      <c r="D40" s="635"/>
      <c r="E40" s="640">
        <f t="shared" si="0"/>
        <v>0</v>
      </c>
      <c r="F40" s="635"/>
      <c r="G40" s="635"/>
      <c r="H40" s="636">
        <f t="shared" si="1"/>
        <v>0</v>
      </c>
    </row>
    <row r="41" spans="1:8">
      <c r="A41" s="579">
        <v>10.3</v>
      </c>
      <c r="B41" s="630" t="s">
        <v>212</v>
      </c>
      <c r="C41" s="634"/>
      <c r="D41" s="635"/>
      <c r="E41" s="640">
        <f t="shared" si="0"/>
        <v>0</v>
      </c>
      <c r="F41" s="635"/>
      <c r="G41" s="635"/>
      <c r="H41" s="636">
        <f t="shared" si="1"/>
        <v>0</v>
      </c>
    </row>
    <row r="42" spans="1:8" ht="26.4">
      <c r="A42" s="579">
        <v>10.4</v>
      </c>
      <c r="B42" s="630" t="s">
        <v>213</v>
      </c>
      <c r="C42" s="634"/>
      <c r="D42" s="635"/>
      <c r="E42" s="640">
        <f t="shared" si="0"/>
        <v>0</v>
      </c>
      <c r="F42" s="635"/>
      <c r="G42" s="635"/>
      <c r="H42" s="636">
        <f t="shared" si="1"/>
        <v>0</v>
      </c>
    </row>
    <row r="43" spans="1:8" ht="15" thickBot="1">
      <c r="A43" s="587">
        <v>11</v>
      </c>
      <c r="B43" s="631" t="s">
        <v>210</v>
      </c>
      <c r="C43" s="637"/>
      <c r="D43" s="638"/>
      <c r="E43" s="641">
        <f t="shared" si="0"/>
        <v>0</v>
      </c>
      <c r="F43" s="638"/>
      <c r="G43" s="638"/>
      <c r="H43" s="639">
        <f t="shared" si="1"/>
        <v>0</v>
      </c>
    </row>
    <row r="44" spans="1:8">
      <c r="C44" s="405"/>
      <c r="D44" s="405"/>
      <c r="E44" s="405"/>
      <c r="F44" s="405"/>
      <c r="G44" s="405"/>
      <c r="H44" s="405"/>
    </row>
    <row r="45" spans="1:8">
      <c r="C45" s="405"/>
      <c r="D45" s="405"/>
      <c r="E45" s="405"/>
      <c r="F45" s="405"/>
      <c r="G45" s="405"/>
      <c r="H45" s="405"/>
    </row>
    <row r="46" spans="1:8">
      <c r="C46" s="405"/>
      <c r="D46" s="405"/>
      <c r="E46" s="405"/>
      <c r="F46" s="405"/>
      <c r="G46" s="405"/>
      <c r="H46" s="405"/>
    </row>
    <row r="47" spans="1:8">
      <c r="C47" s="405"/>
      <c r="D47" s="405"/>
      <c r="E47" s="405"/>
      <c r="F47" s="405"/>
      <c r="G47" s="405"/>
      <c r="H47" s="40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09375" defaultRowHeight="13.2"/>
  <cols>
    <col min="1" max="1" width="9.5546875" style="4" bestFit="1" customWidth="1"/>
    <col min="2" max="2" width="93.5546875" style="4" customWidth="1"/>
    <col min="3" max="3" width="11.6640625" style="4" bestFit="1" customWidth="1"/>
    <col min="4" max="4" width="11.77734375" style="4" bestFit="1" customWidth="1"/>
    <col min="5" max="5" width="11.77734375" style="17" bestFit="1" customWidth="1"/>
    <col min="6" max="11" width="9.6640625" style="17" customWidth="1"/>
    <col min="12" max="16384" width="9.109375" style="17"/>
  </cols>
  <sheetData>
    <row r="1" spans="1:8">
      <c r="A1" s="2" t="s">
        <v>30</v>
      </c>
      <c r="B1" s="546" t="str">
        <f>'1. key ratios '!B1</f>
        <v>JSC Isbank Georgia</v>
      </c>
      <c r="C1" s="3"/>
    </row>
    <row r="2" spans="1:8">
      <c r="A2" s="2" t="s">
        <v>31</v>
      </c>
      <c r="B2" s="547">
        <f>'1. key ratios '!B2</f>
        <v>45199</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42"/>
      <c r="C5" s="652" t="str">
        <f>INT((MONTH($B$2))/3)&amp;"Q"&amp;"-"&amp;YEAR($B$2)</f>
        <v>3Q-2023</v>
      </c>
      <c r="D5" s="653" t="str">
        <f>IF(INT(MONTH($B$2))=3, "4"&amp;"Q"&amp;"-"&amp;YEAR($B$2)-1, IF(INT(MONTH($B$2))=6, "1"&amp;"Q"&amp;"-"&amp;YEAR($B$2), IF(INT(MONTH($B$2))=9, "2"&amp;"Q"&amp;"-"&amp;YEAR($B$2),IF(INT(MONTH($B$2))=12, "3"&amp;"Q"&amp;"-"&amp;YEAR($B$2), 0))))</f>
        <v>2Q-2023</v>
      </c>
      <c r="E5" s="653" t="str">
        <f>IF(INT(MONTH($B$2))=3, "3"&amp;"Q"&amp;"-"&amp;YEAR($B$2)-1, IF(INT(MONTH($B$2))=6, "4"&amp;"Q"&amp;"-"&amp;YEAR($B$2)-1, IF(INT(MONTH($B$2))=9, "1"&amp;"Q"&amp;"-"&amp;YEAR($B$2),IF(INT(MONTH($B$2))=12, "2"&amp;"Q"&amp;"-"&amp;YEAR($B$2), 0))))</f>
        <v>1Q-2023</v>
      </c>
      <c r="F5" s="653" t="str">
        <f>IF(INT(MONTH($B$2))=3, "2"&amp;"Q"&amp;"-"&amp;YEAR($B$2)-1, IF(INT(MONTH($B$2))=6, "3"&amp;"Q"&amp;"-"&amp;YEAR($B$2)-1, IF(INT(MONTH($B$2))=9, "4"&amp;"Q"&amp;"-"&amp;YEAR($B$2)-1,IF(INT(MONTH($B$2))=12, "1"&amp;"Q"&amp;"-"&amp;YEAR($B$2), 0))))</f>
        <v>4Q-2022</v>
      </c>
      <c r="G5" s="654" t="str">
        <f>IF(INT(MONTH($B$2))=3, "1"&amp;"Q"&amp;"-"&amp;YEAR($B$2)-1, IF(INT(MONTH($B$2))=6, "2"&amp;"Q"&amp;"-"&amp;YEAR($B$2)-1, IF(INT(MONTH($B$2))=9, "3"&amp;"Q"&amp;"-"&amp;YEAR($B$2)-1,IF(INT(MONTH($B$2))=12, "4"&amp;"Q"&amp;"-"&amp;YEAR($B$2)-1, 0))))</f>
        <v>3Q-2022</v>
      </c>
    </row>
    <row r="6" spans="1:8" ht="15" customHeight="1">
      <c r="A6" s="21">
        <v>1</v>
      </c>
      <c r="B6" s="643" t="s">
        <v>191</v>
      </c>
      <c r="C6" s="655">
        <f>C7+C9+C10</f>
        <v>430805894.93980312</v>
      </c>
      <c r="D6" s="656">
        <f>D7+D9+D10</f>
        <v>389461201.18810642</v>
      </c>
      <c r="E6" s="656">
        <f t="shared" ref="E6:G6" si="0">E7+E9+E10</f>
        <v>419845683.75233501</v>
      </c>
      <c r="F6" s="656">
        <f t="shared" si="0"/>
        <v>0</v>
      </c>
      <c r="G6" s="657">
        <f t="shared" si="0"/>
        <v>0</v>
      </c>
    </row>
    <row r="7" spans="1:8" ht="15" customHeight="1">
      <c r="A7" s="21">
        <v>1.1000000000000001</v>
      </c>
      <c r="B7" s="643" t="s">
        <v>355</v>
      </c>
      <c r="C7" s="646">
        <v>378922849.31612635</v>
      </c>
      <c r="D7" s="647">
        <v>340212779.61659187</v>
      </c>
      <c r="E7" s="647">
        <v>368466415.49733502</v>
      </c>
      <c r="F7" s="647"/>
      <c r="G7" s="648"/>
    </row>
    <row r="8" spans="1:8">
      <c r="A8" s="21" t="s">
        <v>14</v>
      </c>
      <c r="B8" s="643" t="s">
        <v>95</v>
      </c>
      <c r="C8" s="646"/>
      <c r="D8" s="647"/>
      <c r="E8" s="647"/>
      <c r="F8" s="647"/>
      <c r="G8" s="648"/>
    </row>
    <row r="9" spans="1:8" ht="15" customHeight="1">
      <c r="A9" s="21">
        <v>1.2</v>
      </c>
      <c r="B9" s="644" t="s">
        <v>94</v>
      </c>
      <c r="C9" s="646">
        <v>51883045.623676777</v>
      </c>
      <c r="D9" s="647">
        <v>49248421.571514562</v>
      </c>
      <c r="E9" s="647">
        <v>51379268.254999988</v>
      </c>
      <c r="F9" s="647"/>
      <c r="G9" s="648"/>
    </row>
    <row r="10" spans="1:8" ht="15" customHeight="1">
      <c r="A10" s="21">
        <v>1.3</v>
      </c>
      <c r="B10" s="643" t="s">
        <v>28</v>
      </c>
      <c r="C10" s="649"/>
      <c r="D10" s="647"/>
      <c r="E10" s="650"/>
      <c r="F10" s="647"/>
      <c r="G10" s="651"/>
    </row>
    <row r="11" spans="1:8" ht="15" customHeight="1">
      <c r="A11" s="21">
        <v>2</v>
      </c>
      <c r="B11" s="643" t="s">
        <v>188</v>
      </c>
      <c r="C11" s="646">
        <v>1428117.273186754</v>
      </c>
      <c r="D11" s="647">
        <v>3081632.0329861687</v>
      </c>
      <c r="E11" s="647">
        <v>2782348.8581453227</v>
      </c>
      <c r="F11" s="647"/>
      <c r="G11" s="648"/>
    </row>
    <row r="12" spans="1:8" ht="15" customHeight="1">
      <c r="A12" s="21">
        <v>3</v>
      </c>
      <c r="B12" s="643" t="s">
        <v>189</v>
      </c>
      <c r="C12" s="649">
        <v>43275000</v>
      </c>
      <c r="D12" s="647">
        <v>43275000</v>
      </c>
      <c r="E12" s="650">
        <v>43275000</v>
      </c>
      <c r="F12" s="647"/>
      <c r="G12" s="651"/>
    </row>
    <row r="13" spans="1:8" ht="15" customHeight="1" thickBot="1">
      <c r="A13" s="23">
        <v>4</v>
      </c>
      <c r="B13" s="645" t="s">
        <v>190</v>
      </c>
      <c r="C13" s="658">
        <f>C6+C11+C12</f>
        <v>475509012.21298987</v>
      </c>
      <c r="D13" s="659">
        <f>D6+D11+D12</f>
        <v>435817833.22109258</v>
      </c>
      <c r="E13" s="659">
        <f t="shared" ref="E13:G13" si="1">E6+E11+E12</f>
        <v>465903032.61048031</v>
      </c>
      <c r="F13" s="659">
        <f t="shared" si="1"/>
        <v>0</v>
      </c>
      <c r="G13" s="660">
        <f t="shared" si="1"/>
        <v>0</v>
      </c>
    </row>
    <row r="14" spans="1:8">
      <c r="B14" s="26"/>
    </row>
    <row r="15" spans="1:8">
      <c r="B15" s="27"/>
    </row>
    <row r="16" spans="1:8">
      <c r="B16" s="27"/>
    </row>
    <row r="17" spans="1:4" ht="10.199999999999999">
      <c r="A17" s="17"/>
      <c r="B17" s="17"/>
      <c r="C17" s="17"/>
      <c r="D17" s="17"/>
    </row>
    <row r="18" spans="1:4" ht="10.199999999999999">
      <c r="A18" s="17"/>
      <c r="B18" s="17"/>
      <c r="C18" s="17"/>
      <c r="D18" s="17"/>
    </row>
    <row r="19" spans="1:4" ht="10.199999999999999">
      <c r="A19" s="17"/>
      <c r="B19" s="17"/>
      <c r="C19" s="17"/>
      <c r="D19" s="17"/>
    </row>
    <row r="20" spans="1:4" ht="10.199999999999999">
      <c r="A20" s="17"/>
      <c r="B20" s="17"/>
      <c r="C20" s="17"/>
      <c r="D20" s="17"/>
    </row>
    <row r="21" spans="1:4" ht="10.199999999999999">
      <c r="A21" s="17"/>
      <c r="B21" s="17"/>
      <c r="C21" s="17"/>
      <c r="D21" s="17"/>
    </row>
    <row r="22" spans="1:4" ht="10.199999999999999">
      <c r="A22" s="17"/>
      <c r="B22" s="17"/>
      <c r="C22" s="17"/>
      <c r="D22" s="17"/>
    </row>
    <row r="23" spans="1:4" ht="10.199999999999999">
      <c r="A23" s="17"/>
      <c r="B23" s="17"/>
      <c r="C23" s="17"/>
      <c r="D23" s="17"/>
    </row>
    <row r="24" spans="1:4" ht="10.199999999999999">
      <c r="A24" s="17"/>
      <c r="B24" s="17"/>
      <c r="C24" s="17"/>
      <c r="D24" s="17"/>
    </row>
    <row r="25" spans="1:4" ht="10.199999999999999">
      <c r="A25" s="17"/>
      <c r="B25" s="17"/>
      <c r="C25" s="17"/>
      <c r="D25" s="17"/>
    </row>
    <row r="26" spans="1:4" ht="10.199999999999999">
      <c r="A26" s="17"/>
      <c r="B26" s="17"/>
      <c r="C26" s="17"/>
      <c r="D26" s="17"/>
    </row>
    <row r="27" spans="1:4" ht="10.199999999999999">
      <c r="A27" s="17"/>
      <c r="B27" s="17"/>
      <c r="C27" s="17"/>
      <c r="D27" s="17"/>
    </row>
    <row r="28" spans="1:4" ht="10.199999999999999">
      <c r="A28" s="17"/>
      <c r="B28" s="17"/>
      <c r="C28" s="17"/>
      <c r="D28" s="17"/>
    </row>
    <row r="29" spans="1:4" ht="10.199999999999999">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09375" defaultRowHeight="13.8"/>
  <cols>
    <col min="1" max="1" width="9.5546875" style="4" bestFit="1" customWidth="1"/>
    <col min="2" max="2" width="65.5546875" style="4" customWidth="1"/>
    <col min="3" max="3" width="27.5546875" style="4" customWidth="1"/>
    <col min="4" max="16384" width="9.109375" style="5"/>
  </cols>
  <sheetData>
    <row r="1" spans="1:8">
      <c r="A1" s="683" t="s">
        <v>30</v>
      </c>
      <c r="B1" s="546" t="str">
        <f>'1. key ratios '!B1</f>
        <v>JSC Isbank Georgia</v>
      </c>
    </row>
    <row r="2" spans="1:8">
      <c r="A2" s="683" t="s">
        <v>31</v>
      </c>
      <c r="B2" s="547">
        <f>'1. key ratios '!B2</f>
        <v>45199</v>
      </c>
    </row>
    <row r="4" spans="1:8" ht="27.9" customHeight="1" thickBot="1">
      <c r="A4" s="28" t="s">
        <v>41</v>
      </c>
      <c r="B4" s="29" t="s">
        <v>163</v>
      </c>
      <c r="C4" s="30"/>
    </row>
    <row r="5" spans="1:8">
      <c r="A5" s="31"/>
      <c r="B5" s="310" t="s">
        <v>42</v>
      </c>
      <c r="C5" s="311" t="s">
        <v>367</v>
      </c>
    </row>
    <row r="6" spans="1:8">
      <c r="A6" s="32">
        <v>1</v>
      </c>
      <c r="B6" s="661" t="s">
        <v>710</v>
      </c>
      <c r="C6" s="662" t="s">
        <v>713</v>
      </c>
    </row>
    <row r="7" spans="1:8">
      <c r="A7" s="32">
        <v>2</v>
      </c>
      <c r="B7" s="661" t="s">
        <v>714</v>
      </c>
      <c r="C7" s="662" t="s">
        <v>715</v>
      </c>
    </row>
    <row r="8" spans="1:8">
      <c r="A8" s="32">
        <v>3</v>
      </c>
      <c r="B8" s="661" t="s">
        <v>716</v>
      </c>
      <c r="C8" s="662" t="s">
        <v>715</v>
      </c>
    </row>
    <row r="9" spans="1:8">
      <c r="A9" s="32">
        <v>4</v>
      </c>
      <c r="B9" s="661" t="s">
        <v>732</v>
      </c>
      <c r="C9" s="662" t="s">
        <v>715</v>
      </c>
    </row>
    <row r="10" spans="1:8">
      <c r="A10" s="32">
        <v>5</v>
      </c>
      <c r="B10" s="661" t="s">
        <v>717</v>
      </c>
      <c r="C10" s="662" t="s">
        <v>718</v>
      </c>
    </row>
    <row r="11" spans="1:8">
      <c r="A11" s="32">
        <v>6</v>
      </c>
      <c r="B11" s="661" t="s">
        <v>719</v>
      </c>
      <c r="C11" s="662" t="s">
        <v>718</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6.4">
      <c r="A17" s="32"/>
      <c r="B17" s="314" t="s">
        <v>43</v>
      </c>
      <c r="C17" s="315" t="s">
        <v>368</v>
      </c>
    </row>
    <row r="18" spans="1:3">
      <c r="A18" s="32">
        <v>1</v>
      </c>
      <c r="B18" s="661" t="s">
        <v>711</v>
      </c>
      <c r="C18" s="663" t="s">
        <v>720</v>
      </c>
    </row>
    <row r="19" spans="1:3">
      <c r="A19" s="32">
        <v>2</v>
      </c>
      <c r="B19" s="661" t="s">
        <v>721</v>
      </c>
      <c r="C19" s="663" t="s">
        <v>722</v>
      </c>
    </row>
    <row r="20" spans="1:3">
      <c r="A20" s="32">
        <v>3</v>
      </c>
      <c r="B20" s="661" t="s">
        <v>733</v>
      </c>
      <c r="C20" s="663" t="s">
        <v>722</v>
      </c>
    </row>
    <row r="21" spans="1:3">
      <c r="A21" s="32">
        <v>4</v>
      </c>
      <c r="B21" s="661" t="s">
        <v>723</v>
      </c>
      <c r="C21" s="663" t="s">
        <v>724</v>
      </c>
    </row>
    <row r="22" spans="1:3">
      <c r="A22" s="32">
        <v>5</v>
      </c>
      <c r="B22" s="661" t="s">
        <v>725</v>
      </c>
      <c r="C22" s="663" t="s">
        <v>726</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44" t="s">
        <v>44</v>
      </c>
      <c r="C29" s="845"/>
    </row>
    <row r="30" spans="1:3">
      <c r="A30" s="32">
        <v>1</v>
      </c>
      <c r="B30" s="661" t="s">
        <v>727</v>
      </c>
      <c r="C30" s="664">
        <v>1</v>
      </c>
    </row>
    <row r="31" spans="1:3" ht="15.75" customHeight="1">
      <c r="A31" s="32"/>
      <c r="B31" s="33"/>
      <c r="C31" s="34"/>
    </row>
    <row r="32" spans="1:3" ht="29.25" customHeight="1">
      <c r="A32" s="32"/>
      <c r="B32" s="844" t="s">
        <v>45</v>
      </c>
      <c r="C32" s="845"/>
    </row>
    <row r="33" spans="1:3">
      <c r="A33" s="32">
        <v>1</v>
      </c>
      <c r="B33" s="661" t="s">
        <v>728</v>
      </c>
      <c r="C33" s="665">
        <v>0.38200000000000001</v>
      </c>
    </row>
    <row r="34" spans="1:3" ht="14.4" thickBot="1">
      <c r="A34" s="38">
        <v>2</v>
      </c>
      <c r="B34" s="39" t="s">
        <v>729</v>
      </c>
      <c r="C34" s="666">
        <v>0.28089999999999998</v>
      </c>
    </row>
  </sheetData>
  <mergeCells count="2">
    <mergeCell ref="B32:C32"/>
    <mergeCell ref="B29:C29"/>
  </mergeCells>
  <dataValidations disablePrompts="1"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4" sqref="B4:E4"/>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7">
      <c r="A1" s="201" t="s">
        <v>30</v>
      </c>
      <c r="B1" s="546" t="str">
        <f>'1. key ratios '!B1</f>
        <v>JSC Isbank Georgia</v>
      </c>
      <c r="C1" s="50"/>
      <c r="D1" s="50"/>
      <c r="E1" s="50"/>
      <c r="F1" s="15"/>
    </row>
    <row r="2" spans="1:7" s="40" customFormat="1" ht="15.75" customHeight="1">
      <c r="A2" s="201" t="s">
        <v>31</v>
      </c>
      <c r="B2" s="547">
        <f>'1. key ratios '!B2</f>
        <v>45199</v>
      </c>
    </row>
    <row r="3" spans="1:7" s="40" customFormat="1" ht="15.75" customHeight="1">
      <c r="A3" s="201"/>
    </row>
    <row r="4" spans="1:7" s="40" customFormat="1" ht="15.75" customHeight="1" thickBot="1">
      <c r="A4" s="202" t="s">
        <v>99</v>
      </c>
      <c r="B4" s="850" t="s">
        <v>225</v>
      </c>
      <c r="C4" s="851"/>
      <c r="D4" s="851"/>
      <c r="E4" s="851"/>
    </row>
    <row r="5" spans="1:7" s="44" customFormat="1" ht="17.399999999999999" customHeight="1">
      <c r="A5" s="151"/>
      <c r="B5" s="152"/>
      <c r="C5" s="42" t="s">
        <v>0</v>
      </c>
      <c r="D5" s="42" t="s">
        <v>1</v>
      </c>
      <c r="E5" s="43" t="s">
        <v>2</v>
      </c>
    </row>
    <row r="6" spans="1:7" s="15" customFormat="1" ht="14.4" customHeight="1">
      <c r="A6" s="203"/>
      <c r="B6" s="846" t="s">
        <v>232</v>
      </c>
      <c r="C6" s="846" t="s">
        <v>656</v>
      </c>
      <c r="D6" s="848" t="s">
        <v>98</v>
      </c>
      <c r="E6" s="849"/>
      <c r="G6" s="5"/>
    </row>
    <row r="7" spans="1:7" s="15" customFormat="1" ht="99.6" customHeight="1">
      <c r="A7" s="203"/>
      <c r="B7" s="847"/>
      <c r="C7" s="846"/>
      <c r="D7" s="667" t="s">
        <v>97</v>
      </c>
      <c r="E7" s="237" t="s">
        <v>233</v>
      </c>
      <c r="G7" s="5"/>
    </row>
    <row r="8" spans="1:7" ht="20.399999999999999">
      <c r="A8" s="380">
        <v>1</v>
      </c>
      <c r="B8" s="580" t="s">
        <v>557</v>
      </c>
      <c r="C8" s="670">
        <f>SUM(C9:C11)</f>
        <v>126375595.30674212</v>
      </c>
      <c r="D8" s="406">
        <f>SUM(D9:D11)</f>
        <v>0</v>
      </c>
      <c r="E8" s="671">
        <f>SUM(E9:E11)</f>
        <v>126375595.30674212</v>
      </c>
      <c r="F8" s="15"/>
    </row>
    <row r="9" spans="1:7" ht="14.4">
      <c r="A9" s="380">
        <v>1.1000000000000001</v>
      </c>
      <c r="B9" s="383" t="s">
        <v>558</v>
      </c>
      <c r="C9" s="406">
        <f>'2. SOFP'!E8</f>
        <v>2270470.7790999999</v>
      </c>
      <c r="D9" s="406"/>
      <c r="E9" s="668">
        <f t="shared" ref="E9:E15" si="0">C9-D9</f>
        <v>2270470.7790999999</v>
      </c>
      <c r="F9" s="15"/>
    </row>
    <row r="10" spans="1:7" ht="14.4">
      <c r="A10" s="380">
        <v>1.2</v>
      </c>
      <c r="B10" s="383" t="s">
        <v>559</v>
      </c>
      <c r="C10" s="406">
        <f>'2. SOFP'!E9</f>
        <v>79401790.668326303</v>
      </c>
      <c r="D10" s="406"/>
      <c r="E10" s="668">
        <f t="shared" si="0"/>
        <v>79401790.668326303</v>
      </c>
      <c r="F10" s="15"/>
    </row>
    <row r="11" spans="1:7" ht="14.4">
      <c r="A11" s="380">
        <v>1.3</v>
      </c>
      <c r="B11" s="383" t="s">
        <v>560</v>
      </c>
      <c r="C11" s="406">
        <f>'2. SOFP'!E10</f>
        <v>44703333.859315813</v>
      </c>
      <c r="D11" s="406"/>
      <c r="E11" s="668">
        <f t="shared" si="0"/>
        <v>44703333.859315813</v>
      </c>
      <c r="F11" s="15"/>
    </row>
    <row r="12" spans="1:7" ht="14.4">
      <c r="A12" s="380">
        <v>2</v>
      </c>
      <c r="B12" s="372" t="s">
        <v>561</v>
      </c>
      <c r="C12" s="670">
        <f>'2. SOFP'!E11</f>
        <v>0</v>
      </c>
      <c r="D12" s="406"/>
      <c r="E12" s="668">
        <f t="shared" si="0"/>
        <v>0</v>
      </c>
      <c r="F12" s="15"/>
    </row>
    <row r="13" spans="1:7" ht="14.4">
      <c r="A13" s="380">
        <v>2.1</v>
      </c>
      <c r="B13" s="381" t="s">
        <v>562</v>
      </c>
      <c r="C13" s="406">
        <f>'2. SOFP'!E12</f>
        <v>0</v>
      </c>
      <c r="D13" s="406"/>
      <c r="E13" s="668">
        <f t="shared" si="0"/>
        <v>0</v>
      </c>
      <c r="F13" s="15"/>
    </row>
    <row r="14" spans="1:7" ht="20.399999999999999">
      <c r="A14" s="380">
        <v>3</v>
      </c>
      <c r="B14" s="373" t="s">
        <v>563</v>
      </c>
      <c r="C14" s="670">
        <f>'2. SOFP'!E13</f>
        <v>0</v>
      </c>
      <c r="D14" s="406"/>
      <c r="E14" s="668">
        <f t="shared" si="0"/>
        <v>0</v>
      </c>
      <c r="F14" s="15"/>
    </row>
    <row r="15" spans="1:7" ht="14.4">
      <c r="A15" s="380">
        <v>4</v>
      </c>
      <c r="B15" s="374" t="s">
        <v>564</v>
      </c>
      <c r="C15" s="670">
        <f>'2. SOFP'!E14</f>
        <v>0</v>
      </c>
      <c r="D15" s="406"/>
      <c r="E15" s="668">
        <f t="shared" si="0"/>
        <v>0</v>
      </c>
      <c r="F15" s="15"/>
    </row>
    <row r="16" spans="1:7" ht="20.399999999999999">
      <c r="A16" s="380">
        <v>5</v>
      </c>
      <c r="B16" s="375" t="s">
        <v>565</v>
      </c>
      <c r="C16" s="670">
        <f>SUM(C17:C19)</f>
        <v>0</v>
      </c>
      <c r="D16" s="406">
        <f>SUM(D17:D19)</f>
        <v>0</v>
      </c>
      <c r="E16" s="671">
        <f>SUM(E17:E19)</f>
        <v>0</v>
      </c>
      <c r="F16" s="15"/>
    </row>
    <row r="17" spans="1:6" ht="14.4">
      <c r="A17" s="380">
        <v>5.0999999999999996</v>
      </c>
      <c r="B17" s="376" t="s">
        <v>566</v>
      </c>
      <c r="C17" s="406">
        <f>'2. SOFP'!E16</f>
        <v>0</v>
      </c>
      <c r="D17" s="406"/>
      <c r="E17" s="668">
        <f>C17-D17</f>
        <v>0</v>
      </c>
      <c r="F17" s="15"/>
    </row>
    <row r="18" spans="1:6" ht="14.4">
      <c r="A18" s="380">
        <v>5.2</v>
      </c>
      <c r="B18" s="376" t="s">
        <v>567</v>
      </c>
      <c r="C18" s="406">
        <f>'2. SOFP'!E17</f>
        <v>0</v>
      </c>
      <c r="D18" s="406"/>
      <c r="E18" s="668">
        <f>C18-D18</f>
        <v>0</v>
      </c>
      <c r="F18" s="15"/>
    </row>
    <row r="19" spans="1:6" ht="14.4">
      <c r="A19" s="380">
        <v>5.3</v>
      </c>
      <c r="B19" s="377" t="s">
        <v>568</v>
      </c>
      <c r="C19" s="406">
        <f>'2. SOFP'!E18</f>
        <v>0</v>
      </c>
      <c r="D19" s="406"/>
      <c r="E19" s="668">
        <f>C19-D19</f>
        <v>0</v>
      </c>
      <c r="F19" s="15"/>
    </row>
    <row r="20" spans="1:6" ht="14.4">
      <c r="A20" s="380">
        <v>6</v>
      </c>
      <c r="B20" s="373" t="s">
        <v>569</v>
      </c>
      <c r="C20" s="670">
        <f>SUM(C21:C22)</f>
        <v>303213116.3300615</v>
      </c>
      <c r="D20" s="406">
        <f>SUM(D21:D22)</f>
        <v>0</v>
      </c>
      <c r="E20" s="671">
        <f>SUM(E21:E22)</f>
        <v>303213116.3300615</v>
      </c>
      <c r="F20" s="15"/>
    </row>
    <row r="21" spans="1:6" ht="14.4">
      <c r="A21" s="380">
        <v>6.1</v>
      </c>
      <c r="B21" s="376" t="s">
        <v>567</v>
      </c>
      <c r="C21" s="406">
        <f>'2. SOFP'!E20</f>
        <v>65752574.387231566</v>
      </c>
      <c r="D21" s="406"/>
      <c r="E21" s="668">
        <f>C21-D21</f>
        <v>65752574.387231566</v>
      </c>
      <c r="F21" s="15"/>
    </row>
    <row r="22" spans="1:6" ht="14.4">
      <c r="A22" s="380">
        <v>6.2</v>
      </c>
      <c r="B22" s="377" t="s">
        <v>568</v>
      </c>
      <c r="C22" s="406">
        <f>'2. SOFP'!E21</f>
        <v>237460541.94282991</v>
      </c>
      <c r="D22" s="406"/>
      <c r="E22" s="668">
        <f>C22-D22</f>
        <v>237460541.94282991</v>
      </c>
      <c r="F22" s="15"/>
    </row>
    <row r="23" spans="1:6" ht="14.4">
      <c r="A23" s="380">
        <v>7</v>
      </c>
      <c r="B23" s="372" t="s">
        <v>570</v>
      </c>
      <c r="C23" s="670">
        <f>'2. SOFP'!E22</f>
        <v>0</v>
      </c>
      <c r="D23" s="406"/>
      <c r="E23" s="668">
        <f>C23-D23</f>
        <v>0</v>
      </c>
      <c r="F23" s="15"/>
    </row>
    <row r="24" spans="1:6" ht="20.399999999999999">
      <c r="A24" s="380">
        <v>8</v>
      </c>
      <c r="B24" s="378" t="s">
        <v>571</v>
      </c>
      <c r="C24" s="670">
        <f>'2. SOFP'!E23</f>
        <v>0</v>
      </c>
      <c r="D24" s="406"/>
      <c r="E24" s="668">
        <f>C24-D24</f>
        <v>0</v>
      </c>
      <c r="F24" s="15"/>
    </row>
    <row r="25" spans="1:6" ht="14.4">
      <c r="A25" s="380">
        <v>9</v>
      </c>
      <c r="B25" s="374" t="s">
        <v>572</v>
      </c>
      <c r="C25" s="670">
        <f>SUM(C26:C27)</f>
        <v>6073902.7700000005</v>
      </c>
      <c r="D25" s="406">
        <f>SUM(D26:D27)</f>
        <v>0</v>
      </c>
      <c r="E25" s="671">
        <f>SUM(E26:E27)</f>
        <v>6073902.7700000005</v>
      </c>
      <c r="F25" s="15"/>
    </row>
    <row r="26" spans="1:6" ht="14.4">
      <c r="A26" s="380">
        <v>9.1</v>
      </c>
      <c r="B26" s="376" t="s">
        <v>573</v>
      </c>
      <c r="C26" s="406">
        <f>'2. SOFP'!E25</f>
        <v>6073902.7700000005</v>
      </c>
      <c r="D26" s="406"/>
      <c r="E26" s="668">
        <f>C26-D26</f>
        <v>6073902.7700000005</v>
      </c>
      <c r="F26" s="15"/>
    </row>
    <row r="27" spans="1:6" ht="14.4">
      <c r="A27" s="380">
        <v>9.1999999999999993</v>
      </c>
      <c r="B27" s="376" t="s">
        <v>574</v>
      </c>
      <c r="C27" s="406">
        <f>'2. SOFP'!E26</f>
        <v>0</v>
      </c>
      <c r="D27" s="406"/>
      <c r="E27" s="668">
        <f>C27-D27</f>
        <v>0</v>
      </c>
      <c r="F27" s="15"/>
    </row>
    <row r="28" spans="1:6" ht="14.4">
      <c r="A28" s="380">
        <v>10</v>
      </c>
      <c r="B28" s="374" t="s">
        <v>575</v>
      </c>
      <c r="C28" s="670">
        <f>SUM(C29:C30)</f>
        <v>177648.31928219183</v>
      </c>
      <c r="D28" s="670">
        <f>SUM(D29:D30)</f>
        <v>177648.31928219183</v>
      </c>
      <c r="E28" s="671">
        <f>SUM(E29:E30)</f>
        <v>0</v>
      </c>
      <c r="F28" s="15"/>
    </row>
    <row r="29" spans="1:6" ht="14.4">
      <c r="A29" s="380">
        <v>10.1</v>
      </c>
      <c r="B29" s="376" t="s">
        <v>576</v>
      </c>
      <c r="C29" s="406">
        <f>'2. SOFP'!E28</f>
        <v>0</v>
      </c>
      <c r="D29" s="406">
        <f>C29</f>
        <v>0</v>
      </c>
      <c r="E29" s="668">
        <f>C29-D29</f>
        <v>0</v>
      </c>
      <c r="F29" s="15"/>
    </row>
    <row r="30" spans="1:6" ht="14.4">
      <c r="A30" s="380">
        <v>10.199999999999999</v>
      </c>
      <c r="B30" s="376" t="s">
        <v>577</v>
      </c>
      <c r="C30" s="406">
        <f>'2. SOFP'!E29</f>
        <v>177648.31928219183</v>
      </c>
      <c r="D30" s="406">
        <f>C30</f>
        <v>177648.31928219183</v>
      </c>
      <c r="E30" s="668">
        <f>C30-D30</f>
        <v>0</v>
      </c>
      <c r="F30" s="15"/>
    </row>
    <row r="31" spans="1:6" ht="14.4">
      <c r="A31" s="380">
        <v>11</v>
      </c>
      <c r="B31" s="374" t="s">
        <v>578</v>
      </c>
      <c r="C31" s="670">
        <f>SUM(C32:C33)</f>
        <v>4126977.25</v>
      </c>
      <c r="D31" s="406">
        <f>SUM(D32:D33)</f>
        <v>0</v>
      </c>
      <c r="E31" s="671">
        <f>SUM(E32:E33)</f>
        <v>4126977.25</v>
      </c>
      <c r="F31" s="15"/>
    </row>
    <row r="32" spans="1:6" ht="14.4">
      <c r="A32" s="380">
        <v>11.1</v>
      </c>
      <c r="B32" s="376" t="s">
        <v>579</v>
      </c>
      <c r="C32" s="406">
        <f>'2. SOFP'!E31</f>
        <v>4126977.25</v>
      </c>
      <c r="D32" s="406"/>
      <c r="E32" s="668">
        <f>C32-D32</f>
        <v>4126977.25</v>
      </c>
      <c r="F32" s="15"/>
    </row>
    <row r="33" spans="1:7" ht="14.4">
      <c r="A33" s="380">
        <v>11.2</v>
      </c>
      <c r="B33" s="376" t="s">
        <v>580</v>
      </c>
      <c r="C33" s="406">
        <f>'2. SOFP'!E32</f>
        <v>0</v>
      </c>
      <c r="D33" s="406"/>
      <c r="E33" s="668">
        <f>C33-D33</f>
        <v>0</v>
      </c>
      <c r="F33" s="15"/>
    </row>
    <row r="34" spans="1:7" ht="14.4">
      <c r="A34" s="380">
        <v>13</v>
      </c>
      <c r="B34" s="374" t="s">
        <v>581</v>
      </c>
      <c r="C34" s="406">
        <f>'2. SOFP'!E33</f>
        <v>3674178.8664237075</v>
      </c>
      <c r="D34" s="406"/>
      <c r="E34" s="668">
        <f>C34-D34</f>
        <v>3674178.8664237075</v>
      </c>
      <c r="F34" s="15"/>
    </row>
    <row r="35" spans="1:7" ht="14.4">
      <c r="A35" s="380">
        <v>13.1</v>
      </c>
      <c r="B35" s="585" t="s">
        <v>582</v>
      </c>
      <c r="C35" s="406">
        <f>'2. SOFP'!E34</f>
        <v>1349093.18</v>
      </c>
      <c r="D35" s="406"/>
      <c r="E35" s="668">
        <f>C35-D35</f>
        <v>1349093.18</v>
      </c>
      <c r="F35" s="15"/>
    </row>
    <row r="36" spans="1:7" ht="14.4">
      <c r="A36" s="380">
        <v>13.2</v>
      </c>
      <c r="B36" s="585" t="s">
        <v>583</v>
      </c>
      <c r="C36" s="406">
        <f>'2. SOFP'!E35</f>
        <v>0</v>
      </c>
      <c r="D36" s="406"/>
      <c r="E36" s="668">
        <f>C36-D36</f>
        <v>0</v>
      </c>
      <c r="F36" s="15"/>
    </row>
    <row r="37" spans="1:7" ht="27" thickBot="1">
      <c r="A37" s="110"/>
      <c r="B37" s="204" t="s">
        <v>234</v>
      </c>
      <c r="C37" s="153">
        <f>SUM(C8,C12,C14,C15,C16,C20,C23,C24,C25,C28,C31,C34)</f>
        <v>443641418.84250951</v>
      </c>
      <c r="D37" s="153">
        <f>SUM(D8,D12,D14,D15,D16,D20,D23,D24,D25,D28,D31,D34)</f>
        <v>177648.31928219183</v>
      </c>
      <c r="E37" s="669">
        <f>SUM(E8,E12,E14,E15,E16,E20,E23,E24,E25,E28,E31,E34)</f>
        <v>443463770.52322733</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546" t="str">
        <f>'1. key ratios '!B1</f>
        <v>JSC Isbank Georgia</v>
      </c>
    </row>
    <row r="2" spans="1:6" s="40" customFormat="1" ht="15.75" customHeight="1">
      <c r="A2" s="2" t="s">
        <v>31</v>
      </c>
      <c r="B2" s="547">
        <f>'1. key ratios '!B2</f>
        <v>45199</v>
      </c>
      <c r="C2" s="4"/>
      <c r="D2" s="4"/>
      <c r="E2" s="4"/>
      <c r="F2" s="4"/>
    </row>
    <row r="3" spans="1:6" s="40" customFormat="1" ht="15.75" customHeight="1">
      <c r="C3" s="4"/>
      <c r="D3" s="4"/>
      <c r="E3" s="4"/>
      <c r="F3" s="4"/>
    </row>
    <row r="4" spans="1:6" s="40" customFormat="1" ht="13.8" thickBot="1">
      <c r="A4" s="40" t="s">
        <v>46</v>
      </c>
      <c r="B4" s="205" t="s">
        <v>550</v>
      </c>
      <c r="C4" s="41" t="s">
        <v>35</v>
      </c>
      <c r="D4" s="4"/>
      <c r="E4" s="4"/>
      <c r="F4" s="4"/>
    </row>
    <row r="5" spans="1:6">
      <c r="A5" s="158">
        <v>1</v>
      </c>
      <c r="B5" s="206" t="s">
        <v>552</v>
      </c>
      <c r="C5" s="672">
        <f>'7. LI1 '!E37</f>
        <v>443463770.52322733</v>
      </c>
    </row>
    <row r="6" spans="1:6" s="159" customFormat="1">
      <c r="A6" s="46">
        <v>2.1</v>
      </c>
      <c r="B6" s="155" t="s">
        <v>214</v>
      </c>
      <c r="C6" s="102">
        <f>'4. Off-balance'!E27+'4. Off-balance'!E28+'4. Off-balance'!E29-'2. SOFP'!E46</f>
        <v>98555791.712273821</v>
      </c>
    </row>
    <row r="7" spans="1:6" s="26" customFormat="1" outlineLevel="1">
      <c r="A7" s="21">
        <v>2.2000000000000002</v>
      </c>
      <c r="B7" s="22" t="s">
        <v>215</v>
      </c>
      <c r="C7" s="160"/>
    </row>
    <row r="8" spans="1:6" s="26" customFormat="1">
      <c r="A8" s="21">
        <v>3</v>
      </c>
      <c r="B8" s="156" t="s">
        <v>551</v>
      </c>
      <c r="C8" s="673">
        <f>SUM(C5:C7)</f>
        <v>542019562.23550117</v>
      </c>
    </row>
    <row r="9" spans="1:6" s="159" customFormat="1">
      <c r="A9" s="46">
        <v>4</v>
      </c>
      <c r="B9" s="48" t="s">
        <v>48</v>
      </c>
      <c r="C9" s="102"/>
    </row>
    <row r="10" spans="1:6" s="26" customFormat="1" outlineLevel="1">
      <c r="A10" s="21">
        <v>5.0999999999999996</v>
      </c>
      <c r="B10" s="22" t="s">
        <v>216</v>
      </c>
      <c r="C10" s="160">
        <v>-40950920.756583288</v>
      </c>
    </row>
    <row r="11" spans="1:6" s="26" customFormat="1" outlineLevel="1">
      <c r="A11" s="21">
        <v>5.2</v>
      </c>
      <c r="B11" s="22" t="s">
        <v>217</v>
      </c>
      <c r="C11" s="160"/>
    </row>
    <row r="12" spans="1:6" s="26" customFormat="1">
      <c r="A12" s="21">
        <v>6</v>
      </c>
      <c r="B12" s="154" t="s">
        <v>356</v>
      </c>
      <c r="C12" s="160"/>
    </row>
    <row r="13" spans="1:6" s="26" customFormat="1" ht="13.8" thickBot="1">
      <c r="A13" s="23">
        <v>7</v>
      </c>
      <c r="B13" s="157" t="s">
        <v>177</v>
      </c>
      <c r="C13" s="674">
        <f>SUM(C8:C12)</f>
        <v>501068641.4789179</v>
      </c>
    </row>
    <row r="15" spans="1:6">
      <c r="A15" s="171"/>
      <c r="B15" s="27"/>
    </row>
    <row r="16" spans="1:6">
      <c r="A16" s="171"/>
      <c r="B16" s="171"/>
    </row>
    <row r="17" spans="1:5" ht="13.8">
      <c r="A17" s="166"/>
      <c r="B17" s="167"/>
      <c r="C17" s="171"/>
      <c r="D17" s="171"/>
      <c r="E17" s="171"/>
    </row>
    <row r="18" spans="1:5" ht="14.4">
      <c r="A18" s="172"/>
      <c r="B18" s="173"/>
      <c r="C18" s="171"/>
      <c r="D18" s="171"/>
      <c r="E18" s="171"/>
    </row>
    <row r="19" spans="1:5" ht="13.8">
      <c r="A19" s="174"/>
      <c r="B19" s="168"/>
      <c r="C19" s="171"/>
      <c r="D19" s="171"/>
      <c r="E19" s="171"/>
    </row>
    <row r="20" spans="1:5" ht="13.8">
      <c r="A20" s="175"/>
      <c r="B20" s="169"/>
      <c r="C20" s="171"/>
      <c r="D20" s="171"/>
      <c r="E20" s="171"/>
    </row>
    <row r="21" spans="1:5" ht="13.8">
      <c r="A21" s="175"/>
      <c r="B21" s="173"/>
      <c r="C21" s="171"/>
      <c r="D21" s="171"/>
      <c r="E21" s="171"/>
    </row>
    <row r="22" spans="1:5" ht="13.8">
      <c r="A22" s="174"/>
      <c r="B22" s="170"/>
      <c r="C22" s="171"/>
      <c r="D22" s="171"/>
      <c r="E22" s="171"/>
    </row>
    <row r="23" spans="1:5" ht="13.8">
      <c r="A23" s="175"/>
      <c r="B23" s="169"/>
      <c r="C23" s="171"/>
      <c r="D23" s="171"/>
      <c r="E23" s="171"/>
    </row>
    <row r="24" spans="1:5" ht="13.8">
      <c r="A24" s="175"/>
      <c r="B24" s="169"/>
      <c r="C24" s="171"/>
      <c r="D24" s="171"/>
      <c r="E24" s="171"/>
    </row>
    <row r="25" spans="1:5" ht="13.8">
      <c r="A25" s="175"/>
      <c r="B25" s="176"/>
      <c r="C25" s="171"/>
      <c r="D25" s="171"/>
      <c r="E25" s="171"/>
    </row>
    <row r="26" spans="1:5" ht="13.8">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ctkne5/FD3jD/AL7J4sxSxHHq6Ic0NvcRpnv2hHQgo4=</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GD+egqmimU/Zvhur8fRjxhzO0ccsjVQtBWxrkywK7DQ=</DigestValue>
    </Reference>
  </SignedInfo>
  <SignatureValue>0pUY3L6uEQpdKow4UcMiCW7FxHPT0tqx54CzsjbswOc2JumWtAJkOnI4t6UR+rMHG9/F6oHfH6wl
BcztnXjA2n0JVhP153jrapmZWif0l8DcfK67rmDJPakLkYnIIo/YZ/OpRLjdoFQAXLGq62UjRqO0
MNvc1tC+r0CgkmnHkLyQJjne8aWf60bK/ibM5/gyNkltZ/4SOSidUMVWZQzhzP/pijGzgah8Z2Ec
ILvDLSn1anNFZW60VajXxdW2WvuoVP0daJa+GcvBNTqHm+ZDVyMhG/gcJIMboUm+Gp7GwkQnMElx
kHvODvjbrTS1+/RHiiWldE2l2XV4jcWr8cn7Jg==</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njeMPiIChgO7zlFIfED0LnI/oR3p1VOOOoGXfWHq/yI=</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VgnQN2oDdDzY43tO+nXE7pqhT2BAcMJMjGOe6N0iFwc=</DigestValue>
      </Reference>
      <Reference URI="/xl/styles.xml?ContentType=application/vnd.openxmlformats-officedocument.spreadsheetml.styles+xml">
        <DigestMethod Algorithm="http://www.w3.org/2001/04/xmlenc#sha256"/>
        <DigestValue>4XPrYx1ZnG3VwIDEa7+cK4EYnF9jCyCDPXAfnxCc+A8=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3BPLuoq2d/YST+8I5uoLMOZ9ZJcssjUTqvjPFDRgzFk=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spi+GYexeazT402qRvNlH8/i1ca4JDsWQgLyMtq44KQ=</DigestValue>
      </Reference>
      <Reference URI="/xl/worksheets/sheet10.xml?ContentType=application/vnd.openxmlformats-officedocument.spreadsheetml.worksheet+xml">
        <DigestMethod Algorithm="http://www.w3.org/2001/04/xmlenc#sha256"/>
        <DigestValue>F+/xj1YLSd/WsPmD7ubEuWEE6NZxTMNoU+qw5ExWrXE=</DigestValue>
      </Reference>
      <Reference URI="/xl/worksheets/sheet11.xml?ContentType=application/vnd.openxmlformats-officedocument.spreadsheetml.worksheet+xml">
        <DigestMethod Algorithm="http://www.w3.org/2001/04/xmlenc#sha256"/>
        <DigestValue>5QVT/iT0rxxP22b+Dqaohu8h8TVr10kCYII75n6GE/Y=</DigestValue>
      </Reference>
      <Reference URI="/xl/worksheets/sheet12.xml?ContentType=application/vnd.openxmlformats-officedocument.spreadsheetml.worksheet+xml">
        <DigestMethod Algorithm="http://www.w3.org/2001/04/xmlenc#sha256"/>
        <DigestValue>a6CD5RlwBmjWYlUEiYw98M4PT1HdWVkaaeNQmr05aQY=</DigestValue>
      </Reference>
      <Reference URI="/xl/worksheets/sheet13.xml?ContentType=application/vnd.openxmlformats-officedocument.spreadsheetml.worksheet+xml">
        <DigestMethod Algorithm="http://www.w3.org/2001/04/xmlenc#sha256"/>
        <DigestValue>eV5mg+mX2HDQx41joxOcRUzBgz1l4r//l/AuW/t+uiM=</DigestValue>
      </Reference>
      <Reference URI="/xl/worksheets/sheet14.xml?ContentType=application/vnd.openxmlformats-officedocument.spreadsheetml.worksheet+xml">
        <DigestMethod Algorithm="http://www.w3.org/2001/04/xmlenc#sha256"/>
        <DigestValue>Mw+Vvy9Huo/w90im9Xwb0DNzpuc8KnzJqSyzGuSMH4w=</DigestValue>
      </Reference>
      <Reference URI="/xl/worksheets/sheet15.xml?ContentType=application/vnd.openxmlformats-officedocument.spreadsheetml.worksheet+xml">
        <DigestMethod Algorithm="http://www.w3.org/2001/04/xmlenc#sha256"/>
        <DigestValue>JanQKqWtLAohALdvw33P+H2SYtez3fyjG4mLEUe1Twk=</DigestValue>
      </Reference>
      <Reference URI="/xl/worksheets/sheet16.xml?ContentType=application/vnd.openxmlformats-officedocument.spreadsheetml.worksheet+xml">
        <DigestMethod Algorithm="http://www.w3.org/2001/04/xmlenc#sha256"/>
        <DigestValue>5EaNCQck+o2vX5d8tPyFiNKgH3cLdLs7COI2rHErdVc=</DigestValue>
      </Reference>
      <Reference URI="/xl/worksheets/sheet17.xml?ContentType=application/vnd.openxmlformats-officedocument.spreadsheetml.worksheet+xml">
        <DigestMethod Algorithm="http://www.w3.org/2001/04/xmlenc#sha256"/>
        <DigestValue>SfaYEuFG3Xs6icJAp6eIZ8WHHtfL9McjrV0nfIrDQgs=</DigestValue>
      </Reference>
      <Reference URI="/xl/worksheets/sheet18.xml?ContentType=application/vnd.openxmlformats-officedocument.spreadsheetml.worksheet+xml">
        <DigestMethod Algorithm="http://www.w3.org/2001/04/xmlenc#sha256"/>
        <DigestValue>1rMUxPJy5gqxVQ4dnRW6pKNR1DJCgEthOKQt3/EFIdE=</DigestValue>
      </Reference>
      <Reference URI="/xl/worksheets/sheet19.xml?ContentType=application/vnd.openxmlformats-officedocument.spreadsheetml.worksheet+xml">
        <DigestMethod Algorithm="http://www.w3.org/2001/04/xmlenc#sha256"/>
        <DigestValue>Z5lrk92JW9tq/D2FlhGNZyi1xHXOHGl+Jz/YF7a0+5Y=</DigestValue>
      </Reference>
      <Reference URI="/xl/worksheets/sheet2.xml?ContentType=application/vnd.openxmlformats-officedocument.spreadsheetml.worksheet+xml">
        <DigestMethod Algorithm="http://www.w3.org/2001/04/xmlenc#sha256"/>
        <DigestValue>btwLaE6xx0XZRxb74Risd6ttBLWsT953PnrQS+qMwJo=</DigestValue>
      </Reference>
      <Reference URI="/xl/worksheets/sheet20.xml?ContentType=application/vnd.openxmlformats-officedocument.spreadsheetml.worksheet+xml">
        <DigestMethod Algorithm="http://www.w3.org/2001/04/xmlenc#sha256"/>
        <DigestValue>w5bW7Yv/gZggRuU2GrNz5p7jEZwrul4bbjVIu8pWcIU=</DigestValue>
      </Reference>
      <Reference URI="/xl/worksheets/sheet21.xml?ContentType=application/vnd.openxmlformats-officedocument.spreadsheetml.worksheet+xml">
        <DigestMethod Algorithm="http://www.w3.org/2001/04/xmlenc#sha256"/>
        <DigestValue>R7ou4bKwB7Ef9B7bDPsKtywaO9kcyVucnBBTKbSMJXM=</DigestValue>
      </Reference>
      <Reference URI="/xl/worksheets/sheet22.xml?ContentType=application/vnd.openxmlformats-officedocument.spreadsheetml.worksheet+xml">
        <DigestMethod Algorithm="http://www.w3.org/2001/04/xmlenc#sha256"/>
        <DigestValue>V+LQD19P4QY+sQwqUkjZtgceY2LMXi4+qgzwcRYZfvc=</DigestValue>
      </Reference>
      <Reference URI="/xl/worksheets/sheet23.xml?ContentType=application/vnd.openxmlformats-officedocument.spreadsheetml.worksheet+xml">
        <DigestMethod Algorithm="http://www.w3.org/2001/04/xmlenc#sha256"/>
        <DigestValue>L7OpCKxtbSw1UHCt8ncGhRy3oipnrfDAy4nzqWzv8g8=</DigestValue>
      </Reference>
      <Reference URI="/xl/worksheets/sheet24.xml?ContentType=application/vnd.openxmlformats-officedocument.spreadsheetml.worksheet+xml">
        <DigestMethod Algorithm="http://www.w3.org/2001/04/xmlenc#sha256"/>
        <DigestValue>VIvLIcfqYYhBfpnLIHqgtvB0b2SoNawuKBZWOaFhSUo=</DigestValue>
      </Reference>
      <Reference URI="/xl/worksheets/sheet25.xml?ContentType=application/vnd.openxmlformats-officedocument.spreadsheetml.worksheet+xml">
        <DigestMethod Algorithm="http://www.w3.org/2001/04/xmlenc#sha256"/>
        <DigestValue>FjP8/nOeoGX0i1jB9ythheJ/DAJqW5xfif0gRvQytCw=</DigestValue>
      </Reference>
      <Reference URI="/xl/worksheets/sheet26.xml?ContentType=application/vnd.openxmlformats-officedocument.spreadsheetml.worksheet+xml">
        <DigestMethod Algorithm="http://www.w3.org/2001/04/xmlenc#sha256"/>
        <DigestValue>g4iKlzK+Pzy5k164H03rw1+WtPpVFpTxn209OfcN/m0=</DigestValue>
      </Reference>
      <Reference URI="/xl/worksheets/sheet27.xml?ContentType=application/vnd.openxmlformats-officedocument.spreadsheetml.worksheet+xml">
        <DigestMethod Algorithm="http://www.w3.org/2001/04/xmlenc#sha256"/>
        <DigestValue>cfP9ItuQWtJ+6T0TvAb940HN13CyvW0AHtBFTg4jhU0=</DigestValue>
      </Reference>
      <Reference URI="/xl/worksheets/sheet28.xml?ContentType=application/vnd.openxmlformats-officedocument.spreadsheetml.worksheet+xml">
        <DigestMethod Algorithm="http://www.w3.org/2001/04/xmlenc#sha256"/>
        <DigestValue>UWKUqbyvgRpec5sTP2ahmx5p1whElBQXhxy326ozbr0=</DigestValue>
      </Reference>
      <Reference URI="/xl/worksheets/sheet29.xml?ContentType=application/vnd.openxmlformats-officedocument.spreadsheetml.worksheet+xml">
        <DigestMethod Algorithm="http://www.w3.org/2001/04/xmlenc#sha256"/>
        <DigestValue>b44BbTg6ld+gVRCGQoJnSB4eryH3V2kjTsHPtUgMkSc=</DigestValue>
      </Reference>
      <Reference URI="/xl/worksheets/sheet3.xml?ContentType=application/vnd.openxmlformats-officedocument.spreadsheetml.worksheet+xml">
        <DigestMethod Algorithm="http://www.w3.org/2001/04/xmlenc#sha256"/>
        <DigestValue>r8gpmKXSMs7yjH+Hk4qQOajuDRZoW2ZMt3HKVYD//wA=</DigestValue>
      </Reference>
      <Reference URI="/xl/worksheets/sheet4.xml?ContentType=application/vnd.openxmlformats-officedocument.spreadsheetml.worksheet+xml">
        <DigestMethod Algorithm="http://www.w3.org/2001/04/xmlenc#sha256"/>
        <DigestValue>G534RBwUjBZ2s4BUBSb55YKHqEh1D0g3F7hIYIVZwBw=</DigestValue>
      </Reference>
      <Reference URI="/xl/worksheets/sheet5.xml?ContentType=application/vnd.openxmlformats-officedocument.spreadsheetml.worksheet+xml">
        <DigestMethod Algorithm="http://www.w3.org/2001/04/xmlenc#sha256"/>
        <DigestValue>U/eEAEoe/n6XEcXUFZMSKhF5UglFKGguhbGTUeG8KBw=</DigestValue>
      </Reference>
      <Reference URI="/xl/worksheets/sheet6.xml?ContentType=application/vnd.openxmlformats-officedocument.spreadsheetml.worksheet+xml">
        <DigestMethod Algorithm="http://www.w3.org/2001/04/xmlenc#sha256"/>
        <DigestValue>+azx+IUKn/PvCKYQQ0EvtflFDg7hYpysaKzKttHUn2M=</DigestValue>
      </Reference>
      <Reference URI="/xl/worksheets/sheet7.xml?ContentType=application/vnd.openxmlformats-officedocument.spreadsheetml.worksheet+xml">
        <DigestMethod Algorithm="http://www.w3.org/2001/04/xmlenc#sha256"/>
        <DigestValue>KNN1Wp1ROs3gW+qnWDIiNT+E4G0lxTt3BnOatOL363E=</DigestValue>
      </Reference>
      <Reference URI="/xl/worksheets/sheet8.xml?ContentType=application/vnd.openxmlformats-officedocument.spreadsheetml.worksheet+xml">
        <DigestMethod Algorithm="http://www.w3.org/2001/04/xmlenc#sha256"/>
        <DigestValue>kfLllnBvwd3taHVnqV9q/J25zY891aEeqsD7zN1lB7k=</DigestValue>
      </Reference>
      <Reference URI="/xl/worksheets/sheet9.xml?ContentType=application/vnd.openxmlformats-officedocument.spreadsheetml.worksheet+xml">
        <DigestMethod Algorithm="http://www.w3.org/2001/04/xmlenc#sha256"/>
        <DigestValue>XxPoEfCHKtpvZ8S4sU3GTjWu6TBmOBDkQZGTItoOypo=</DigestValue>
      </Reference>
    </Manifest>
    <SignatureProperties>
      <SignatureProperty Id="idSignatureTime" Target="#idPackageSignature">
        <mdssi:SignatureTime xmlns:mdssi="http://schemas.openxmlformats.org/package/2006/digital-signature">
          <mdssi:Format>YYYY-MM-DDThh:mm:ssTZD</mdssi:Format>
          <mdssi:Value>2023-11-01T01:53:15Z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2023-11-01T01:53:15Z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kVjIuR+C0M8tT1uBSVoSs/gKJp8bE/eFRcb8Rz4rxcM=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sYTHTEH9/Y2M239pQObB2kYWkqesBwP8dwX1/U/B7nk=</DigestValue>
    </Reference>
  </SignedInfo>
  <SignatureValue>VCmNnP72OXDEqD9QLSzxgYbsHjVvSnDMRZFGX0SIQIEkWN8ienLU/TA5LM8hnVZVlSckvPycswLo
8j+uXlERGGeRjAKlUR0lVZJTSSzdbd1E+UCFV9PJMkllB6As7qbMJ5hqraA8n/JjavIu0v5G/s3S
5+r9FTqQagwMCQA3XmERQqhktibYAv/Dk9ZnWD97V2tTBTPxBq49V9SoGTxKsWYXAPNCVPKEQ6VL
1rVV4sol3tqKNUqEGW62+1w13NOjXeuqieUy3B3QZ0Ck6Fn6/PcZK7aVfOnetqIXoeQyQR5zf8bE
iI3f4kzPBbFJwnuC3mB3e0/i+6wjxj4+UCjBhA==</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njeMPiIChgO7zlFIfED0LnI/oR3p1VOOOoGXfWHq/yI=</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VgnQN2oDdDzY43tO+nXE7pqhT2BAcMJMjGOe6N0iFwc=</DigestValue>
      </Reference>
      <Reference URI="/xl/styles.xml?ContentType=application/vnd.openxmlformats-officedocument.spreadsheetml.styles+xml">
        <DigestMethod Algorithm="http://www.w3.org/2001/04/xmlenc#sha256"/>
        <DigestValue>4XPrYx1ZnG3VwIDEa7+cK4EYnF9jCyCDPXAfnxCc+A8=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3BPLuoq2d/YST+8I5uoLMOZ9ZJcssjUTqvjPFDRgzFk=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spi+GYexeazT402qRvNlH8/i1ca4JDsWQgLyMtq44KQ=</DigestValue>
      </Reference>
      <Reference URI="/xl/worksheets/sheet10.xml?ContentType=application/vnd.openxmlformats-officedocument.spreadsheetml.worksheet+xml">
        <DigestMethod Algorithm="http://www.w3.org/2001/04/xmlenc#sha256"/>
        <DigestValue>F+/xj1YLSd/WsPmD7ubEuWEE6NZxTMNoU+qw5ExWrXE=</DigestValue>
      </Reference>
      <Reference URI="/xl/worksheets/sheet11.xml?ContentType=application/vnd.openxmlformats-officedocument.spreadsheetml.worksheet+xml">
        <DigestMethod Algorithm="http://www.w3.org/2001/04/xmlenc#sha256"/>
        <DigestValue>5QVT/iT0rxxP22b+Dqaohu8h8TVr10kCYII75n6GE/Y=</DigestValue>
      </Reference>
      <Reference URI="/xl/worksheets/sheet12.xml?ContentType=application/vnd.openxmlformats-officedocument.spreadsheetml.worksheet+xml">
        <DigestMethod Algorithm="http://www.w3.org/2001/04/xmlenc#sha256"/>
        <DigestValue>a6CD5RlwBmjWYlUEiYw98M4PT1HdWVkaaeNQmr05aQY=</DigestValue>
      </Reference>
      <Reference URI="/xl/worksheets/sheet13.xml?ContentType=application/vnd.openxmlformats-officedocument.spreadsheetml.worksheet+xml">
        <DigestMethod Algorithm="http://www.w3.org/2001/04/xmlenc#sha256"/>
        <DigestValue>eV5mg+mX2HDQx41joxOcRUzBgz1l4r//l/AuW/t+uiM=</DigestValue>
      </Reference>
      <Reference URI="/xl/worksheets/sheet14.xml?ContentType=application/vnd.openxmlformats-officedocument.spreadsheetml.worksheet+xml">
        <DigestMethod Algorithm="http://www.w3.org/2001/04/xmlenc#sha256"/>
        <DigestValue>Mw+Vvy9Huo/w90im9Xwb0DNzpuc8KnzJqSyzGuSMH4w=</DigestValue>
      </Reference>
      <Reference URI="/xl/worksheets/sheet15.xml?ContentType=application/vnd.openxmlformats-officedocument.spreadsheetml.worksheet+xml">
        <DigestMethod Algorithm="http://www.w3.org/2001/04/xmlenc#sha256"/>
        <DigestValue>JanQKqWtLAohALdvw33P+H2SYtez3fyjG4mLEUe1Twk=</DigestValue>
      </Reference>
      <Reference URI="/xl/worksheets/sheet16.xml?ContentType=application/vnd.openxmlformats-officedocument.spreadsheetml.worksheet+xml">
        <DigestMethod Algorithm="http://www.w3.org/2001/04/xmlenc#sha256"/>
        <DigestValue>5EaNCQck+o2vX5d8tPyFiNKgH3cLdLs7COI2rHErdVc=</DigestValue>
      </Reference>
      <Reference URI="/xl/worksheets/sheet17.xml?ContentType=application/vnd.openxmlformats-officedocument.spreadsheetml.worksheet+xml">
        <DigestMethod Algorithm="http://www.w3.org/2001/04/xmlenc#sha256"/>
        <DigestValue>SfaYEuFG3Xs6icJAp6eIZ8WHHtfL9McjrV0nfIrDQgs=</DigestValue>
      </Reference>
      <Reference URI="/xl/worksheets/sheet18.xml?ContentType=application/vnd.openxmlformats-officedocument.spreadsheetml.worksheet+xml">
        <DigestMethod Algorithm="http://www.w3.org/2001/04/xmlenc#sha256"/>
        <DigestValue>1rMUxPJy5gqxVQ4dnRW6pKNR1DJCgEthOKQt3/EFIdE=</DigestValue>
      </Reference>
      <Reference URI="/xl/worksheets/sheet19.xml?ContentType=application/vnd.openxmlformats-officedocument.spreadsheetml.worksheet+xml">
        <DigestMethod Algorithm="http://www.w3.org/2001/04/xmlenc#sha256"/>
        <DigestValue>Z5lrk92JW9tq/D2FlhGNZyi1xHXOHGl+Jz/YF7a0+5Y=</DigestValue>
      </Reference>
      <Reference URI="/xl/worksheets/sheet2.xml?ContentType=application/vnd.openxmlformats-officedocument.spreadsheetml.worksheet+xml">
        <DigestMethod Algorithm="http://www.w3.org/2001/04/xmlenc#sha256"/>
        <DigestValue>btwLaE6xx0XZRxb74Risd6ttBLWsT953PnrQS+qMwJo=</DigestValue>
      </Reference>
      <Reference URI="/xl/worksheets/sheet20.xml?ContentType=application/vnd.openxmlformats-officedocument.spreadsheetml.worksheet+xml">
        <DigestMethod Algorithm="http://www.w3.org/2001/04/xmlenc#sha256"/>
        <DigestValue>w5bW7Yv/gZggRuU2GrNz5p7jEZwrul4bbjVIu8pWcIU=</DigestValue>
      </Reference>
      <Reference URI="/xl/worksheets/sheet21.xml?ContentType=application/vnd.openxmlformats-officedocument.spreadsheetml.worksheet+xml">
        <DigestMethod Algorithm="http://www.w3.org/2001/04/xmlenc#sha256"/>
        <DigestValue>R7ou4bKwB7Ef9B7bDPsKtywaO9kcyVucnBBTKbSMJXM=</DigestValue>
      </Reference>
      <Reference URI="/xl/worksheets/sheet22.xml?ContentType=application/vnd.openxmlformats-officedocument.spreadsheetml.worksheet+xml">
        <DigestMethod Algorithm="http://www.w3.org/2001/04/xmlenc#sha256"/>
        <DigestValue>V+LQD19P4QY+sQwqUkjZtgceY2LMXi4+qgzwcRYZfvc=</DigestValue>
      </Reference>
      <Reference URI="/xl/worksheets/sheet23.xml?ContentType=application/vnd.openxmlformats-officedocument.spreadsheetml.worksheet+xml">
        <DigestMethod Algorithm="http://www.w3.org/2001/04/xmlenc#sha256"/>
        <DigestValue>L7OpCKxtbSw1UHCt8ncGhRy3oipnrfDAy4nzqWzv8g8=</DigestValue>
      </Reference>
      <Reference URI="/xl/worksheets/sheet24.xml?ContentType=application/vnd.openxmlformats-officedocument.spreadsheetml.worksheet+xml">
        <DigestMethod Algorithm="http://www.w3.org/2001/04/xmlenc#sha256"/>
        <DigestValue>VIvLIcfqYYhBfpnLIHqgtvB0b2SoNawuKBZWOaFhSUo=</DigestValue>
      </Reference>
      <Reference URI="/xl/worksheets/sheet25.xml?ContentType=application/vnd.openxmlformats-officedocument.spreadsheetml.worksheet+xml">
        <DigestMethod Algorithm="http://www.w3.org/2001/04/xmlenc#sha256"/>
        <DigestValue>FjP8/nOeoGX0i1jB9ythheJ/DAJqW5xfif0gRvQytCw=</DigestValue>
      </Reference>
      <Reference URI="/xl/worksheets/sheet26.xml?ContentType=application/vnd.openxmlformats-officedocument.spreadsheetml.worksheet+xml">
        <DigestMethod Algorithm="http://www.w3.org/2001/04/xmlenc#sha256"/>
        <DigestValue>g4iKlzK+Pzy5k164H03rw1+WtPpVFpTxn209OfcN/m0=</DigestValue>
      </Reference>
      <Reference URI="/xl/worksheets/sheet27.xml?ContentType=application/vnd.openxmlformats-officedocument.spreadsheetml.worksheet+xml">
        <DigestMethod Algorithm="http://www.w3.org/2001/04/xmlenc#sha256"/>
        <DigestValue>cfP9ItuQWtJ+6T0TvAb940HN13CyvW0AHtBFTg4jhU0=</DigestValue>
      </Reference>
      <Reference URI="/xl/worksheets/sheet28.xml?ContentType=application/vnd.openxmlformats-officedocument.spreadsheetml.worksheet+xml">
        <DigestMethod Algorithm="http://www.w3.org/2001/04/xmlenc#sha256"/>
        <DigestValue>UWKUqbyvgRpec5sTP2ahmx5p1whElBQXhxy326ozbr0=</DigestValue>
      </Reference>
      <Reference URI="/xl/worksheets/sheet29.xml?ContentType=application/vnd.openxmlformats-officedocument.spreadsheetml.worksheet+xml">
        <DigestMethod Algorithm="http://www.w3.org/2001/04/xmlenc#sha256"/>
        <DigestValue>b44BbTg6ld+gVRCGQoJnSB4eryH3V2kjTsHPtUgMkSc=</DigestValue>
      </Reference>
      <Reference URI="/xl/worksheets/sheet3.xml?ContentType=application/vnd.openxmlformats-officedocument.spreadsheetml.worksheet+xml">
        <DigestMethod Algorithm="http://www.w3.org/2001/04/xmlenc#sha256"/>
        <DigestValue>r8gpmKXSMs7yjH+Hk4qQOajuDRZoW2ZMt3HKVYD//wA=</DigestValue>
      </Reference>
      <Reference URI="/xl/worksheets/sheet4.xml?ContentType=application/vnd.openxmlformats-officedocument.spreadsheetml.worksheet+xml">
        <DigestMethod Algorithm="http://www.w3.org/2001/04/xmlenc#sha256"/>
        <DigestValue>G534RBwUjBZ2s4BUBSb55YKHqEh1D0g3F7hIYIVZwBw=</DigestValue>
      </Reference>
      <Reference URI="/xl/worksheets/sheet5.xml?ContentType=application/vnd.openxmlformats-officedocument.spreadsheetml.worksheet+xml">
        <DigestMethod Algorithm="http://www.w3.org/2001/04/xmlenc#sha256"/>
        <DigestValue>U/eEAEoe/n6XEcXUFZMSKhF5UglFKGguhbGTUeG8KBw=</DigestValue>
      </Reference>
      <Reference URI="/xl/worksheets/sheet6.xml?ContentType=application/vnd.openxmlformats-officedocument.spreadsheetml.worksheet+xml">
        <DigestMethod Algorithm="http://www.w3.org/2001/04/xmlenc#sha256"/>
        <DigestValue>+azx+IUKn/PvCKYQQ0EvtflFDg7hYpysaKzKttHUn2M=</DigestValue>
      </Reference>
      <Reference URI="/xl/worksheets/sheet7.xml?ContentType=application/vnd.openxmlformats-officedocument.spreadsheetml.worksheet+xml">
        <DigestMethod Algorithm="http://www.w3.org/2001/04/xmlenc#sha256"/>
        <DigestValue>KNN1Wp1ROs3gW+qnWDIiNT+E4G0lxTt3BnOatOL363E=</DigestValue>
      </Reference>
      <Reference URI="/xl/worksheets/sheet8.xml?ContentType=application/vnd.openxmlformats-officedocument.spreadsheetml.worksheet+xml">
        <DigestMethod Algorithm="http://www.w3.org/2001/04/xmlenc#sha256"/>
        <DigestValue>kfLllnBvwd3taHVnqV9q/J25zY891aEeqsD7zN1lB7k=</DigestValue>
      </Reference>
      <Reference URI="/xl/worksheets/sheet9.xml?ContentType=application/vnd.openxmlformats-officedocument.spreadsheetml.worksheet+xml">
        <DigestMethod Algorithm="http://www.w3.org/2001/04/xmlenc#sha256"/>
        <DigestValue>XxPoEfCHKtpvZ8S4sU3GTjWu6TBmOBDkQZGTItoOypo=</DigestValue>
      </Reference>
    </Manifest>
    <SignatureProperties>
      <SignatureProperty Id="idSignatureTime" Target="#idPackageSignature">
        <mdssi:SignatureTime xmlns:mdssi="http://schemas.openxmlformats.org/package/2006/digital-signature">
          <mdssi:Format>YYYY-MM-DDThh:mm:ssTZD</mdssi:Format>
          <mdssi:Value>2023-11-01T01:53:35Z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2023-11-01T01:53:35Z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2023-11-01T01:52:09Z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