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I18" i="91" l="1"/>
  <c r="C18" i="91"/>
  <c r="I17" i="91"/>
  <c r="C17" i="91"/>
  <c r="I16" i="91"/>
  <c r="C16" i="91"/>
  <c r="I15" i="91"/>
  <c r="I13" i="91" s="1"/>
  <c r="C15" i="91"/>
  <c r="I14" i="91"/>
  <c r="C14" i="91"/>
  <c r="O13" i="91"/>
  <c r="O19" i="91" s="1"/>
  <c r="N13" i="91"/>
  <c r="N19" i="91" s="1"/>
  <c r="M13" i="91"/>
  <c r="M19" i="91" s="1"/>
  <c r="L13" i="91"/>
  <c r="L19" i="91" s="1"/>
  <c r="K13" i="91"/>
  <c r="K19" i="91" s="1"/>
  <c r="J13" i="91"/>
  <c r="J19" i="91" s="1"/>
  <c r="H13" i="91"/>
  <c r="H19" i="91" s="1"/>
  <c r="G13" i="91"/>
  <c r="G19" i="91" s="1"/>
  <c r="F13" i="91"/>
  <c r="F19" i="91" s="1"/>
  <c r="E13" i="91"/>
  <c r="E19" i="91" s="1"/>
  <c r="D13" i="91"/>
  <c r="D19" i="91" s="1"/>
  <c r="I12" i="91"/>
  <c r="C12" i="91"/>
  <c r="I11" i="91"/>
  <c r="C11" i="91"/>
  <c r="I10" i="91"/>
  <c r="C10" i="91"/>
  <c r="I9" i="91"/>
  <c r="C9" i="91"/>
  <c r="I8" i="91"/>
  <c r="C8" i="91"/>
  <c r="I7" i="91"/>
  <c r="C7" i="91"/>
  <c r="B2" i="91"/>
  <c r="C13" i="91" l="1"/>
  <c r="C19" i="91"/>
  <c r="I19" i="9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I34" i="83" l="1"/>
  <c r="C19" i="84"/>
  <c r="D19" i="84"/>
  <c r="I21" i="82"/>
  <c r="H22" i="81"/>
  <c r="C29" i="79"/>
  <c r="B2" i="79"/>
  <c r="B2" i="37"/>
  <c r="J23" i="36"/>
  <c r="I23" i="36"/>
  <c r="G23" i="36"/>
  <c r="F23" i="36"/>
  <c r="H23" i="36" s="1"/>
  <c r="J21" i="36"/>
  <c r="I21" i="36"/>
  <c r="K21" i="36" s="1"/>
  <c r="G21" i="36"/>
  <c r="F21" i="36"/>
  <c r="H21" i="36" s="1"/>
  <c r="D21" i="36"/>
  <c r="C21" i="36"/>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S19" i="35"/>
  <c r="F19" i="74" s="1"/>
  <c r="S18" i="35"/>
  <c r="F18" i="74" s="1"/>
  <c r="S17" i="35"/>
  <c r="F17" i="74" s="1"/>
  <c r="S16" i="35"/>
  <c r="F16" i="74" s="1"/>
  <c r="G16" i="74" s="1"/>
  <c r="H16" i="74" s="1"/>
  <c r="S15" i="35"/>
  <c r="F15" i="74" s="1"/>
  <c r="S14" i="35"/>
  <c r="F14" i="74" s="1"/>
  <c r="G14" i="74" s="1"/>
  <c r="H14" i="74" s="1"/>
  <c r="S13" i="35"/>
  <c r="F13" i="74" s="1"/>
  <c r="S12" i="35"/>
  <c r="F12" i="74" s="1"/>
  <c r="S11" i="35"/>
  <c r="F11" i="74" s="1"/>
  <c r="S10" i="35"/>
  <c r="F10" i="74" s="1"/>
  <c r="S9" i="35"/>
  <c r="F9" i="74" s="1"/>
  <c r="S8" i="35"/>
  <c r="F8" i="74" s="1"/>
  <c r="G8" i="74" s="1"/>
  <c r="H8" i="74" s="1"/>
  <c r="B2" i="35"/>
  <c r="C36" i="69"/>
  <c r="E21" i="36" l="1"/>
  <c r="G12" i="74"/>
  <c r="H12" i="74" s="1"/>
  <c r="G20" i="74"/>
  <c r="H20" i="74" s="1"/>
  <c r="K16" i="36"/>
  <c r="F24" i="36"/>
  <c r="F25" i="36" s="1"/>
  <c r="E16" i="36"/>
  <c r="C22" i="74"/>
  <c r="J25" i="36"/>
  <c r="K23" i="36"/>
  <c r="I24" i="36"/>
  <c r="K24" i="36" s="1"/>
  <c r="K25" i="36" s="1"/>
  <c r="G24" i="36"/>
  <c r="H16" i="36"/>
  <c r="G21" i="74"/>
  <c r="H21" i="74" s="1"/>
  <c r="G15" i="74"/>
  <c r="H15" i="74" s="1"/>
  <c r="G9" i="74"/>
  <c r="H9" i="74" s="1"/>
  <c r="G17" i="74"/>
  <c r="H17" i="74" s="1"/>
  <c r="G10" i="74"/>
  <c r="H10" i="74" s="1"/>
  <c r="G18" i="74"/>
  <c r="H18" i="74" s="1"/>
  <c r="G13" i="74"/>
  <c r="H13" i="74" s="1"/>
  <c r="V21" i="64"/>
  <c r="G11" i="74"/>
  <c r="H11" i="74" s="1"/>
  <c r="G19" i="74"/>
  <c r="H19" i="74" s="1"/>
  <c r="S22" i="35"/>
  <c r="H24" i="36" l="1"/>
  <c r="H25" i="36" s="1"/>
  <c r="G25" i="36"/>
  <c r="I25" i="36"/>
  <c r="C14" i="69"/>
  <c r="B2" i="69"/>
  <c r="B2" i="77"/>
  <c r="C46" i="28"/>
  <c r="C15" i="28"/>
  <c r="C7" i="79" s="1"/>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9" s="1"/>
  <c r="G7" i="75"/>
  <c r="F7" i="75"/>
  <c r="D7" i="75"/>
  <c r="C7" i="75"/>
  <c r="E7" i="75" s="1"/>
  <c r="D14" i="74" s="1"/>
  <c r="B2" i="75"/>
  <c r="B2" i="53"/>
  <c r="G14" i="62"/>
  <c r="F14" i="62"/>
  <c r="D14" i="62"/>
  <c r="C14" i="62"/>
  <c r="B2" i="62"/>
  <c r="E40" i="75" l="1"/>
  <c r="E22" i="75"/>
  <c r="H7" i="75"/>
  <c r="H40" i="75"/>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E8" i="62"/>
  <c r="E9" i="62"/>
  <c r="E10" i="62"/>
  <c r="E11" i="62"/>
  <c r="E12" i="62"/>
  <c r="E13" i="62"/>
  <c r="E14" i="62"/>
  <c r="C15" i="72" s="1"/>
  <c r="E15" i="72" s="1"/>
  <c r="E15" i="62"/>
  <c r="E16" i="62"/>
  <c r="E17" i="62"/>
  <c r="E18" i="62"/>
  <c r="E19" i="62"/>
  <c r="E20" i="62"/>
  <c r="E7" i="62"/>
  <c r="C37" i="69" l="1"/>
  <c r="C6" i="28"/>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<sst xmlns="http://schemas.openxmlformats.org/spreadsheetml/2006/main" count="1594" uniqueCount="1035">
  <si>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</si>
  <si>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</si>
  <si>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</si>
  <si>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</si>
  <si>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</si>
  <si>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</si>
  <si>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</si>
  <si>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</si>
  <si>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</si>
  <si>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</si>
  <si>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</si>
  <si>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</si>
  <si>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</si>
  <si>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</si>
  <si>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</si>
  <si>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</si>
  <si>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</si>
  <si>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</si>
  <si>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</si>
  <si>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</si>
  <si>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</si>
  <si>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</si>
  <si>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</si>
  <si>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</si>
  <si>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</si>
  <si>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</si>
  <si>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</si>
  <si>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</si>
  <si>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</si>
  <si>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</si>
  <si>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</si>
  <si>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</si>
  <si>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</si>
  <si>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</si>
  <si>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</si>
  <si>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</si>
  <si>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</si>
  <si>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</si>
  <si>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</si>
  <si>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</si>
  <si>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</si>
  <si>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</si>
  <si>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</si>
  <si>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</si>
  <si>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</si>
  <si>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</si>
  <si>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</si>
  <si>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</si>
  <si>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</si>
  <si>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</si>
  <si>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</si>
  <si>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</si>
  <si>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</si>
  <si>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</si>
  <si>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</si>
  <si>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</si>
  <si>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</si>
  <si>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</si>
  <si>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</si>
  <si>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</si>
  <si>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</si>
  <si>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</si>
  <si>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</si>
  <si>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</si>
  <si>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</si>
  <si>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</si>
  <si>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</si>
  <si>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</si>
  <si>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</si>
  <si>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</si>
  <si>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</si>
  <si>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</si>
  <si>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</si>
  <si>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</si>
  <si>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</si>
  <si>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</si>
  <si>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</si>
  <si>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</si>
  <si>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</si>
  <si>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</si>
  <si>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</si>
  <si>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</si>
  <si>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</si>
  <si>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</si>
  <si>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</si>
  <si>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</si>
  <si>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</si>
  <si>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</si>
  <si>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</si>
  <si>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</si>
  <si>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</si>
  <si>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</si>
  <si>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</si>
  <si>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</si>
  <si>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</si>
  <si>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</si>
  <si>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</si>
  <si>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</si>
  <si>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</si>
  <si>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</si>
  <si>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</si>
  <si>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</si>
  <si>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</si>
  <si>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</si>
  <si>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</si>
  <si>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</si>
  <si>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</si>
  <si>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</si>
  <si>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</si>
  <si>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</si>
  <si>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</si>
  <si>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</si>
  <si>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</si>
  <si>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</si>
  <si>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</si>
  <si>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</si>
  <si>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</si>
  <si>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</si>
  <si>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</si>
  <si>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</si>
  <si>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</si>
  <si>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</si>
  <si>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</si>
  <si>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</si>
  <si>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</si>
  <si>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</si>
  <si>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</si>
  <si>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</si>
  <si>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</si>
  <si>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</si>
  <si>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</si>
  <si>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</si>
  <si>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</si>
  <si>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</si>
  <si>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</si>
  <si>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</si>
  <si>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</si>
  <si>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</si>
  <si>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</si>
  <si>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</si>
  <si>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</si>
  <si>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</si>
  <si>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</si>
  <si>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</si>
  <si>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</si>
  <si>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</si>
  <si>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</si>
  <si>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</si>
  <si>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</si>
  <si>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</si>
  <si>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</si>
  <si>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</si>
  <si>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</si>
  <si>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</si>
  <si>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</si>
  <si>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</si>
  <si>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</si>
  <si>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</si>
  <si>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</si>
  <si>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</si>
  <si>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</si>
  <si>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</si>
  <si>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</si>
  <si>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</si>
  <si>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</si>
  <si>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</si>
  <si>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</si>
  <si>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</si>
  <si>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</si>
  <si>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</si>
  <si>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</si>
  <si>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</si>
  <si>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</si>
  <si>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</si>
  <si>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</si>
  <si>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</si>
  <si>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</si>
  <si>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</si>
  <si>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</si>
  <si>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</si>
  <si>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</si>
  <si>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</si>
  <si>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</si>
  <si>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</si>
  <si>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</si>
  <si>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</si>
  <si>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</si>
  <si>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</si>
  <si>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</si>
  <si>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</si>
  <si>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</si>
  <si>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</si>
  <si>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</si>
  <si>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</si>
  <si>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</si>
  <si>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</si>
  <si>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</si>
  <si>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</si>
  <si>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</si>
  <si>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</si>
  <si>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</si>
  <si>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</si>
  <si>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</si>
  <si>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</si>
  <si>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</si>
  <si>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</si>
  <si>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</si>
  <si>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</si>
  <si>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</si>
  <si>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</si>
  <si>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</si>
  <si>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</si>
  <si>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</si>
  <si>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</si>
  <si>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</si>
  <si>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</si>
  <si>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</si>
  <si>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</si>
  <si>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</si>
  <si>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</si>
  <si>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</si>
  <si>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</si>
  <si>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</si>
  <si>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</si>
  <si>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</si>
  <si>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</si>
  <si>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</si>
  <si>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</si>
  <si>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</si>
  <si>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</si>
  <si>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</si>
  <si>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</si>
  <si>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</si>
  <si>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</si>
  <si>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</si>
  <si>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</si>
  <si>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</si>
  <si>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</si>
  <si>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</si>
  <si>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</si>
  <si>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</si>
  <si>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</si>
  <si>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</si>
  <si>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</si>
  <si>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</si>
  <si>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</si>
  <si>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</si>
  <si>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</si>
  <si>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</si>
  <si>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</si>
  <si>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</si>
  <si>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</si>
  <si>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</si>
  <si>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</si>
  <si>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</si>
  <si>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</si>
  <si>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</si>
  <si>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</si>
  <si>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</si>
  <si>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</si>
  <si>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</si>
  <si>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</si>
  <si>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</si>
  <si>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</si>
  <si>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</si>
  <si>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</si>
  <si>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</si>
  <si>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</si>
  <si>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</si>
  <si>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</si>
  <si>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</si>
  <si>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</si>
  <si>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</si>
  <si>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</si>
  <si>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</si>
  <si>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</si>
  <si>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</si>
  <si>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</si>
  <si>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</si>
  <si>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</si>
  <si>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</si>
  <si>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</si>
  <si>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</si>
  <si>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</si>
  <si>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</si>
  <si>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</si>
  <si>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</si>
  <si>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</si>
  <si>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</si>
  <si>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</si>
  <si>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</si>
  <si>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</si>
  <si>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</si>
  <si>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</si>
  <si>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</si>
  <si>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</si>
  <si>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</si>
  <si>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</si>
  <si>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</si>
  <si>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</si>
  <si>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</si>
  <si>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</si>
  <si>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</si>
  <si>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</si>
  <si>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</si>
  <si>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</si>
  <si>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</si>
  <si>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</si>
  <si>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</si>
  <si>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</si>
  <si>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</si>
  <si>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</si>
  <si>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</si>
  <si>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</si>
  <si>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</si>
  <si>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</si>
  <si>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</si>
  <si>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</si>
  <si>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</si>
  <si>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</si>
  <si>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</si>
  <si>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</si>
  <si>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</si>
  <si>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</si>
  <si>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</si>
  <si>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</si>
  <si>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</si>
  <si>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</si>
  <si>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</si>
  <si>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</si>
  <si>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</si>
  <si>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</si>
  <si>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</si>
  <si>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</si>
  <si>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</si>
  <si>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</si>
  <si>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</si>
  <si>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</si>
  <si>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</si>
  <si>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</si>
  <si>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</si>
  <si>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</si>
  <si>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</si>
  <si>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</si>
  <si>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</si>
  <si>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</si>
  <si>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</si>
  <si>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</si>
  <si>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</si>
  <si>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</si>
  <si>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</si>
  <si>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</si>
  <si>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</si>
  <si>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</si>
  <si>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</si>
  <si>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</si>
  <si>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</si>
  <si>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</si>
  <si>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</si>
  <si>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</si>
  <si>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</si>
  <si>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</si>
  <si>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</si>
  <si>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</si>
  <si>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</si>
  <si>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</si>
  <si>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</si>
  <si>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</si>
  <si>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</si>
  <si>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</si>
  <si>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</si>
  <si>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</si>
  <si>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</si>
  <si>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</si>
  <si>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</si>
  <si>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</si>
  <si>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</si>
  <si>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</si>
  <si>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</si>
  <si>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</si>
  <si>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</si>
  <si>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</si>
  <si>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</si>
  <si>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</si>
  <si>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</si>
  <si>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</si>
  <si>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</si>
  <si>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</si>
  <si>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</si>
  <si>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</si>
  <si>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</si>
  <si>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</si>
  <si>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</si>
  <si>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</si>
  <si>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</si>
  <si>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</si>
  <si>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</si>
  <si>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</si>
  <si>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</si>
  <si>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</si>
  <si>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</si>
  <si>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</si>
  <si>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</si>
  <si>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</si>
  <si>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</si>
  <si>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</si>
  <si>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</si>
  <si>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</si>
  <si>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</si>
  <si>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</si>
  <si>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</si>
  <si>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</si>
  <si>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</si>
  <si>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</si>
  <si>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</si>
  <si>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</si>
  <si>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</si>
  <si>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</si>
  <si>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</si>
  <si>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</si>
  <si>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</si>
  <si>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</si>
  <si>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</si>
  <si>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</si>
  <si>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</si>
  <si>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</si>
  <si>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</si>
  <si>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</si>
  <si>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</si>
  <si>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</si>
  <si>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</si>
  <si>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</si>
  <si>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</si>
  <si>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</si>
  <si>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</si>
  <si>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</si>
  <si>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</si>
  <si>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</si>
  <si>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</si>
  <si>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</si>
  <si>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</si>
  <si>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</si>
  <si>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</si>
  <si>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</si>
  <si>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</si>
  <si>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</si>
  <si>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</si>
  <si>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</si>
  <si>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</si>
  <si>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</si>
  <si>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</si>
  <si>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</si>
  <si>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</si>
  <si>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</si>
  <si>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</si>
  <si>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</si>
  <si>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</si>
  <si>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</si>
  <si>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</si>
  <si>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</si>
  <si>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</si>
  <si>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</si>
  <si>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</si>
  <si>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</si>
  <si>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</si>
  <si>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</si>
  <si>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</si>
  <si>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</si>
  <si>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</si>
  <si>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</si>
  <si>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</si>
  <si>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</si>
  <si>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</si>
  <si>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</si>
  <si>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</si>
  <si>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</si>
  <si>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</si>
  <si>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</si>
  <si>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</si>
  <si>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</si>
  <si>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</si>
  <si>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</si>
  <si>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</si>
  <si>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</si>
  <si>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</si>
  <si>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</si>
  <si>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</si>
  <si>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</si>
  <si>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</si>
  <si>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</si>
  <si>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</si>
  <si>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</si>
  <si>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</si>
  <si>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</si>
  <si>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</si>
  <si>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</si>
  <si>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</si>
  <si>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</si>
  <si>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</si>
  <si>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</si>
  <si>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</si>
  <si>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</si>
  <si>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</si>
  <si>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</si>
  <si>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</si>
  <si>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</si>
  <si>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</si>
  <si>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</si>
  <si>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</si>
  <si>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</si>
  <si>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</si>
  <si>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</si>
  <si>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</si>
  <si>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</si>
  <si>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</si>
  <si>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</si>
  <si>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</si>
  <si>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</si>
  <si>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</si>
  <si>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</si>
  <si>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</si>
  <si>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</si>
  <si>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</si>
  <si>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</si>
  <si>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</si>
  <si>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</si>
  <si>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</si>
  <si>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</si>
  <si>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</si>
  <si>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</si>
  <si>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</si>
  <si>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</si>
  <si>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</si>
  <si>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</si>
  <si>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</si>
  <si>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</si>
  <si>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</si>
  <si>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</si>
  <si>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</si>
  <si>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</si>
  <si>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</si>
  <si>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</si>
  <si>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</si>
  <si>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</si>
  <si>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</si>
  <si>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</si>
  <si>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</si>
  <si>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</si>
  <si>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</si>
  <si>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</si>
  <si>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</si>
  <si>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</si>
  <si>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</si>
  <si>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</si>
  <si>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</si>
  <si>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</si>
  <si>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</si>
  <si>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</si>
  <si>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</si>
  <si>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</si>
  <si>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</si>
  <si>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</si>
  <si>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</si>
  <si>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</si>
  <si>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</si>
  <si>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</si>
  <si>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</si>
  <si>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</si>
  <si>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</si>
  <si>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</si>
  <si>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</si>
  <si>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</si>
  <si>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</si>
  <si>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</si>
  <si>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</si>
  <si>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</si>
  <si>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</si>
  <si>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</si>
  <si>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</si>
  <si>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</si>
  <si>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</si>
  <si>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</si>
  <si>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</si>
  <si>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</si>
  <si>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</si>
  <si>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</si>
  <si>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</si>
  <si>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</si>
  <si>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</si>
  <si>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</si>
  <si>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</si>
  <si>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</si>
  <si>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</si>
  <si>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</si>
  <si>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</si>
  <si>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</si>
  <si>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</si>
  <si>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</si>
  <si>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</si>
  <si>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</si>
  <si>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</si>
  <si>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</si>
  <si>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</si>
  <si>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</si>
  <si>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</si>
  <si>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</si>
  <si>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</si>
  <si>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</si>
  <si>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</si>
  <si>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</si>
  <si>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</si>
  <si>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</si>
  <si>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</si>
  <si>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</si>
  <si>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</si>
  <si>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</si>
  <si>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</si>
  <si>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</si>
  <si>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</si>
  <si>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</si>
  <si>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</si>
  <si>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</si>
  <si>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</si>
  <si>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</si>
  <si>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</si>
  <si>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</si>
  <si>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</si>
  <si>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</si>
  <si>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</si>
  <si>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</si>
  <si>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</si>
  <si>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</si>
  <si>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</si>
  <si>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</si>
  <si>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</si>
  <si>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</si>
  <si>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</si>
  <si>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</si>
  <si>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</si>
  <si>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</si>
  <si>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</si>
  <si>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</si>
  <si>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</si>
  <si>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</si>
  <si>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</si>
  <si>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</si>
  <si>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</si>
  <si>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</si>
  <si>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</si>
  <si>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</si>
  <si>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</si>
  <si>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</si>
  <si>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</si>
  <si>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</si>
  <si>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</si>
  <si>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</si>
  <si>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</si>
  <si>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</si>
  <si>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</si>
  <si>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</si>
  <si>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</si>
  <si>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</si>
  <si>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</si>
  <si>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</si>
  <si>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</si>
  <si>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</si>
  <si>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</si>
  <si>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</si>
  <si>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</si>
  <si>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</si>
  <si>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</si>
  <si>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</si>
  <si>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</si>
  <si>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</si>
  <si>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</si>
  <si>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</si>
  <si>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</si>
  <si>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</si>
  <si>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</si>
  <si>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</si>
  <si>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</si>
  <si>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</si>
  <si>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</si>
  <si>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</si>
  <si>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</si>
  <si>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</si>
  <si>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</si>
  <si>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</si>
  <si>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</si>
  <si>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</si>
  <si>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</si>
  <si>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</si>
  <si>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</si>
  <si>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</si>
  <si>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</si>
  <si>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</si>
  <si>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</si>
  <si>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</si>
  <si>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</si>
  <si>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</si>
  <si>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</si>
  <si>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</si>
  <si>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</si>
  <si>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</si>
  <si>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</si>
  <si>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</si>
  <si>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</si>
  <si>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</si>
  <si>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</si>
  <si>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</si>
  <si>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</si>
  <si>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</si>
  <si>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</si>
  <si>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</si>
  <si>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</si>
  <si>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</si>
  <si>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</si>
  <si>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</si>
  <si>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</si>
  <si>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</si>
  <si>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</si>
  <si>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</si>
  <si>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</si>
  <si>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</si>
  <si>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</si>
  <si>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</si>
  <si>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</si>
  <si>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</si>
  <si>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</si>
  <si>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</si>
  <si>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</si>
  <si>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</si>
  <si>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</si>
  <si>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</si>
  <si>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</si>
  <si>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</si>
  <si>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</si>
  <si>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</si>
  <si>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</si>
  <si>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</si>
  <si>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</si>
  <si>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</si>
  <si>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</si>
  <si>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</si>
  <si>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</si>
  <si>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</si>
  <si>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</si>
  <si>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</si>
  <si>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</si>
  <si>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</si>
  <si>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</si>
  <si>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</si>
  <si>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</si>
  <si>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</si>
  <si>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</si>
  <si>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</si>
  <si>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</si>
  <si>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</si>
  <si>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</si>
  <si>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</si>
  <si>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</si>
  <si>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</si>
  <si>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</si>
  <si>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</si>
  <si>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</si>
  <si>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</si>
  <si>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</si>
  <si>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</si>
  <si>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</si>
  <si>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</si>
  <si>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</si>
  <si>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</si>
  <si>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</si>
  <si>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</si>
  <si>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</si>
  <si>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</si>
  <si>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</si>
  <si>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</si>
  <si>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</si>
  <si>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</si>
  <si>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</si>
  <si>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</si>
  <si>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</si>
  <si>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</si>
  <si>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</si>
  <si>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</si>
  <si>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</si>
  <si>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</si>
  <si>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</si>
  <si>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</si>
  <si>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</si>
  <si>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</si>
  <si>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</si>
  <si>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</si>
  <si>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</si>
  <si>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</si>
  <si>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</si>
  <si>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</si>
  <si>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</si>
  <si>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</si>
  <si>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</si>
  <si>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</si>
  <si>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</si>
  <si>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</si>
  <si>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</si>
  <si>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</si>
  <si>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</si>
  <si>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</si>
  <si>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</si>
  <si>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</si>
  <si>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</si>
  <si>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</si>
  <si>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</si>
  <si>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</si>
  <si>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</si>
  <si>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</si>
  <si>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</si>
  <si>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</si>
  <si>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</si>
  <si>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</si>
  <si>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</si>
  <si>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</si>
  <si>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</si>
  <si>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</si>
  <si>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</si>
  <si>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</si>
  <si>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</si>
  <si>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</si>
  <si>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</si>
  <si>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</si>
  <si>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</si>
  <si>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</si>
  <si>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</si>
  <si>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</si>
  <si>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</si>
  <si>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</si>
  <si>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</si>
  <si>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</si>
  <si>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</si>
  <si>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</si>
  <si>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</si>
  <si>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</si>
  <si>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</si>
  <si>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</si>
  <si>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</si>
  <si>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</si>
  <si>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</si>
  <si>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</si>
  <si>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</si>
  <si>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</si>
  <si>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</si>
  <si>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</si>
  <si>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</si>
  <si>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</si>
  <si>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</si>
  <si>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</si>
  <si>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</si>
  <si>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</si>
  <si>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</si>
  <si>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</si>
  <si>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</si>
  <si>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</si>
  <si>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</si>
  <si>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</si>
  <si>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</si>
  <si>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</si>
  <si>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</si>
  <si>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</si>
  <si>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</si>
  <si>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</si>
  <si>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</si>
  <si>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</si>
  <si>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</si>
  <si>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</si>
  <si>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</si>
  <si>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</si>
  <si>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</si>
  <si>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</si>
  <si>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</si>
  <si>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</si>
  <si>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</si>
  <si>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</si>
  <si>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</si>
  <si>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</si>
  <si>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</si>
  <si>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</si>
  <si>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</si>
  <si>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</si>
  <si>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</si>
  <si>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</si>
  <si>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</si>
  <si>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</si>
  <si>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</si>
  <si>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</si>
  <si>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</si>
  <si>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</si>
  <si>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</si>
  <si>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</si>
  <si>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</si>
  <si>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</si>
  <si>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</si>
  <si>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</si>
  <si>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</si>
  <si>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</si>
  <si>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</si>
  <si>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</si>
  <si>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</si>
  <si>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</si>
  <si>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</si>
  <si>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</si>
  <si>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</si>
  <si>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</si>
  <si>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</si>
  <si>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</si>
  <si>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</si>
  <si>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</si>
  <si>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</si>
  <si>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</si>
  <si>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</si>
  <si>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</si>
  <si>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</si>
  <si>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</si>
  <si>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</si>
  <si>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</si>
  <si>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</si>
  <si>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</si>
  <si>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</si>
  <si>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</si>
  <si>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</si>
  <si>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</si>
  <si>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</si>
  <si>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</si>
  <si>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</si>
  <si>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</si>
  <si>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</si>
  <si>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</si>
  <si>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</si>
  <si>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</si>
  <si>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</si>
  <si>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</si>
  <si>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</si>
  <si>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</si>
  <si>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</si>
  <si>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</si>
  <si>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</si>
  <si>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</si>
  <si>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</si>
  <si>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</si>
  <si>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</si>
  <si>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</si>
  <si>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</si>
  <si>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</si>
  <si>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</si>
  <si>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</si>
  <si>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</si>
  <si>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გურსოი</t>
  </si>
  <si>
    <t>ოზან გური</t>
  </si>
  <si>
    <t>www.isbank.ge</t>
  </si>
  <si>
    <t>იავუზ ერგინ</t>
  </si>
  <si>
    <t>ნათია ჯანელიძე</t>
  </si>
  <si>
    <t>ჰუსეინ სერდარ იუჯელ</t>
  </si>
  <si>
    <t>ბანუ ალთუნ</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</si>
  <si>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</si>
  <si>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</si>
  <si>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</si>
  <si>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</si>
  <si>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</si>
  <si>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</si>
  <si>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</si>
  <si>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</si>
  <si>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</si>
  <si>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</si>
  <si>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</si>
  <si>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</si>
  <si>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</si>
  <si>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</si>
  <si>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</si>
  <si>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</si>
  <si>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</si>
  <si>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</si>
  <si>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</si>
  <si>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</si>
  <si>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</si>
  <si>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</si>
  <si>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</si>
  <si>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</si>
  <si>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</si>
  <si>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</si>
  <si>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</si>
  <si>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</si>
  <si>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</si>
  <si>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</si>
  <si>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</si>
  <si>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</si>
  <si>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</si>
  <si>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</si>
  <si>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</si>
  <si>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</si>
  <si>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</si>
  <si>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</si>
  <si>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</si>
  <si>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</si>
  <si>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</si>
  <si>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</si>
  <si>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</si>
  <si>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</si>
  <si>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</si>
  <si>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</si>
  <si>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</si>
  <si>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</si>
  <si>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</si>
  <si>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</si>
  <si>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</si>
  <si>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</si>
  <si>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</si>
  <si>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</si>
  <si>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</si>
  <si>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</si>
  <si>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</si>
  <si>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</si>
  <si>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</si>
  <si>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</si>
  <si>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</si>
  <si>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</si>
  <si>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</si>
  <si>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</si>
  <si>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</si>
  <si>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</si>
  <si>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</si>
  <si>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</si>
  <si>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</si>
  <si>
    <t>გურლერ ოზქოქ</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</si>
  <si>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</si>
  <si>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ვასილ აფხაზავა</t>
  </si>
  <si>
    <t>რისკების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</si>
</sst>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106" xfId="0" applyFont="1" applyFill="1" applyBorder="1" applyAlignment="1">
      <alignment horizontal="center" vertical="center" wrapText="1"/>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5" fillId="0" borderId="107" xfId="0" applyFont="1" applyFill="1" applyBorder="1" applyAlignment="1">
      <alignment horizontal="left" vertical="top"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0" fontId="104" fillId="0" borderId="106" xfId="0" applyFont="1" applyFill="1" applyBorder="1" applyAlignment="1">
      <alignment horizontal="center" vertical="center"/>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64" t="s">
        <v>254</v>
      </c>
      <c r="C1" s="76"/>
    </row>
    <row r="2" spans="1:3" s="161" customFormat="1" ht="15.75">
      <c r="A2" s="210">
        <v>1</v>
      </c>
      <c r="B2" s="162" t="s">
        <v>255</v>
      </c>
      <c r="C2" s="525" t="s">
        <v>954</v>
      </c>
    </row>
    <row r="3" spans="1:3" s="161" customFormat="1" ht="15.75">
      <c r="A3" s="210">
        <v>2</v>
      </c>
      <c r="B3" s="163" t="s">
        <v>256</v>
      </c>
      <c r="C3" s="525" t="s">
        <v>955</v>
      </c>
    </row>
    <row r="4" spans="1:3" s="161" customFormat="1" ht="15.75">
      <c r="A4" s="210">
        <v>3</v>
      </c>
      <c r="B4" s="163" t="s">
        <v>257</v>
      </c>
      <c r="C4" s="525" t="s">
        <v>956</v>
      </c>
    </row>
    <row r="5" spans="1:3" s="161" customFormat="1" ht="15.75">
      <c r="A5" s="211">
        <v>4</v>
      </c>
      <c r="B5" s="166" t="s">
        <v>258</v>
      </c>
      <c r="C5" s="526" t="s">
        <v>957</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623</v>
      </c>
    </row>
    <row r="26" spans="1:2">
      <c r="A26" s="312">
        <v>17</v>
      </c>
      <c r="B26" s="303" t="s">
        <v>934</v>
      </c>
    </row>
    <row r="27" spans="1:2">
      <c r="A27" s="312">
        <v>18</v>
      </c>
      <c r="B27" s="303" t="s">
        <v>935</v>
      </c>
    </row>
    <row r="28" spans="1:2">
      <c r="A28" s="312">
        <v>19</v>
      </c>
      <c r="B28" s="303" t="s">
        <v>936</v>
      </c>
    </row>
    <row r="29" spans="1:2">
      <c r="A29" s="312">
        <v>20</v>
      </c>
      <c r="B29" s="311" t="s">
        <v>722</v>
      </c>
    </row>
    <row r="30" spans="1:2">
      <c r="A30" s="312">
        <v>21</v>
      </c>
      <c r="B30" s="303" t="s">
        <v>740</v>
      </c>
    </row>
    <row r="31" spans="1:2">
      <c r="A31" s="312">
        <v>22</v>
      </c>
      <c r="B31" s="509" t="s">
        <v>757</v>
      </c>
    </row>
    <row r="32" spans="1:2" ht="26.25">
      <c r="A32" s="312">
        <v>23</v>
      </c>
      <c r="B32" s="509" t="s">
        <v>937</v>
      </c>
    </row>
    <row r="33" spans="1:2">
      <c r="A33" s="312">
        <v>24</v>
      </c>
      <c r="B33" s="303" t="s">
        <v>938</v>
      </c>
    </row>
    <row r="34" spans="1:2">
      <c r="A34" s="312">
        <v>25</v>
      </c>
      <c r="B34" s="303" t="s">
        <v>939</v>
      </c>
    </row>
    <row r="35" spans="1:2">
      <c r="A35" s="307">
        <v>26</v>
      </c>
      <c r="B35" s="311" t="s">
        <v>1030</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954</v>
      </c>
      <c r="D1" s="2"/>
      <c r="E1" s="2"/>
      <c r="F1" s="2"/>
    </row>
    <row r="2" spans="1:6" s="22" customFormat="1" ht="15.75" customHeight="1">
      <c r="A2" s="527" t="s">
        <v>189</v>
      </c>
      <c r="B2" s="529">
        <f>'1. key ratios'!B2</f>
        <v>44651</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99012251.396013558</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29850651.396013558</v>
      </c>
    </row>
    <row r="12" spans="1:6" s="4" customFormat="1">
      <c r="A12" s="116">
        <v>7</v>
      </c>
      <c r="B12" s="65" t="s">
        <v>34</v>
      </c>
      <c r="C12" s="647">
        <f>SUM(C13:C27)</f>
        <v>184969.45999999996</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184969.45999999996</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98827281.936013564</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5062404.5406600898</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5062404.5406600898</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5062404.5406600898</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954</v>
      </c>
    </row>
    <row r="2" spans="1:4" s="22" customFormat="1" ht="15.75" customHeight="1">
      <c r="A2" s="527" t="s">
        <v>189</v>
      </c>
      <c r="B2" s="529">
        <f>'1. key ratios'!B2</f>
        <v>44651</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19889977.261834394</v>
      </c>
    </row>
    <row r="8" spans="1:4" s="296" customFormat="1">
      <c r="A8" s="289" t="s">
        <v>534</v>
      </c>
      <c r="B8" s="290" t="s">
        <v>535</v>
      </c>
      <c r="C8" s="342">
        <v>0.06</v>
      </c>
      <c r="D8" s="651">
        <f>C8*'5. RWA'!$C$13</f>
        <v>26519969.682445861</v>
      </c>
    </row>
    <row r="9" spans="1:4" s="296" customFormat="1">
      <c r="A9" s="289" t="s">
        <v>536</v>
      </c>
      <c r="B9" s="290" t="s">
        <v>537</v>
      </c>
      <c r="C9" s="342">
        <v>0.08</v>
      </c>
      <c r="D9" s="651">
        <f>C9*'5. RWA'!$C$13</f>
        <v>35359959.576594479</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3.9222816792731818E-2</v>
      </c>
      <c r="D15" s="652">
        <f>C15*'5. RWA'!$C$13</f>
        <v>17336465.203389604</v>
      </c>
    </row>
    <row r="16" spans="1:4" s="296" customFormat="1">
      <c r="A16" s="304" t="s">
        <v>549</v>
      </c>
      <c r="B16" s="292" t="s">
        <v>551</v>
      </c>
      <c r="C16" s="344">
        <v>5.2320630391595895E-2</v>
      </c>
      <c r="D16" s="652">
        <f>C16*'5. RWA'!$C$13</f>
        <v>23125692.195859645</v>
      </c>
    </row>
    <row r="17" spans="1:6" s="296" customFormat="1">
      <c r="A17" s="304" t="s">
        <v>550</v>
      </c>
      <c r="B17" s="292" t="s">
        <v>598</v>
      </c>
      <c r="C17" s="655">
        <v>8.5435450556149414E-2</v>
      </c>
      <c r="D17" s="652">
        <f>C17*'5. RWA'!$C$13</f>
        <v>37762425.975919746</v>
      </c>
    </row>
    <row r="18" spans="1:6" s="295" customFormat="1">
      <c r="A18" s="791" t="s">
        <v>599</v>
      </c>
      <c r="B18" s="792"/>
      <c r="C18" s="346" t="s">
        <v>529</v>
      </c>
      <c r="D18" s="340" t="s">
        <v>530</v>
      </c>
    </row>
    <row r="19" spans="1:6" s="296" customFormat="1">
      <c r="A19" s="293">
        <v>4</v>
      </c>
      <c r="B19" s="292" t="s">
        <v>23</v>
      </c>
      <c r="C19" s="344">
        <f>C7+C11+C12+C13+C15</f>
        <v>8.4222816792731817E-2</v>
      </c>
      <c r="D19" s="651">
        <f>C19*'5. RWA'!$C$13</f>
        <v>37226442.465223998</v>
      </c>
    </row>
    <row r="20" spans="1:6" s="296" customFormat="1">
      <c r="A20" s="293">
        <v>5</v>
      </c>
      <c r="B20" s="292" t="s">
        <v>89</v>
      </c>
      <c r="C20" s="344">
        <f>C8+C11+C12+C13+C16</f>
        <v>0.1123206303915959</v>
      </c>
      <c r="D20" s="651">
        <f>C20*'5. RWA'!$C$13</f>
        <v>49645661.87830551</v>
      </c>
    </row>
    <row r="21" spans="1:6" s="296" customFormat="1" ht="13.5" thickBot="1">
      <c r="A21" s="298" t="s">
        <v>546</v>
      </c>
      <c r="B21" s="299" t="s">
        <v>88</v>
      </c>
      <c r="C21" s="347">
        <f>C9+C11+C12+C13+C17</f>
        <v>0.16543545055614942</v>
      </c>
      <c r="D21" s="654">
        <f>C21*'5. RWA'!$C$13</f>
        <v>73122385.552514225</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954</v>
      </c>
      <c r="E1" s="2"/>
      <c r="F1" s="2"/>
    </row>
    <row r="2" spans="1:6" s="22" customFormat="1" ht="15.75" customHeight="1">
      <c r="A2" s="527" t="s">
        <v>189</v>
      </c>
      <c r="B2" s="529">
        <f>'1. key ratios'!B2</f>
        <v>44651</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2652323.5300000003</v>
      </c>
      <c r="D6" s="122"/>
      <c r="E6" s="8"/>
    </row>
    <row r="7" spans="1:6">
      <c r="A7" s="121">
        <v>2</v>
      </c>
      <c r="B7" s="69" t="s">
        <v>155</v>
      </c>
      <c r="C7" s="214">
        <f>'2. RC'!E8</f>
        <v>41491164.82</v>
      </c>
      <c r="D7" s="123"/>
      <c r="E7" s="8"/>
    </row>
    <row r="8" spans="1:6">
      <c r="A8" s="121">
        <v>3</v>
      </c>
      <c r="B8" s="69" t="s">
        <v>156</v>
      </c>
      <c r="C8" s="214">
        <f>'2. RC'!E9</f>
        <v>45463858.977926008</v>
      </c>
      <c r="D8" s="123"/>
      <c r="E8" s="8"/>
    </row>
    <row r="9" spans="1:6">
      <c r="A9" s="121">
        <v>4</v>
      </c>
      <c r="B9" s="69" t="s">
        <v>185</v>
      </c>
      <c r="C9" s="214">
        <f>'2. RC'!E10</f>
        <v>0</v>
      </c>
      <c r="D9" s="123"/>
      <c r="E9" s="8"/>
    </row>
    <row r="10" spans="1:6">
      <c r="A10" s="121">
        <v>5</v>
      </c>
      <c r="B10" s="69" t="s">
        <v>157</v>
      </c>
      <c r="C10" s="214">
        <f>'2. RC'!E11</f>
        <v>48942873.172849692</v>
      </c>
      <c r="D10" s="123"/>
      <c r="E10" s="8"/>
    </row>
    <row r="11" spans="1:6">
      <c r="A11" s="121">
        <v>6.1</v>
      </c>
      <c r="B11" s="69" t="s">
        <v>158</v>
      </c>
      <c r="C11" s="214">
        <f>'2. RC'!E12</f>
        <v>245105134.35000002</v>
      </c>
      <c r="D11" s="124"/>
      <c r="E11" s="9"/>
    </row>
    <row r="12" spans="1:6">
      <c r="A12" s="121">
        <v>6.2</v>
      </c>
      <c r="B12" s="70" t="s">
        <v>159</v>
      </c>
      <c r="C12" s="214">
        <f>'2. RC'!E13</f>
        <v>-9329300.928199999</v>
      </c>
      <c r="D12" s="124"/>
      <c r="E12" s="9"/>
    </row>
    <row r="13" spans="1:6">
      <c r="A13" s="121" t="s">
        <v>487</v>
      </c>
      <c r="B13" s="71" t="s">
        <v>488</v>
      </c>
      <c r="C13" s="216">
        <v>-4392932.4881999996</v>
      </c>
      <c r="D13" s="124"/>
      <c r="E13" s="9"/>
    </row>
    <row r="14" spans="1:6">
      <c r="A14" s="121" t="s">
        <v>621</v>
      </c>
      <c r="B14" s="71" t="s">
        <v>610</v>
      </c>
      <c r="C14" s="216">
        <f>-'8. LI2'!C12</f>
        <v>0</v>
      </c>
      <c r="D14" s="124"/>
      <c r="E14" s="9"/>
    </row>
    <row r="15" spans="1:6">
      <c r="A15" s="121">
        <v>6</v>
      </c>
      <c r="B15" s="69" t="s">
        <v>160</v>
      </c>
      <c r="C15" s="657">
        <f>C11+C12</f>
        <v>235775833.42180002</v>
      </c>
      <c r="D15" s="124"/>
      <c r="E15" s="8"/>
    </row>
    <row r="16" spans="1:6">
      <c r="A16" s="121">
        <v>7</v>
      </c>
      <c r="B16" s="69" t="s">
        <v>161</v>
      </c>
      <c r="C16" s="215">
        <f>'2. RC'!E15</f>
        <v>2369380.6785340011</v>
      </c>
      <c r="D16" s="123"/>
      <c r="E16" s="8"/>
    </row>
    <row r="17" spans="1:5">
      <c r="A17" s="121">
        <v>8</v>
      </c>
      <c r="B17" s="69" t="s">
        <v>162</v>
      </c>
      <c r="C17" s="215">
        <f>'2. RC'!E16</f>
        <v>735525.39</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7657278.6099999994</v>
      </c>
      <c r="D22" s="123"/>
      <c r="E22" s="8"/>
    </row>
    <row r="23" spans="1:5">
      <c r="A23" s="121">
        <v>10.1</v>
      </c>
      <c r="B23" s="71" t="s">
        <v>234</v>
      </c>
      <c r="C23" s="658">
        <f>'9. Capital'!C15</f>
        <v>184969.45999999996</v>
      </c>
      <c r="D23" s="212" t="s">
        <v>440</v>
      </c>
      <c r="E23" s="8"/>
    </row>
    <row r="24" spans="1:5">
      <c r="A24" s="121">
        <v>11</v>
      </c>
      <c r="B24" s="72" t="s">
        <v>165</v>
      </c>
      <c r="C24" s="215">
        <f>'2. RC'!E19</f>
        <v>3126089.8444901491</v>
      </c>
      <c r="D24" s="125"/>
      <c r="E24" s="8"/>
    </row>
    <row r="25" spans="1:5">
      <c r="A25" s="121">
        <v>12</v>
      </c>
      <c r="B25" s="74" t="s">
        <v>166</v>
      </c>
      <c r="C25" s="218">
        <f>SUM(C6:C10,C15:C18,C22,C24)</f>
        <v>388214328.44559991</v>
      </c>
      <c r="D25" s="126"/>
      <c r="E25" s="7"/>
    </row>
    <row r="26" spans="1:5">
      <c r="A26" s="121">
        <v>13</v>
      </c>
      <c r="B26" s="69" t="s">
        <v>167</v>
      </c>
      <c r="C26" s="219">
        <f>'2. RC'!E22</f>
        <v>102513096.02</v>
      </c>
      <c r="D26" s="127"/>
      <c r="E26" s="8"/>
    </row>
    <row r="27" spans="1:5">
      <c r="A27" s="121">
        <v>14</v>
      </c>
      <c r="B27" s="69" t="s">
        <v>168</v>
      </c>
      <c r="C27" s="219">
        <f>'2. RC'!E23</f>
        <v>66840345.290000021</v>
      </c>
      <c r="D27" s="123"/>
      <c r="E27" s="8"/>
    </row>
    <row r="28" spans="1:5">
      <c r="A28" s="121">
        <v>15</v>
      </c>
      <c r="B28" s="69" t="s">
        <v>169</v>
      </c>
      <c r="C28" s="219">
        <f>'2. RC'!E24</f>
        <v>0</v>
      </c>
      <c r="D28" s="123"/>
      <c r="E28" s="8"/>
    </row>
    <row r="29" spans="1:5">
      <c r="A29" s="121">
        <v>16</v>
      </c>
      <c r="B29" s="69" t="s">
        <v>170</v>
      </c>
      <c r="C29" s="219">
        <f>'2. RC'!E25</f>
        <v>35216376.230000004</v>
      </c>
      <c r="D29" s="123"/>
      <c r="E29" s="8"/>
    </row>
    <row r="30" spans="1:5">
      <c r="A30" s="121">
        <v>17</v>
      </c>
      <c r="B30" s="69" t="s">
        <v>171</v>
      </c>
      <c r="C30" s="219">
        <f>'2. RC'!E26</f>
        <v>0</v>
      </c>
      <c r="D30" s="123"/>
      <c r="E30" s="8"/>
    </row>
    <row r="31" spans="1:5">
      <c r="A31" s="121">
        <v>18</v>
      </c>
      <c r="B31" s="69" t="s">
        <v>172</v>
      </c>
      <c r="C31" s="219">
        <f>'2. RC'!E27</f>
        <v>73137023.860516012</v>
      </c>
      <c r="D31" s="123"/>
      <c r="E31" s="8"/>
    </row>
    <row r="32" spans="1:5">
      <c r="A32" s="121">
        <v>19</v>
      </c>
      <c r="B32" s="69" t="s">
        <v>173</v>
      </c>
      <c r="C32" s="219">
        <f>'2. RC'!E28</f>
        <v>1422810.875495</v>
      </c>
      <c r="D32" s="123"/>
      <c r="E32" s="8"/>
    </row>
    <row r="33" spans="1:5">
      <c r="A33" s="121">
        <v>20</v>
      </c>
      <c r="B33" s="69" t="s">
        <v>95</v>
      </c>
      <c r="C33" s="219">
        <f>'2. RC'!E29</f>
        <v>10072424.764800001</v>
      </c>
      <c r="D33" s="123"/>
      <c r="E33" s="8"/>
    </row>
    <row r="34" spans="1:5">
      <c r="A34" s="121">
        <v>20.100000000000001</v>
      </c>
      <c r="B34" s="73" t="s">
        <v>486</v>
      </c>
      <c r="C34" s="217">
        <v>-688199.18479999981</v>
      </c>
      <c r="D34" s="125"/>
      <c r="E34" s="8"/>
    </row>
    <row r="35" spans="1:5">
      <c r="A35" s="121">
        <v>21</v>
      </c>
      <c r="B35" s="72" t="s">
        <v>174</v>
      </c>
      <c r="C35" s="219">
        <f>'2. RC'!E30</f>
        <v>0</v>
      </c>
      <c r="D35" s="125"/>
      <c r="E35" s="8"/>
    </row>
    <row r="36" spans="1:5">
      <c r="A36" s="121">
        <v>21.1</v>
      </c>
      <c r="B36" s="73" t="s">
        <v>233</v>
      </c>
      <c r="C36" s="220">
        <f>'9. Capital'!C44</f>
        <v>0</v>
      </c>
      <c r="D36" s="212" t="s">
        <v>974</v>
      </c>
      <c r="E36" s="8"/>
    </row>
    <row r="37" spans="1:5">
      <c r="A37" s="121">
        <v>22</v>
      </c>
      <c r="B37" s="74" t="s">
        <v>175</v>
      </c>
      <c r="C37" s="218">
        <f>SUM(C26:C33,C35)</f>
        <v>289202077.04081106</v>
      </c>
      <c r="D37" s="126"/>
      <c r="E37" s="7"/>
    </row>
    <row r="38" spans="1:5">
      <c r="A38" s="121">
        <v>23</v>
      </c>
      <c r="B38" s="72" t="s">
        <v>176</v>
      </c>
      <c r="C38" s="215">
        <f>'9. Capital'!C7</f>
        <v>69161600</v>
      </c>
      <c r="D38" s="212" t="s">
        <v>975</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29850651.396013558</v>
      </c>
      <c r="D43" s="212" t="s">
        <v>976</v>
      </c>
      <c r="E43" s="8"/>
    </row>
    <row r="44" spans="1:5">
      <c r="A44" s="121">
        <v>29</v>
      </c>
      <c r="B44" s="72" t="s">
        <v>35</v>
      </c>
      <c r="C44" s="215"/>
      <c r="D44" s="123"/>
      <c r="E44" s="8"/>
    </row>
    <row r="45" spans="1:5" ht="16.5" thickBot="1">
      <c r="A45" s="128">
        <v>30</v>
      </c>
      <c r="B45" s="129" t="s">
        <v>182</v>
      </c>
      <c r="C45" s="221">
        <f>SUM(C38:C44)</f>
        <v>99012251.396013558</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954</v>
      </c>
    </row>
    <row r="2" spans="1:19" ht="15">
      <c r="A2" s="527" t="s">
        <v>189</v>
      </c>
      <c r="B2" s="529">
        <f>'1. key ratios'!B2</f>
        <v>44651</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12480316.158919964</v>
      </c>
      <c r="D8" s="659"/>
      <c r="E8" s="659"/>
      <c r="F8" s="659"/>
      <c r="G8" s="659"/>
      <c r="H8" s="659"/>
      <c r="I8" s="659"/>
      <c r="J8" s="659"/>
      <c r="K8" s="659"/>
      <c r="L8" s="659"/>
      <c r="M8" s="659">
        <v>45420878.418673843</v>
      </c>
      <c r="N8" s="659"/>
      <c r="O8" s="659"/>
      <c r="P8" s="659"/>
      <c r="Q8" s="659"/>
      <c r="R8" s="659"/>
      <c r="S8" s="660">
        <f>$C$6*SUM(C8:D8)+$E$6*SUM(E8:F8)+$G$6*SUM(G8:H8)+$I$6*SUM(I8:J8)+$K$6*SUM(K8:L8)+$M$6*SUM(M8:N8)+$O$6*SUM(O8:P8)+$Q$6*SUM(Q8:R8)</f>
        <v>45420878.418673843</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3006446.81</v>
      </c>
      <c r="F13" s="659">
        <v>57500</v>
      </c>
      <c r="G13" s="659"/>
      <c r="H13" s="659"/>
      <c r="I13" s="659">
        <v>43664360.972309001</v>
      </c>
      <c r="J13" s="659">
        <v>21403500.210000001</v>
      </c>
      <c r="K13" s="659"/>
      <c r="L13" s="659"/>
      <c r="M13" s="659">
        <v>4857518.7525981404</v>
      </c>
      <c r="N13" s="659">
        <v>15986692.41</v>
      </c>
      <c r="O13" s="659"/>
      <c r="P13" s="659"/>
      <c r="Q13" s="659"/>
      <c r="R13" s="659"/>
      <c r="S13" s="660">
        <f t="shared" si="0"/>
        <v>53990931.115752637</v>
      </c>
    </row>
    <row r="14" spans="1:19" s="139" customFormat="1">
      <c r="A14" s="104">
        <v>7</v>
      </c>
      <c r="B14" s="157" t="s">
        <v>73</v>
      </c>
      <c r="C14" s="659"/>
      <c r="D14" s="659"/>
      <c r="E14" s="659"/>
      <c r="F14" s="659"/>
      <c r="G14" s="659"/>
      <c r="H14" s="659"/>
      <c r="I14" s="659"/>
      <c r="J14" s="659"/>
      <c r="K14" s="659"/>
      <c r="L14" s="659"/>
      <c r="M14" s="659">
        <v>262396916.64889055</v>
      </c>
      <c r="N14" s="659">
        <v>31246406.414999995</v>
      </c>
      <c r="O14" s="659"/>
      <c r="P14" s="659"/>
      <c r="Q14" s="659"/>
      <c r="R14" s="659"/>
      <c r="S14" s="660">
        <f t="shared" si="0"/>
        <v>293643323.06389058</v>
      </c>
    </row>
    <row r="15" spans="1:19" s="139" customFormat="1">
      <c r="A15" s="104">
        <v>8</v>
      </c>
      <c r="B15" s="157" t="s">
        <v>74</v>
      </c>
      <c r="C15" s="659"/>
      <c r="D15" s="659"/>
      <c r="E15" s="659"/>
      <c r="F15" s="659"/>
      <c r="G15" s="659"/>
      <c r="H15" s="659"/>
      <c r="I15" s="659"/>
      <c r="J15" s="659"/>
      <c r="K15" s="659"/>
      <c r="L15" s="659"/>
      <c r="M15" s="659"/>
      <c r="N15" s="659">
        <v>19338.954999999998</v>
      </c>
      <c r="O15" s="659"/>
      <c r="P15" s="659"/>
      <c r="Q15" s="659"/>
      <c r="R15" s="659"/>
      <c r="S15" s="660">
        <f t="shared" si="0"/>
        <v>19338.954999999998</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1723159.1999999997</v>
      </c>
      <c r="N17" s="659"/>
      <c r="O17" s="659"/>
      <c r="P17" s="659"/>
      <c r="Q17" s="659"/>
      <c r="R17" s="659"/>
      <c r="S17" s="660">
        <f t="shared" si="0"/>
        <v>1723159.1999999997</v>
      </c>
    </row>
    <row r="18" spans="1:19" s="139" customFormat="1">
      <c r="A18" s="104">
        <v>11</v>
      </c>
      <c r="B18" s="157" t="s">
        <v>70</v>
      </c>
      <c r="C18" s="659"/>
      <c r="D18" s="659"/>
      <c r="E18" s="659"/>
      <c r="F18" s="659"/>
      <c r="G18" s="659"/>
      <c r="H18" s="659"/>
      <c r="I18" s="659"/>
      <c r="J18" s="659"/>
      <c r="K18" s="659"/>
      <c r="L18" s="659"/>
      <c r="M18" s="659"/>
      <c r="N18" s="659"/>
      <c r="O18" s="659"/>
      <c r="P18" s="659"/>
      <c r="Q18" s="659"/>
      <c r="R18" s="659"/>
      <c r="S18" s="660">
        <f t="shared" si="0"/>
        <v>0</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2652323.5300000003</v>
      </c>
      <c r="D21" s="659"/>
      <c r="E21" s="659"/>
      <c r="F21" s="659"/>
      <c r="G21" s="659"/>
      <c r="H21" s="659"/>
      <c r="I21" s="659"/>
      <c r="J21" s="659"/>
      <c r="K21" s="659"/>
      <c r="L21" s="659"/>
      <c r="M21" s="659">
        <v>17021632.993490148</v>
      </c>
      <c r="N21" s="659"/>
      <c r="O21" s="659"/>
      <c r="P21" s="659"/>
      <c r="Q21" s="659"/>
      <c r="R21" s="659"/>
      <c r="S21" s="660">
        <f t="shared" si="0"/>
        <v>17021632.993490148</v>
      </c>
    </row>
    <row r="22" spans="1:19" ht="13.5" thickBot="1">
      <c r="A22" s="86"/>
      <c r="B22" s="141" t="s">
        <v>68</v>
      </c>
      <c r="C22" s="661">
        <f>SUM(C8:C21)</f>
        <v>15132639.688919965</v>
      </c>
      <c r="D22" s="661">
        <f t="shared" ref="D22:S22" si="1">SUM(D8:D21)</f>
        <v>0</v>
      </c>
      <c r="E22" s="661">
        <f t="shared" si="1"/>
        <v>3006446.81</v>
      </c>
      <c r="F22" s="661">
        <f t="shared" si="1"/>
        <v>57500</v>
      </c>
      <c r="G22" s="661">
        <f t="shared" si="1"/>
        <v>0</v>
      </c>
      <c r="H22" s="661">
        <f t="shared" si="1"/>
        <v>0</v>
      </c>
      <c r="I22" s="661">
        <f t="shared" si="1"/>
        <v>43664360.972309001</v>
      </c>
      <c r="J22" s="661">
        <f t="shared" si="1"/>
        <v>21403500.210000001</v>
      </c>
      <c r="K22" s="661">
        <f t="shared" si="1"/>
        <v>0</v>
      </c>
      <c r="L22" s="661">
        <f t="shared" si="1"/>
        <v>0</v>
      </c>
      <c r="M22" s="661">
        <f t="shared" si="1"/>
        <v>331420106.01365268</v>
      </c>
      <c r="N22" s="661">
        <f t="shared" si="1"/>
        <v>47252437.779999994</v>
      </c>
      <c r="O22" s="661">
        <f t="shared" si="1"/>
        <v>0</v>
      </c>
      <c r="P22" s="661">
        <f t="shared" si="1"/>
        <v>0</v>
      </c>
      <c r="Q22" s="661">
        <f t="shared" si="1"/>
        <v>0</v>
      </c>
      <c r="R22" s="661">
        <f t="shared" si="1"/>
        <v>0</v>
      </c>
      <c r="S22" s="662">
        <f t="shared" si="1"/>
        <v>411819263.74680716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954</v>
      </c>
    </row>
    <row r="2" spans="1:22" ht="15">
      <c r="A2" s="527" t="s">
        <v>189</v>
      </c>
      <c r="B2" s="529">
        <f>'1. key ratios'!B2</f>
        <v>44651</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6397050.1739999996</v>
      </c>
      <c r="E13" s="659"/>
      <c r="F13" s="659"/>
      <c r="G13" s="659"/>
      <c r="H13" s="659"/>
      <c r="I13" s="659"/>
      <c r="J13" s="659"/>
      <c r="K13" s="659"/>
      <c r="L13" s="640"/>
      <c r="M13" s="663"/>
      <c r="N13" s="659"/>
      <c r="O13" s="659"/>
      <c r="P13" s="659"/>
      <c r="Q13" s="659"/>
      <c r="R13" s="659"/>
      <c r="S13" s="640"/>
      <c r="T13" s="664">
        <v>6021488.824</v>
      </c>
      <c r="U13" s="664">
        <v>375561.35</v>
      </c>
      <c r="V13" s="665">
        <f t="shared" si="0"/>
        <v>6397050.1739999996</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429850.32000000007</v>
      </c>
      <c r="E20" s="659"/>
      <c r="F20" s="659"/>
      <c r="G20" s="659"/>
      <c r="H20" s="659"/>
      <c r="I20" s="659"/>
      <c r="J20" s="659"/>
      <c r="K20" s="659"/>
      <c r="L20" s="640"/>
      <c r="M20" s="663"/>
      <c r="N20" s="659"/>
      <c r="O20" s="659"/>
      <c r="P20" s="659"/>
      <c r="Q20" s="659"/>
      <c r="R20" s="659"/>
      <c r="S20" s="640"/>
      <c r="T20" s="664">
        <v>429850.32000000007</v>
      </c>
      <c r="U20" s="664"/>
      <c r="V20" s="665">
        <f t="shared" si="0"/>
        <v>429850.32000000007</v>
      </c>
    </row>
    <row r="21" spans="1:22" ht="13.5" thickBot="1">
      <c r="A21" s="86"/>
      <c r="B21" s="87" t="s">
        <v>68</v>
      </c>
      <c r="C21" s="666">
        <f>SUM(C7:C20)</f>
        <v>0</v>
      </c>
      <c r="D21" s="667">
        <f t="shared" ref="D21:V21" si="1">SUM(D7:D20)</f>
        <v>6826900.4939999999</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6451339.1440000003</v>
      </c>
      <c r="U21" s="668">
        <f t="shared" ref="U21" si="2">SUM(U7:U20)</f>
        <v>375561.35</v>
      </c>
      <c r="V21" s="669">
        <f t="shared" si="1"/>
        <v>6826900.4939999999</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954</v>
      </c>
    </row>
    <row r="2" spans="1:9" ht="15">
      <c r="A2" s="527" t="s">
        <v>189</v>
      </c>
      <c r="B2" s="529">
        <f>'1. key ratios'!B2</f>
        <v>44651</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57901194.577593803</v>
      </c>
      <c r="D8" s="673"/>
      <c r="E8" s="672">
        <f>'11. CRWA'!D8+'11. CRWA'!F8+'11. CRWA'!H8+'11. CRWA'!J8+'11. CRWA'!L8+'11. CRWA'!N8+'11. CRWA'!P8+'11. CRWA'!R8</f>
        <v>0</v>
      </c>
      <c r="F8" s="672">
        <f>'11. CRWA'!S8</f>
        <v>45420878.418673843</v>
      </c>
      <c r="G8" s="674">
        <f>F8-'12. CRM'!V7</f>
        <v>45420878.418673843</v>
      </c>
      <c r="H8" s="670">
        <f>IFERROR(G8/(C8+E8),0)</f>
        <v>0.7844549451877888</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51528326.534907147</v>
      </c>
      <c r="D13" s="673">
        <f>'11. CRWA'!D13+'11. CRWA'!F13+'11. CRWA'!H13+'11. CRWA'!J13+'11. CRWA'!L13+'11. CRWA'!N13+'11. CRWA'!P13+'11. CRWA'!R13</f>
        <v>37447692.620000005</v>
      </c>
      <c r="E13" s="672">
        <f>'11. CRWA'!D13+'11. CRWA'!F13+'11. CRWA'!H13+'11. CRWA'!J13+'11. CRWA'!L13+'11. CRWA'!N13+'11. CRWA'!P13+'11. CRWA'!R13</f>
        <v>37447692.620000005</v>
      </c>
      <c r="F13" s="672">
        <f>'11. CRWA'!S13</f>
        <v>53990931.115752637</v>
      </c>
      <c r="G13" s="674">
        <f>F13-'12. CRM'!V12</f>
        <v>53990931.115752637</v>
      </c>
      <c r="H13" s="670">
        <f t="shared" si="0"/>
        <v>0.60680317717692545</v>
      </c>
    </row>
    <row r="14" spans="1:9">
      <c r="A14" s="75">
        <v>7</v>
      </c>
      <c r="B14" s="57" t="s">
        <v>73</v>
      </c>
      <c r="C14" s="672">
        <f>'11. CRWA'!C14+'11. CRWA'!E14+'11. CRWA'!G14+'11. CRWA'!I14+'11. CRWA'!K14+'11. CRWA'!M14+'11. CRWA'!O14+'11. CRWA'!Q14</f>
        <v>262396916.64889055</v>
      </c>
      <c r="D14" s="673">
        <f>'4. Off-Balance'!E7-D13</f>
        <v>72464563.769999996</v>
      </c>
      <c r="E14" s="672">
        <f>'11. CRWA'!D14+'11. CRWA'!F14+'11. CRWA'!H14+'11. CRWA'!J14+'11. CRWA'!L14+'11. CRWA'!N14+'11. CRWA'!P14+'11. CRWA'!R14</f>
        <v>31246406.414999995</v>
      </c>
      <c r="F14" s="672">
        <f>'11. CRWA'!S14</f>
        <v>293643323.06389058</v>
      </c>
      <c r="G14" s="674">
        <f>F14-'12. CRM'!V13</f>
        <v>287246272.88989055</v>
      </c>
      <c r="H14" s="670">
        <f t="shared" si="0"/>
        <v>0.97821489653756521</v>
      </c>
    </row>
    <row r="15" spans="1:9">
      <c r="A15" s="75">
        <v>8</v>
      </c>
      <c r="B15" s="57" t="s">
        <v>74</v>
      </c>
      <c r="C15" s="672">
        <f>'11. CRWA'!C15+'11. CRWA'!E15+'11. CRWA'!G15+'11. CRWA'!I15+'11. CRWA'!K15+'11. CRWA'!M15+'11. CRWA'!O15+'11. CRWA'!Q15</f>
        <v>0</v>
      </c>
      <c r="D15" s="673"/>
      <c r="E15" s="672">
        <f>'11. CRWA'!D15+'11. CRWA'!F15+'11. CRWA'!H15+'11. CRWA'!J15+'11. CRWA'!L15+'11. CRWA'!N15+'11. CRWA'!P15+'11. CRWA'!R15</f>
        <v>19338.954999999998</v>
      </c>
      <c r="F15" s="672">
        <f>'11. CRWA'!S15</f>
        <v>19338.954999999998</v>
      </c>
      <c r="G15" s="674">
        <f>F15-'12. CRM'!V14</f>
        <v>19338.954999999998</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1723159.1999999997</v>
      </c>
      <c r="D17" s="673"/>
      <c r="E17" s="672">
        <f>'11. CRWA'!D17+'11. CRWA'!F17+'11. CRWA'!H17+'11. CRWA'!J17+'11. CRWA'!L17+'11. CRWA'!N17+'11. CRWA'!P17+'11. CRWA'!R17</f>
        <v>0</v>
      </c>
      <c r="F17" s="672">
        <f>'11. CRWA'!S17</f>
        <v>1723159.1999999997</v>
      </c>
      <c r="G17" s="674">
        <f>F17-'12. CRM'!V16</f>
        <v>1723159.1999999997</v>
      </c>
      <c r="H17" s="670">
        <f t="shared" si="0"/>
        <v>1</v>
      </c>
    </row>
    <row r="18" spans="1:8">
      <c r="A18" s="75">
        <v>11</v>
      </c>
      <c r="B18" s="57" t="s">
        <v>70</v>
      </c>
      <c r="C18" s="672">
        <f>'11. CRWA'!C18+'11. CRWA'!E18+'11. CRWA'!G18+'11. CRWA'!I18+'11. CRWA'!K18+'11. CRWA'!M18+'11. CRWA'!O18+'11. CRWA'!Q18</f>
        <v>0</v>
      </c>
      <c r="D18" s="673"/>
      <c r="E18" s="672">
        <f>'11. CRWA'!D18+'11. CRWA'!F18+'11. CRWA'!H18+'11. CRWA'!J18+'11. CRWA'!L18+'11. CRWA'!N18+'11. CRWA'!P18+'11. CRWA'!R18</f>
        <v>0</v>
      </c>
      <c r="F18" s="672">
        <f>'11. CRWA'!S18</f>
        <v>0</v>
      </c>
      <c r="G18" s="674">
        <f>F18-'12. CRM'!V17</f>
        <v>0</v>
      </c>
      <c r="H18" s="670">
        <f t="shared" si="0"/>
        <v>0</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19673956.52349015</v>
      </c>
      <c r="D21" s="673"/>
      <c r="E21" s="672">
        <f>'11. CRWA'!D21+'11. CRWA'!F21+'11. CRWA'!H21+'11. CRWA'!J21+'11. CRWA'!L21+'11. CRWA'!N21+'11. CRWA'!P21+'11. CRWA'!R21</f>
        <v>0</v>
      </c>
      <c r="F21" s="672">
        <f>'11. CRWA'!S21</f>
        <v>17021632.993490148</v>
      </c>
      <c r="G21" s="674">
        <f>F21-'12. CRM'!V20</f>
        <v>16591782.673490148</v>
      </c>
      <c r="H21" s="670">
        <f t="shared" si="0"/>
        <v>0.84333736600871445</v>
      </c>
    </row>
    <row r="22" spans="1:8" ht="13.5" thickBot="1">
      <c r="A22" s="137"/>
      <c r="B22" s="144" t="s">
        <v>68</v>
      </c>
      <c r="C22" s="675">
        <f>SUM(C8:C21)</f>
        <v>393223553.48488164</v>
      </c>
      <c r="D22" s="675">
        <f>SUM(D8:D21)</f>
        <v>109912256.39</v>
      </c>
      <c r="E22" s="675">
        <f>SUM(E8:E21)</f>
        <v>68713437.989999995</v>
      </c>
      <c r="F22" s="675">
        <f>SUM(F8:F21)</f>
        <v>411819263.74680716</v>
      </c>
      <c r="G22" s="675">
        <f>SUM(G8:G21)</f>
        <v>404992363.25280714</v>
      </c>
      <c r="H22" s="671">
        <f>G22/(C22+E22)</f>
        <v>0.87672641664773254</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954</v>
      </c>
    </row>
    <row r="2" spans="1:11" ht="15">
      <c r="A2" s="527" t="s">
        <v>189</v>
      </c>
      <c r="B2" s="529">
        <f>'1. key ratios'!B2</f>
        <v>44651</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31011396.760444414</v>
      </c>
      <c r="G8" s="679">
        <v>79981120.004999995</v>
      </c>
      <c r="H8" s="680">
        <f>G8+F8</f>
        <v>110992516.76544441</v>
      </c>
      <c r="I8" s="681">
        <v>22910598.234222226</v>
      </c>
      <c r="J8" s="679">
        <v>40156973.738222204</v>
      </c>
      <c r="K8" s="680">
        <f>I8+J8</f>
        <v>63067571.97244443</v>
      </c>
    </row>
    <row r="9" spans="1:11">
      <c r="A9" s="267" t="s">
        <v>492</v>
      </c>
      <c r="B9" s="259"/>
      <c r="C9" s="676"/>
      <c r="D9" s="259"/>
      <c r="E9" s="268"/>
      <c r="F9" s="676"/>
      <c r="G9" s="259"/>
      <c r="H9" s="268"/>
      <c r="I9" s="259"/>
      <c r="J9" s="259"/>
      <c r="K9" s="268"/>
    </row>
    <row r="10" spans="1:11">
      <c r="A10" s="269">
        <v>2</v>
      </c>
      <c r="B10" s="243" t="s">
        <v>493</v>
      </c>
      <c r="C10" s="678">
        <v>1565174.9796666666</v>
      </c>
      <c r="D10" s="682">
        <v>21030927.392466664</v>
      </c>
      <c r="E10" s="680">
        <f>C10+D10</f>
        <v>22596102.37213333</v>
      </c>
      <c r="F10" s="678">
        <v>521908.2362183333</v>
      </c>
      <c r="G10" s="682">
        <v>4831531.3758699996</v>
      </c>
      <c r="H10" s="680">
        <f>G10+F10</f>
        <v>5353439.6120883329</v>
      </c>
      <c r="I10" s="681">
        <v>124843.86690555551</v>
      </c>
      <c r="J10" s="682">
        <v>1311393.3829777783</v>
      </c>
      <c r="K10" s="680">
        <f>I10+J10</f>
        <v>1436237.2498833339</v>
      </c>
    </row>
    <row r="11" spans="1:11">
      <c r="A11" s="269">
        <v>3</v>
      </c>
      <c r="B11" s="243" t="s">
        <v>494</v>
      </c>
      <c r="C11" s="678">
        <v>13882454.353777776</v>
      </c>
      <c r="D11" s="682">
        <v>236242982.79622233</v>
      </c>
      <c r="E11" s="680">
        <f t="shared" ref="E11:E16" si="0">C11+D11</f>
        <v>250125437.1500001</v>
      </c>
      <c r="F11" s="683">
        <v>6205057.4278638875</v>
      </c>
      <c r="G11" s="681">
        <v>58530448.575316682</v>
      </c>
      <c r="H11" s="680">
        <f t="shared" ref="H11:H16" si="1">G11+F11</f>
        <v>64735506.003180571</v>
      </c>
      <c r="I11" s="683">
        <v>5126412.6443444444</v>
      </c>
      <c r="J11" s="681">
        <v>56267857.468749985</v>
      </c>
      <c r="K11" s="680">
        <f t="shared" ref="K11:K16" si="2">I11+J11</f>
        <v>61394270.113094427</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25553166.121444449</v>
      </c>
      <c r="D13" s="682">
        <v>82508750.86500001</v>
      </c>
      <c r="E13" s="680">
        <f t="shared" si="0"/>
        <v>108061916.98644446</v>
      </c>
      <c r="F13" s="678">
        <v>2572913.9233555547</v>
      </c>
      <c r="G13" s="682">
        <v>8244356.4590444434</v>
      </c>
      <c r="H13" s="680">
        <f t="shared" si="1"/>
        <v>10817270.382399999</v>
      </c>
      <c r="I13" s="681">
        <v>1277658.3060722211</v>
      </c>
      <c r="J13" s="682">
        <v>4125437.5432499978</v>
      </c>
      <c r="K13" s="680">
        <f t="shared" si="2"/>
        <v>5403095.8493222184</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2356961.7334444444</v>
      </c>
      <c r="D15" s="682">
        <v>1295159.4987777779</v>
      </c>
      <c r="E15" s="680">
        <f t="shared" si="0"/>
        <v>3652121.2322222223</v>
      </c>
      <c r="F15" s="678">
        <v>0</v>
      </c>
      <c r="G15" s="682">
        <v>0</v>
      </c>
      <c r="H15" s="680">
        <f t="shared" si="1"/>
        <v>0</v>
      </c>
      <c r="I15" s="681">
        <v>0</v>
      </c>
      <c r="J15" s="682">
        <v>0</v>
      </c>
      <c r="K15" s="680">
        <f t="shared" si="2"/>
        <v>0</v>
      </c>
    </row>
    <row r="16" spans="1:11">
      <c r="A16" s="269">
        <v>8</v>
      </c>
      <c r="B16" s="245" t="s">
        <v>499</v>
      </c>
      <c r="C16" s="686">
        <f>SUM(C10:C15)</f>
        <v>43357757.18833334</v>
      </c>
      <c r="D16" s="687">
        <f>SUM(D10:D15)</f>
        <v>341077820.55246681</v>
      </c>
      <c r="E16" s="680">
        <f t="shared" si="0"/>
        <v>384435577.74080014</v>
      </c>
      <c r="F16" s="688">
        <f>SUM(F10:F15)</f>
        <v>9299879.587437775</v>
      </c>
      <c r="G16" s="689">
        <f>SUM(G10:G15)</f>
        <v>71606336.410231128</v>
      </c>
      <c r="H16" s="680">
        <f t="shared" si="1"/>
        <v>80906215.997668907</v>
      </c>
      <c r="I16" s="687">
        <f>SUM(I10:I15)</f>
        <v>6528914.8173222207</v>
      </c>
      <c r="J16" s="689">
        <f>SUM(J10:J15)</f>
        <v>61704688.394977756</v>
      </c>
      <c r="K16" s="680">
        <f t="shared" si="2"/>
        <v>68233603.212299973</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70988038.231126696</v>
      </c>
      <c r="D19" s="682">
        <v>200187053.39605108</v>
      </c>
      <c r="E19" s="680">
        <f t="shared" ref="E19:E21" si="3">C19+D19</f>
        <v>271175091.62717777</v>
      </c>
      <c r="F19" s="678">
        <v>6479097.1499988912</v>
      </c>
      <c r="G19" s="682">
        <v>5726179.1923422227</v>
      </c>
      <c r="H19" s="680">
        <f t="shared" ref="H19:H21" si="4">F19+G19</f>
        <v>12205276.342341114</v>
      </c>
      <c r="I19" s="681">
        <v>12804949.944127124</v>
      </c>
      <c r="J19" s="682">
        <v>45180677.147053286</v>
      </c>
      <c r="K19" s="680">
        <f t="shared" ref="K19:K21" si="5">I19+J19</f>
        <v>57985627.091180414</v>
      </c>
    </row>
    <row r="20" spans="1:11">
      <c r="A20" s="269">
        <v>11</v>
      </c>
      <c r="B20" s="243" t="s">
        <v>503</v>
      </c>
      <c r="C20" s="683">
        <v>3462065.2312178849</v>
      </c>
      <c r="D20" s="690">
        <v>15385491.70657759</v>
      </c>
      <c r="E20" s="680">
        <f t="shared" si="3"/>
        <v>18847556.937795475</v>
      </c>
      <c r="F20" s="683">
        <v>245129.25858522538</v>
      </c>
      <c r="G20" s="690">
        <v>78880.779856574067</v>
      </c>
      <c r="H20" s="680">
        <f t="shared" si="4"/>
        <v>324010.03844179946</v>
      </c>
      <c r="I20" s="691">
        <v>475619.8660460838</v>
      </c>
      <c r="J20" s="690">
        <v>53035.966567484749</v>
      </c>
      <c r="K20" s="680">
        <f t="shared" si="5"/>
        <v>528655.83261356852</v>
      </c>
    </row>
    <row r="21" spans="1:11" ht="13.5" thickBot="1">
      <c r="A21" s="196">
        <v>12</v>
      </c>
      <c r="B21" s="270" t="s">
        <v>504</v>
      </c>
      <c r="C21" s="692">
        <f>SUM(C18:C20)</f>
        <v>74450103.462344587</v>
      </c>
      <c r="D21" s="693">
        <f>SUM(D18:D20)</f>
        <v>215572545.10262868</v>
      </c>
      <c r="E21" s="694">
        <f t="shared" si="3"/>
        <v>290022648.56497324</v>
      </c>
      <c r="F21" s="695">
        <f>SUM(F18:F20)</f>
        <v>6724226.408584117</v>
      </c>
      <c r="G21" s="696">
        <f>SUM(G18:G20)</f>
        <v>5805059.9721987965</v>
      </c>
      <c r="H21" s="694">
        <f t="shared" si="4"/>
        <v>12529286.380782913</v>
      </c>
      <c r="I21" s="693">
        <f>SUM(I18:I20)</f>
        <v>13280569.810173208</v>
      </c>
      <c r="J21" s="696">
        <f>SUM(J18:J20)</f>
        <v>45233713.113620773</v>
      </c>
      <c r="K21" s="694">
        <f t="shared" si="5"/>
        <v>58514282.923793979</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31011396.760444414</v>
      </c>
      <c r="G23" s="698">
        <f>G8</f>
        <v>79981120.004999995</v>
      </c>
      <c r="H23" s="699">
        <f>F23+G23</f>
        <v>110992516.76544441</v>
      </c>
      <c r="I23" s="697">
        <f>I8</f>
        <v>22910598.234222226</v>
      </c>
      <c r="J23" s="698">
        <f>J8</f>
        <v>40156973.738222204</v>
      </c>
      <c r="K23" s="699">
        <f>I23+J23</f>
        <v>63067571.97244443</v>
      </c>
    </row>
    <row r="24" spans="1:11" ht="13.5" thickBot="1">
      <c r="A24" s="250">
        <v>14</v>
      </c>
      <c r="B24" s="247" t="s">
        <v>507</v>
      </c>
      <c r="C24" s="271"/>
      <c r="D24" s="253"/>
      <c r="E24" s="254"/>
      <c r="F24" s="700">
        <f>F16-F21</f>
        <v>2575653.178853658</v>
      </c>
      <c r="G24" s="701">
        <f>G16-G21</f>
        <v>65801276.438032329</v>
      </c>
      <c r="H24" s="702">
        <f>F24+G24</f>
        <v>68376929.61688599</v>
      </c>
      <c r="I24" s="703">
        <f>I16-MIN(I16*75%,I21)</f>
        <v>1632228.7043305552</v>
      </c>
      <c r="J24" s="704">
        <f>J16-MIN(J16*75%,J21)</f>
        <v>16470975.281356983</v>
      </c>
      <c r="K24" s="702">
        <f t="shared" ref="K24" si="6">I24+J24</f>
        <v>18103203.985687539</v>
      </c>
    </row>
    <row r="25" spans="1:11" ht="13.5" thickBot="1">
      <c r="A25" s="251">
        <v>15</v>
      </c>
      <c r="B25" s="248" t="s">
        <v>508</v>
      </c>
      <c r="C25" s="252"/>
      <c r="D25" s="252"/>
      <c r="E25" s="252"/>
      <c r="F25" s="705">
        <f t="shared" ref="F25:G25" si="7">F23/F24</f>
        <v>12.040206738644295</v>
      </c>
      <c r="G25" s="706">
        <f t="shared" si="7"/>
        <v>1.2154949620213125</v>
      </c>
      <c r="H25" s="707">
        <f>H23/H24</f>
        <v>1.6232451118722697</v>
      </c>
      <c r="I25" s="705">
        <f t="shared" ref="I25:J25" si="8">I23/I24</f>
        <v>14.036389737196059</v>
      </c>
      <c r="J25" s="706">
        <f t="shared" si="8"/>
        <v>2.4380446848022843</v>
      </c>
      <c r="K25" s="707">
        <f>K23/K24</f>
        <v>3.4837795576023938</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954</v>
      </c>
    </row>
    <row r="2" spans="1:14" ht="14.25" customHeight="1">
      <c r="A2" s="527" t="s">
        <v>189</v>
      </c>
      <c r="B2" s="529">
        <f>'1. key ratios'!B2</f>
        <v>44651</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954</v>
      </c>
    </row>
    <row r="2" spans="1:3" ht="15.75">
      <c r="A2" s="527" t="s">
        <v>189</v>
      </c>
      <c r="B2" s="529">
        <f>'1. key ratios'!B2</f>
        <v>44651</v>
      </c>
    </row>
    <row r="3" spans="1:3">
      <c r="A3" s="262"/>
      <c r="B3"/>
    </row>
    <row r="4" spans="1:3">
      <c r="A4" s="262" t="s">
        <v>597</v>
      </c>
      <c r="B4" t="s">
        <v>556</v>
      </c>
    </row>
    <row r="5" spans="1:3">
      <c r="A5" s="314"/>
      <c r="B5" s="314" t="s">
        <v>557</v>
      </c>
      <c r="C5" s="326"/>
    </row>
    <row r="6" spans="1:3">
      <c r="A6" s="315">
        <v>1</v>
      </c>
      <c r="B6" s="327" t="s">
        <v>608</v>
      </c>
      <c r="C6" s="708">
        <v>393408522.94488162</v>
      </c>
    </row>
    <row r="7" spans="1:3">
      <c r="A7" s="315">
        <v>2</v>
      </c>
      <c r="B7" s="327" t="s">
        <v>558</v>
      </c>
      <c r="C7" s="708">
        <f>-('9. Capital'!C15)</f>
        <v>-184969.45999999996</v>
      </c>
    </row>
    <row r="8" spans="1:3">
      <c r="A8" s="316">
        <v>3</v>
      </c>
      <c r="B8" s="329" t="s">
        <v>559</v>
      </c>
      <c r="C8" s="330">
        <f>C6+C7</f>
        <v>393223553.48488164</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109912256.39</v>
      </c>
    </row>
    <row r="29" spans="1:3">
      <c r="A29" s="318">
        <v>18</v>
      </c>
      <c r="B29" s="327" t="s">
        <v>583</v>
      </c>
      <c r="C29" s="708">
        <f>'8. LI2'!C10</f>
        <v>-41198818.400000006</v>
      </c>
    </row>
    <row r="30" spans="1:3">
      <c r="A30" s="321">
        <v>19</v>
      </c>
      <c r="B30" s="336" t="s">
        <v>584</v>
      </c>
      <c r="C30" s="330">
        <f>C28+C29</f>
        <v>68713437.989999995</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98827281.936013564</v>
      </c>
    </row>
    <row r="36" spans="1:3">
      <c r="A36" s="321">
        <v>21</v>
      </c>
      <c r="B36" s="336" t="s">
        <v>591</v>
      </c>
      <c r="C36" s="330">
        <f>C8+C18+C26+C30</f>
        <v>461936991.47488165</v>
      </c>
    </row>
    <row r="37" spans="1:3">
      <c r="A37" s="323"/>
      <c r="B37" s="323" t="s">
        <v>556</v>
      </c>
      <c r="C37" s="331"/>
    </row>
    <row r="38" spans="1:3">
      <c r="A38" s="321">
        <v>22</v>
      </c>
      <c r="B38" s="336" t="s">
        <v>556</v>
      </c>
      <c r="C38" s="709">
        <f>IFERROR(C35/C36,0)</f>
        <v>0.21394104338878739</v>
      </c>
    </row>
    <row r="39" spans="1:3">
      <c r="A39" s="323"/>
      <c r="B39" s="323" t="s">
        <v>592</v>
      </c>
      <c r="C39" s="331"/>
    </row>
    <row r="40" spans="1:3">
      <c r="A40" s="324" t="s">
        <v>593</v>
      </c>
      <c r="B40" s="332" t="s">
        <v>594</v>
      </c>
      <c r="C40" s="338"/>
    </row>
    <row r="41" spans="1:3">
      <c r="A41" s="325" t="s">
        <v>595</v>
      </c>
      <c r="B41" s="333" t="s">
        <v>596</v>
      </c>
      <c r="C41" s="338"/>
    </row>
    <row r="43" spans="1:3">
      <c r="B43" s="348"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954</v>
      </c>
    </row>
    <row r="2" spans="1:7" ht="15.75">
      <c r="A2" s="527" t="s">
        <v>189</v>
      </c>
      <c r="B2" s="529">
        <f>'1. key ratios'!B2</f>
        <v>44651</v>
      </c>
    </row>
    <row r="3" spans="1:7">
      <c r="B3" s="371"/>
    </row>
    <row r="4" spans="1:7" ht="15.75" thickBot="1">
      <c r="A4" s="262" t="s">
        <v>658</v>
      </c>
      <c r="B4" s="372" t="s">
        <v>623</v>
      </c>
    </row>
    <row r="5" spans="1:7">
      <c r="A5" s="373"/>
      <c r="B5" s="374"/>
      <c r="C5" s="817" t="s">
        <v>624</v>
      </c>
      <c r="D5" s="817"/>
      <c r="E5" s="817"/>
      <c r="F5" s="817"/>
      <c r="G5" s="818" t="s">
        <v>625</v>
      </c>
    </row>
    <row r="6" spans="1:7">
      <c r="A6" s="375"/>
      <c r="B6" s="376"/>
      <c r="C6" s="712" t="s">
        <v>626</v>
      </c>
      <c r="D6" s="713" t="s">
        <v>627</v>
      </c>
      <c r="E6" s="713" t="s">
        <v>628</v>
      </c>
      <c r="F6" s="713" t="s">
        <v>629</v>
      </c>
      <c r="G6" s="819"/>
    </row>
    <row r="7" spans="1:7">
      <c r="A7" s="377"/>
      <c r="B7" s="378" t="s">
        <v>630</v>
      </c>
      <c r="C7" s="379"/>
      <c r="D7" s="379"/>
      <c r="E7" s="379"/>
      <c r="F7" s="379"/>
      <c r="G7" s="380"/>
    </row>
    <row r="8" spans="1:7">
      <c r="A8" s="381">
        <v>1</v>
      </c>
      <c r="B8" s="382" t="s">
        <v>631</v>
      </c>
      <c r="C8" s="714">
        <f>SUM(C9:C10)</f>
        <v>98827281.936013564</v>
      </c>
      <c r="D8" s="714">
        <f>SUM(D9:D10)</f>
        <v>0</v>
      </c>
      <c r="E8" s="714">
        <f>SUM(E9:E10)</f>
        <v>0</v>
      </c>
      <c r="F8" s="714">
        <f>SUM(F9:F10)</f>
        <v>74556045.019999996</v>
      </c>
      <c r="G8" s="715">
        <f>SUM(G9:G10)</f>
        <v>173383326.95601356</v>
      </c>
    </row>
    <row r="9" spans="1:7">
      <c r="A9" s="381">
        <v>2</v>
      </c>
      <c r="B9" s="385" t="s">
        <v>88</v>
      </c>
      <c r="C9" s="383">
        <v>98827281.936013564</v>
      </c>
      <c r="D9" s="383"/>
      <c r="E9" s="383"/>
      <c r="F9" s="383"/>
      <c r="G9" s="384">
        <v>98827281.936013564</v>
      </c>
    </row>
    <row r="10" spans="1:7">
      <c r="A10" s="381">
        <v>3</v>
      </c>
      <c r="B10" s="385" t="s">
        <v>632</v>
      </c>
      <c r="C10" s="386"/>
      <c r="D10" s="386"/>
      <c r="E10" s="386"/>
      <c r="F10" s="383">
        <v>74556045.019999996</v>
      </c>
      <c r="G10" s="384">
        <v>74556045.019999996</v>
      </c>
    </row>
    <row r="11" spans="1:7" ht="26.25">
      <c r="A11" s="381">
        <v>4</v>
      </c>
      <c r="B11" s="382" t="s">
        <v>633</v>
      </c>
      <c r="C11" s="714">
        <f t="shared" ref="C11:F11" si="0">SUM(C12:C13)</f>
        <v>6292342.5299999956</v>
      </c>
      <c r="D11" s="714">
        <f t="shared" si="0"/>
        <v>8547751.4000000022</v>
      </c>
      <c r="E11" s="714">
        <f t="shared" si="0"/>
        <v>5973825.2999999998</v>
      </c>
      <c r="F11" s="714">
        <f t="shared" si="0"/>
        <v>727328.14999999991</v>
      </c>
      <c r="G11" s="715">
        <f>SUM(G12:G13)</f>
        <v>12238785.941</v>
      </c>
    </row>
    <row r="12" spans="1:7">
      <c r="A12" s="381">
        <v>5</v>
      </c>
      <c r="B12" s="385" t="s">
        <v>634</v>
      </c>
      <c r="C12" s="383">
        <v>1230263.6900000027</v>
      </c>
      <c r="D12" s="387">
        <v>151475.35</v>
      </c>
      <c r="E12" s="383">
        <v>1880843.74</v>
      </c>
      <c r="F12" s="383">
        <v>0</v>
      </c>
      <c r="G12" s="384">
        <v>3099453.6409999942</v>
      </c>
    </row>
    <row r="13" spans="1:7">
      <c r="A13" s="381">
        <v>6</v>
      </c>
      <c r="B13" s="385" t="s">
        <v>635</v>
      </c>
      <c r="C13" s="383">
        <v>5062078.8399999924</v>
      </c>
      <c r="D13" s="387">
        <v>8396276.0500000026</v>
      </c>
      <c r="E13" s="383">
        <v>4092981.56</v>
      </c>
      <c r="F13" s="383">
        <v>727328.14999999991</v>
      </c>
      <c r="G13" s="384">
        <v>9139332.3000000063</v>
      </c>
    </row>
    <row r="14" spans="1:7">
      <c r="A14" s="381">
        <v>7</v>
      </c>
      <c r="B14" s="382" t="s">
        <v>636</v>
      </c>
      <c r="C14" s="714">
        <f t="shared" ref="C14:F14" si="1">SUM(C15:C16)</f>
        <v>77439391.180000037</v>
      </c>
      <c r="D14" s="714">
        <f t="shared" si="1"/>
        <v>78337542.230000004</v>
      </c>
      <c r="E14" s="714">
        <f t="shared" si="1"/>
        <v>22810458</v>
      </c>
      <c r="F14" s="714">
        <f t="shared" si="1"/>
        <v>0</v>
      </c>
      <c r="G14" s="715">
        <f>SUM(G15:G16)</f>
        <v>44673948.06500002</v>
      </c>
    </row>
    <row r="15" spans="1:7" ht="51.75">
      <c r="A15" s="381">
        <v>8</v>
      </c>
      <c r="B15" s="385" t="s">
        <v>637</v>
      </c>
      <c r="C15" s="716">
        <v>50201845.900000051</v>
      </c>
      <c r="D15" s="716">
        <v>16335592.23</v>
      </c>
      <c r="E15" s="716">
        <v>0</v>
      </c>
      <c r="F15" s="716">
        <v>0</v>
      </c>
      <c r="G15" s="717">
        <v>33268719.06500002</v>
      </c>
    </row>
    <row r="16" spans="1:7" ht="26.25">
      <c r="A16" s="381">
        <v>9</v>
      </c>
      <c r="B16" s="385" t="s">
        <v>638</v>
      </c>
      <c r="C16" s="716">
        <v>27237545.279999994</v>
      </c>
      <c r="D16" s="716">
        <v>62001950</v>
      </c>
      <c r="E16" s="716">
        <v>22810458</v>
      </c>
      <c r="F16" s="716">
        <v>0</v>
      </c>
      <c r="G16" s="717">
        <v>11405229</v>
      </c>
    </row>
    <row r="17" spans="1:7">
      <c r="A17" s="381">
        <v>10</v>
      </c>
      <c r="B17" s="382" t="s">
        <v>639</v>
      </c>
      <c r="C17" s="383"/>
      <c r="D17" s="387"/>
      <c r="E17" s="383"/>
      <c r="F17" s="383"/>
      <c r="G17" s="384"/>
    </row>
    <row r="18" spans="1:7">
      <c r="A18" s="381">
        <v>11</v>
      </c>
      <c r="B18" s="382" t="s">
        <v>95</v>
      </c>
      <c r="C18" s="714">
        <f>SUM(C19:C20)</f>
        <v>19579797.780955091</v>
      </c>
      <c r="D18" s="718">
        <f t="shared" ref="D18:G18" si="2">SUM(D19:D20)</f>
        <v>0</v>
      </c>
      <c r="E18" s="714">
        <f t="shared" si="2"/>
        <v>0</v>
      </c>
      <c r="F18" s="714">
        <f t="shared" si="2"/>
        <v>0</v>
      </c>
      <c r="G18" s="715">
        <f t="shared" si="2"/>
        <v>0</v>
      </c>
    </row>
    <row r="19" spans="1:7">
      <c r="A19" s="381">
        <v>12</v>
      </c>
      <c r="B19" s="385" t="s">
        <v>640</v>
      </c>
      <c r="C19" s="386"/>
      <c r="D19" s="387"/>
      <c r="E19" s="383"/>
      <c r="F19" s="383"/>
      <c r="G19" s="384"/>
    </row>
    <row r="20" spans="1:7" ht="26.25">
      <c r="A20" s="381">
        <v>13</v>
      </c>
      <c r="B20" s="385" t="s">
        <v>641</v>
      </c>
      <c r="C20" s="383">
        <v>19579797.780955091</v>
      </c>
      <c r="D20" s="383"/>
      <c r="E20" s="383"/>
      <c r="F20" s="383"/>
      <c r="G20" s="384"/>
    </row>
    <row r="21" spans="1:7">
      <c r="A21" s="388">
        <v>14</v>
      </c>
      <c r="B21" s="389" t="s">
        <v>642</v>
      </c>
      <c r="C21" s="386"/>
      <c r="D21" s="386"/>
      <c r="E21" s="386"/>
      <c r="F21" s="386"/>
      <c r="G21" s="390">
        <f>SUM(G8,G11,G14,G17,G18)</f>
        <v>230296060.96201357</v>
      </c>
    </row>
    <row r="22" spans="1:7">
      <c r="A22" s="391"/>
      <c r="B22" s="408" t="s">
        <v>643</v>
      </c>
      <c r="C22" s="392"/>
      <c r="D22" s="393"/>
      <c r="E22" s="392"/>
      <c r="F22" s="392"/>
      <c r="G22" s="394"/>
    </row>
    <row r="23" spans="1:7">
      <c r="A23" s="381">
        <v>15</v>
      </c>
      <c r="B23" s="382" t="s">
        <v>491</v>
      </c>
      <c r="C23" s="395">
        <v>99984750.700389475</v>
      </c>
      <c r="D23" s="396">
        <v>0</v>
      </c>
      <c r="E23" s="395">
        <v>0</v>
      </c>
      <c r="F23" s="395">
        <v>0</v>
      </c>
      <c r="G23" s="384">
        <v>2792063.1175194737</v>
      </c>
    </row>
    <row r="24" spans="1:7">
      <c r="A24" s="381">
        <v>16</v>
      </c>
      <c r="B24" s="382" t="s">
        <v>644</v>
      </c>
      <c r="C24" s="714">
        <f>SUM(C25:C27,C29,C31)</f>
        <v>300120.95320199995</v>
      </c>
      <c r="D24" s="718">
        <f t="shared" ref="D24:G24" si="3">SUM(D25:D27,D29,D31)</f>
        <v>100619130.44760001</v>
      </c>
      <c r="E24" s="714">
        <f t="shared" si="3"/>
        <v>61758028.15279983</v>
      </c>
      <c r="F24" s="714">
        <f t="shared" si="3"/>
        <v>80495512.176784128</v>
      </c>
      <c r="G24" s="715">
        <f t="shared" si="3"/>
        <v>135292266.14388669</v>
      </c>
    </row>
    <row r="25" spans="1:7" ht="26.25">
      <c r="A25" s="381">
        <v>17</v>
      </c>
      <c r="B25" s="385" t="s">
        <v>645</v>
      </c>
      <c r="C25" s="383"/>
      <c r="D25" s="387"/>
      <c r="E25" s="383"/>
      <c r="F25" s="383"/>
      <c r="G25" s="384">
        <v>0</v>
      </c>
    </row>
    <row r="26" spans="1:7" ht="26.25">
      <c r="A26" s="381">
        <v>18</v>
      </c>
      <c r="B26" s="385" t="s">
        <v>646</v>
      </c>
      <c r="C26" s="383">
        <v>300120.95320199995</v>
      </c>
      <c r="D26" s="387">
        <v>47019476.141600013</v>
      </c>
      <c r="E26" s="383">
        <v>10313548.625399997</v>
      </c>
      <c r="F26" s="383">
        <v>0</v>
      </c>
      <c r="G26" s="384">
        <v>12254713.876920301</v>
      </c>
    </row>
    <row r="27" spans="1:7">
      <c r="A27" s="381">
        <v>19</v>
      </c>
      <c r="B27" s="385" t="s">
        <v>647</v>
      </c>
      <c r="C27" s="383">
        <v>0</v>
      </c>
      <c r="D27" s="387">
        <v>53423542.325599991</v>
      </c>
      <c r="E27" s="383">
        <v>51285351.648799829</v>
      </c>
      <c r="F27" s="383">
        <v>61892759.734399907</v>
      </c>
      <c r="G27" s="384">
        <v>107123901.76093981</v>
      </c>
    </row>
    <row r="28" spans="1:7">
      <c r="A28" s="381">
        <v>20</v>
      </c>
      <c r="B28" s="397" t="s">
        <v>648</v>
      </c>
      <c r="C28" s="383"/>
      <c r="D28" s="387"/>
      <c r="E28" s="383"/>
      <c r="F28" s="383"/>
      <c r="G28" s="384"/>
    </row>
    <row r="29" spans="1:7">
      <c r="A29" s="381">
        <v>21</v>
      </c>
      <c r="B29" s="385" t="s">
        <v>649</v>
      </c>
      <c r="C29" s="383">
        <v>0</v>
      </c>
      <c r="D29" s="387">
        <v>176111.98040000009</v>
      </c>
      <c r="E29" s="383">
        <v>159127.87859999991</v>
      </c>
      <c r="F29" s="383">
        <v>1324403.5952000006</v>
      </c>
      <c r="G29" s="384">
        <v>1227053.9859200004</v>
      </c>
    </row>
    <row r="30" spans="1:7">
      <c r="A30" s="381">
        <v>22</v>
      </c>
      <c r="B30" s="397" t="s">
        <v>648</v>
      </c>
      <c r="C30" s="383"/>
      <c r="D30" s="387"/>
      <c r="E30" s="383"/>
      <c r="F30" s="383"/>
      <c r="G30" s="384"/>
    </row>
    <row r="31" spans="1:7" ht="26.25">
      <c r="A31" s="381">
        <v>23</v>
      </c>
      <c r="B31" s="385" t="s">
        <v>650</v>
      </c>
      <c r="C31" s="383"/>
      <c r="D31" s="387"/>
      <c r="E31" s="383"/>
      <c r="F31" s="383">
        <v>17278348.847184226</v>
      </c>
      <c r="G31" s="384">
        <v>14686596.520106591</v>
      </c>
    </row>
    <row r="32" spans="1:7">
      <c r="A32" s="381">
        <v>24</v>
      </c>
      <c r="B32" s="382" t="s">
        <v>651</v>
      </c>
      <c r="C32" s="383">
        <v>0</v>
      </c>
      <c r="D32" s="387"/>
      <c r="E32" s="383"/>
      <c r="F32" s="383"/>
      <c r="G32" s="384">
        <v>0</v>
      </c>
    </row>
    <row r="33" spans="1:7">
      <c r="A33" s="381">
        <v>25</v>
      </c>
      <c r="B33" s="382" t="s">
        <v>165</v>
      </c>
      <c r="C33" s="714">
        <f>SUM(C34:C35)</f>
        <v>13703305.063024148</v>
      </c>
      <c r="D33" s="714">
        <f>SUM(D34:D35)</f>
        <v>1850000</v>
      </c>
      <c r="E33" s="714">
        <f>SUM(E34:E35)</f>
        <v>2338600</v>
      </c>
      <c r="F33" s="714">
        <f>SUM(F34:F35)</f>
        <v>26979911.485999987</v>
      </c>
      <c r="G33" s="715">
        <f>SUM(G34:G35)</f>
        <v>40683216.549024135</v>
      </c>
    </row>
    <row r="34" spans="1:7">
      <c r="A34" s="381">
        <v>26</v>
      </c>
      <c r="B34" s="385" t="s">
        <v>652</v>
      </c>
      <c r="C34" s="386"/>
      <c r="D34" s="387"/>
      <c r="E34" s="383"/>
      <c r="F34" s="383"/>
      <c r="G34" s="384"/>
    </row>
    <row r="35" spans="1:7">
      <c r="A35" s="381">
        <v>27</v>
      </c>
      <c r="B35" s="385" t="s">
        <v>653</v>
      </c>
      <c r="C35" s="383">
        <v>13703305.063024148</v>
      </c>
      <c r="D35" s="387">
        <v>1850000</v>
      </c>
      <c r="E35" s="383">
        <v>2338600</v>
      </c>
      <c r="F35" s="383">
        <v>26979911.485999987</v>
      </c>
      <c r="G35" s="384">
        <v>40683216.549024135</v>
      </c>
    </row>
    <row r="36" spans="1:7">
      <c r="A36" s="381">
        <v>28</v>
      </c>
      <c r="B36" s="382" t="s">
        <v>654</v>
      </c>
      <c r="C36" s="383">
        <v>38677.909999999996</v>
      </c>
      <c r="D36" s="387">
        <v>9857361.2676000018</v>
      </c>
      <c r="E36" s="383">
        <v>44635899.837599993</v>
      </c>
      <c r="F36" s="383">
        <v>54654902.589999996</v>
      </c>
      <c r="G36" s="384">
        <v>13649495.39452</v>
      </c>
    </row>
    <row r="37" spans="1:7">
      <c r="A37" s="388">
        <v>29</v>
      </c>
      <c r="B37" s="389" t="s">
        <v>655</v>
      </c>
      <c r="C37" s="386"/>
      <c r="D37" s="386"/>
      <c r="E37" s="386"/>
      <c r="F37" s="386"/>
      <c r="G37" s="390">
        <f>SUM(G23:G24,G32:G33,G36)</f>
        <v>192417041.20495027</v>
      </c>
    </row>
    <row r="38" spans="1:7">
      <c r="A38" s="377"/>
      <c r="B38" s="398"/>
      <c r="C38" s="399"/>
      <c r="D38" s="399"/>
      <c r="E38" s="399"/>
      <c r="F38" s="399"/>
      <c r="G38" s="400"/>
    </row>
    <row r="39" spans="1:7" ht="15.75" thickBot="1">
      <c r="A39" s="401">
        <v>30</v>
      </c>
      <c r="B39" s="402" t="s">
        <v>623</v>
      </c>
      <c r="C39" s="271"/>
      <c r="D39" s="253"/>
      <c r="E39" s="253"/>
      <c r="F39" s="403"/>
      <c r="G39" s="404">
        <f>IFERROR(G21/G37,0)</f>
        <v>1.1968589659203677</v>
      </c>
    </row>
    <row r="42" spans="1:7" ht="39">
      <c r="B42" s="24" t="s">
        <v>656</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954</v>
      </c>
    </row>
    <row r="2" spans="1:8">
      <c r="A2" s="527" t="s">
        <v>189</v>
      </c>
      <c r="B2" s="529">
        <v>44651</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1Q-2022</v>
      </c>
      <c r="D5" s="530" t="str">
        <f>IF(INT(MONTH($B$2))=3, "4"&amp;"Q"&amp;"-"&amp;YEAR($B$2)-1, IF(INT(MONTH($B$2))=6, "1"&amp;"Q"&amp;"-"&amp;YEAR($B$2), IF(INT(MONTH($B$2))=9, "2"&amp;"Q"&amp;"-"&amp;YEAR($B$2),IF(INT(MONTH($B$2))=12, "3"&amp;"Q"&amp;"-"&amp;YEAR($B$2), 0))))</f>
        <v>4Q-2021</v>
      </c>
      <c r="E5" s="530" t="str">
        <f>IF(INT(MONTH($B$2))=3, "3"&amp;"Q"&amp;"-"&amp;YEAR($B$2)-1, IF(INT(MONTH($B$2))=6, "4"&amp;"Q"&amp;"-"&amp;YEAR($B$2)-1, IF(INT(MONTH($B$2))=9, "1"&amp;"Q"&amp;"-"&amp;YEAR($B$2),IF(INT(MONTH($B$2))=12, "2"&amp;"Q"&amp;"-"&amp;YEAR($B$2), 0))))</f>
        <v>3Q-2021</v>
      </c>
      <c r="F5" s="530" t="str">
        <f>IF(INT(MONTH($B$2))=3, "2"&amp;"Q"&amp;"-"&amp;YEAR($B$2)-1, IF(INT(MONTH($B$2))=6, "3"&amp;"Q"&amp;"-"&amp;YEAR($B$2)-1, IF(INT(MONTH($B$2))=9, "4"&amp;"Q"&amp;"-"&amp;YEAR($B$2)-1,IF(INT(MONTH($B$2))=12, "1"&amp;"Q"&amp;"-"&amp;YEAR($B$2), 0))))</f>
        <v>2Q-2021</v>
      </c>
      <c r="G5" s="531" t="str">
        <f>IF(INT(MONTH($B$2))=3, "1"&amp;"Q"&amp;"-"&amp;YEAR($B$2)-1, IF(INT(MONTH($B$2))=6, "2"&amp;"Q"&amp;"-"&amp;YEAR($B$2)-1, IF(INT(MONTH($B$2))=9, "3"&amp;"Q"&amp;"-"&amp;YEAR($B$2)-1,IF(INT(MONTH($B$2))=12, "4"&amp;"Q"&amp;"-"&amp;YEAR($B$2)-1, 0))))</f>
        <v>1Q-2021</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98827281.936013564</v>
      </c>
      <c r="D8" s="533">
        <v>94391539.438289478</v>
      </c>
      <c r="E8" s="533">
        <v>91694973.630918115</v>
      </c>
      <c r="F8" s="533">
        <v>88465596.657445937</v>
      </c>
      <c r="G8" s="534">
        <v>85490494.999593854</v>
      </c>
    </row>
    <row r="9" spans="1:8" ht="15">
      <c r="A9" s="352">
        <v>2</v>
      </c>
      <c r="B9" s="353" t="s">
        <v>89</v>
      </c>
      <c r="C9" s="532">
        <v>98827281.936013564</v>
      </c>
      <c r="D9" s="533">
        <v>94391539.438289478</v>
      </c>
      <c r="E9" s="533">
        <v>91694973.630918115</v>
      </c>
      <c r="F9" s="533">
        <v>88465596.657445937</v>
      </c>
      <c r="G9" s="534">
        <v>85490494.999593854</v>
      </c>
    </row>
    <row r="10" spans="1:8" ht="15">
      <c r="A10" s="352">
        <v>3</v>
      </c>
      <c r="B10" s="353" t="s">
        <v>88</v>
      </c>
      <c r="C10" s="532">
        <v>103889686.47667365</v>
      </c>
      <c r="D10" s="533">
        <v>99323573.353612155</v>
      </c>
      <c r="E10" s="533">
        <v>96668973.423466802</v>
      </c>
      <c r="F10" s="533">
        <v>93056600.599005952</v>
      </c>
      <c r="G10" s="534">
        <v>89949917.000006318</v>
      </c>
    </row>
    <row r="11" spans="1:8" ht="15">
      <c r="A11" s="352">
        <v>4</v>
      </c>
      <c r="B11" s="353" t="s">
        <v>614</v>
      </c>
      <c r="C11" s="532">
        <v>37226442.465223998</v>
      </c>
      <c r="D11" s="533">
        <v>30365791.76327312</v>
      </c>
      <c r="E11" s="533">
        <v>30247107.251175225</v>
      </c>
      <c r="F11" s="533">
        <v>27802553.138585605</v>
      </c>
      <c r="G11" s="534">
        <v>28213613.251565892</v>
      </c>
    </row>
    <row r="12" spans="1:8" ht="15">
      <c r="A12" s="352">
        <v>5</v>
      </c>
      <c r="B12" s="353" t="s">
        <v>615</v>
      </c>
      <c r="C12" s="532">
        <v>49645661.87830551</v>
      </c>
      <c r="D12" s="533">
        <v>40497710.010722086</v>
      </c>
      <c r="E12" s="533">
        <v>40339196.63428393</v>
      </c>
      <c r="F12" s="533">
        <v>37078467.517835423</v>
      </c>
      <c r="G12" s="534">
        <v>37626940.593956709</v>
      </c>
    </row>
    <row r="13" spans="1:8" ht="15">
      <c r="A13" s="352">
        <v>6</v>
      </c>
      <c r="B13" s="353" t="s">
        <v>616</v>
      </c>
      <c r="C13" s="532">
        <v>73122385.552514225</v>
      </c>
      <c r="D13" s="533">
        <v>68536720.062944934</v>
      </c>
      <c r="E13" s="533">
        <v>68323887.634272546</v>
      </c>
      <c r="F13" s="533">
        <v>62845625.906170204</v>
      </c>
      <c r="G13" s="534">
        <v>64636892.48206085</v>
      </c>
    </row>
    <row r="14" spans="1:8" ht="15">
      <c r="A14" s="363"/>
      <c r="B14" s="364" t="s">
        <v>618</v>
      </c>
      <c r="C14" s="535"/>
      <c r="D14" s="535"/>
      <c r="E14" s="535"/>
      <c r="F14" s="535"/>
      <c r="G14" s="536"/>
    </row>
    <row r="15" spans="1:8" ht="25.5">
      <c r="A15" s="352">
        <v>7</v>
      </c>
      <c r="B15" s="353" t="s">
        <v>617</v>
      </c>
      <c r="C15" s="537">
        <v>441999494.70743102</v>
      </c>
      <c r="D15" s="533">
        <v>429797061.35576224</v>
      </c>
      <c r="E15" s="533">
        <v>428178933.76047593</v>
      </c>
      <c r="F15" s="533">
        <v>394948828.02258658</v>
      </c>
      <c r="G15" s="534">
        <v>387474159.10370266</v>
      </c>
    </row>
    <row r="16" spans="1:8" ht="15">
      <c r="A16" s="363"/>
      <c r="B16" s="364" t="s">
        <v>622</v>
      </c>
      <c r="C16" s="535"/>
      <c r="D16" s="535"/>
      <c r="E16" s="535"/>
      <c r="F16" s="535"/>
      <c r="G16" s="536"/>
    </row>
    <row r="17" spans="1:7" s="3" customFormat="1" ht="15">
      <c r="A17" s="352"/>
      <c r="B17" s="365" t="s">
        <v>604</v>
      </c>
      <c r="C17" s="538"/>
      <c r="D17" s="533"/>
      <c r="E17" s="533"/>
      <c r="F17" s="533"/>
      <c r="G17" s="534"/>
    </row>
    <row r="18" spans="1:7" ht="15">
      <c r="A18" s="351">
        <v>8</v>
      </c>
      <c r="B18" s="366" t="s">
        <v>612</v>
      </c>
      <c r="C18" s="539">
        <v>0.22359139121059282</v>
      </c>
      <c r="D18" s="540">
        <v>0.21961885718934077</v>
      </c>
      <c r="E18" s="540">
        <v>0.21415106256071076</v>
      </c>
      <c r="F18" s="540">
        <v>0.22399255392242032</v>
      </c>
      <c r="G18" s="541">
        <v>0.22063534558626755</v>
      </c>
    </row>
    <row r="19" spans="1:7" ht="15" customHeight="1">
      <c r="A19" s="351">
        <v>9</v>
      </c>
      <c r="B19" s="366" t="s">
        <v>611</v>
      </c>
      <c r="C19" s="539">
        <v>0.22359139121059282</v>
      </c>
      <c r="D19" s="540">
        <v>0.21961885718934077</v>
      </c>
      <c r="E19" s="540">
        <v>0.21415106256071076</v>
      </c>
      <c r="F19" s="540">
        <v>0.22399255392242032</v>
      </c>
      <c r="G19" s="541">
        <v>0.22063534558626755</v>
      </c>
    </row>
    <row r="20" spans="1:7" ht="15">
      <c r="A20" s="351">
        <v>10</v>
      </c>
      <c r="B20" s="366" t="s">
        <v>613</v>
      </c>
      <c r="C20" s="539">
        <v>0.23504480824223672</v>
      </c>
      <c r="D20" s="540">
        <v>0.23109411925782711</v>
      </c>
      <c r="E20" s="540">
        <v>0.225767700840564</v>
      </c>
      <c r="F20" s="540">
        <v>0.23561685463131485</v>
      </c>
      <c r="G20" s="541">
        <v>0.23214429888196064</v>
      </c>
    </row>
    <row r="21" spans="1:7" ht="15">
      <c r="A21" s="351">
        <v>11</v>
      </c>
      <c r="B21" s="353" t="s">
        <v>614</v>
      </c>
      <c r="C21" s="539">
        <v>8.4222816792731817E-2</v>
      </c>
      <c r="D21" s="540">
        <v>7.0651464362009669E-2</v>
      </c>
      <c r="E21" s="540">
        <v>7.0641278368205551E-2</v>
      </c>
      <c r="F21" s="540">
        <v>7.0395330143872753E-2</v>
      </c>
      <c r="G21" s="541">
        <v>7.2814180219989505E-2</v>
      </c>
    </row>
    <row r="22" spans="1:7" ht="15">
      <c r="A22" s="351">
        <v>12</v>
      </c>
      <c r="B22" s="353" t="s">
        <v>615</v>
      </c>
      <c r="C22" s="539">
        <v>0.1123206303915959</v>
      </c>
      <c r="D22" s="540">
        <v>9.4225190565461595E-2</v>
      </c>
      <c r="E22" s="540">
        <v>9.4211072646674748E-2</v>
      </c>
      <c r="F22" s="540">
        <v>9.3881700329327106E-2</v>
      </c>
      <c r="G22" s="541">
        <v>9.7108257957110172E-2</v>
      </c>
    </row>
    <row r="23" spans="1:7" ht="15">
      <c r="A23" s="351">
        <v>13</v>
      </c>
      <c r="B23" s="353" t="s">
        <v>616</v>
      </c>
      <c r="C23" s="539">
        <v>0.16543545055614942</v>
      </c>
      <c r="D23" s="540">
        <v>0.15946297968336742</v>
      </c>
      <c r="E23" s="540">
        <v>0.15956854073650678</v>
      </c>
      <c r="F23" s="540">
        <v>0.1591234647304135</v>
      </c>
      <c r="G23" s="541">
        <v>0.16681600814768549</v>
      </c>
    </row>
    <row r="24" spans="1:7" ht="15">
      <c r="A24" s="363"/>
      <c r="B24" s="364" t="s">
        <v>6</v>
      </c>
      <c r="C24" s="535"/>
      <c r="D24" s="535"/>
      <c r="E24" s="535"/>
      <c r="F24" s="535"/>
      <c r="G24" s="536"/>
    </row>
    <row r="25" spans="1:7" ht="15" customHeight="1">
      <c r="A25" s="367">
        <v>14</v>
      </c>
      <c r="B25" s="368" t="s">
        <v>7</v>
      </c>
      <c r="C25" s="542">
        <v>6.310912285263591E-2</v>
      </c>
      <c r="D25" s="543">
        <v>6.0645098206081605E-2</v>
      </c>
      <c r="E25" s="543">
        <v>5.9717560254534591E-2</v>
      </c>
      <c r="F25" s="543">
        <v>6.0008118351832035E-2</v>
      </c>
      <c r="G25" s="544">
        <v>6.2301324598304841E-2</v>
      </c>
    </row>
    <row r="26" spans="1:7" ht="15">
      <c r="A26" s="367">
        <v>15</v>
      </c>
      <c r="B26" s="368" t="s">
        <v>8</v>
      </c>
      <c r="C26" s="542">
        <v>1.5241362930500317E-2</v>
      </c>
      <c r="D26" s="543">
        <v>1.27317933077205E-2</v>
      </c>
      <c r="E26" s="543">
        <v>1.2545143304743597E-2</v>
      </c>
      <c r="F26" s="543">
        <v>1.1379076653939287E-2</v>
      </c>
      <c r="G26" s="544">
        <v>1.2878466129301701E-2</v>
      </c>
    </row>
    <row r="27" spans="1:7" ht="15">
      <c r="A27" s="367">
        <v>16</v>
      </c>
      <c r="B27" s="368" t="s">
        <v>9</v>
      </c>
      <c r="C27" s="542">
        <v>4.0685832785419741E-2</v>
      </c>
      <c r="D27" s="543">
        <v>3.8802065051453394E-2</v>
      </c>
      <c r="E27" s="543">
        <v>3.9701938548779361E-2</v>
      </c>
      <c r="F27" s="543">
        <v>4.0435219181194589E-2</v>
      </c>
      <c r="G27" s="544">
        <v>4.1615299047287641E-2</v>
      </c>
    </row>
    <row r="28" spans="1:7" ht="15">
      <c r="A28" s="367">
        <v>17</v>
      </c>
      <c r="B28" s="368" t="s">
        <v>224</v>
      </c>
      <c r="C28" s="542">
        <v>4.7867759922135593E-2</v>
      </c>
      <c r="D28" s="543">
        <v>4.7913304898361105E-2</v>
      </c>
      <c r="E28" s="543">
        <v>4.7172416949790991E-2</v>
      </c>
      <c r="F28" s="543">
        <v>4.8629041697892748E-2</v>
      </c>
      <c r="G28" s="544">
        <v>4.9422858469003142E-2</v>
      </c>
    </row>
    <row r="29" spans="1:7" ht="15">
      <c r="A29" s="367">
        <v>18</v>
      </c>
      <c r="B29" s="368" t="s">
        <v>10</v>
      </c>
      <c r="C29" s="542">
        <v>4.5167881572930627E-2</v>
      </c>
      <c r="D29" s="543">
        <v>3.0891846404561427E-2</v>
      </c>
      <c r="E29" s="543">
        <v>3.2232686628001481E-2</v>
      </c>
      <c r="F29" s="543">
        <v>3.1785725889444047E-2</v>
      </c>
      <c r="G29" s="544">
        <v>2.966813235393341E-2</v>
      </c>
    </row>
    <row r="30" spans="1:7" ht="15">
      <c r="A30" s="367">
        <v>19</v>
      </c>
      <c r="B30" s="368" t="s">
        <v>11</v>
      </c>
      <c r="C30" s="542">
        <v>0.18197728344349209</v>
      </c>
      <c r="D30" s="543">
        <v>0.12713781187574952</v>
      </c>
      <c r="E30" s="543">
        <v>0.13164857753279574</v>
      </c>
      <c r="F30" s="543">
        <v>0.12616143597135068</v>
      </c>
      <c r="G30" s="544">
        <v>0.11668249968907442</v>
      </c>
    </row>
    <row r="31" spans="1:7" ht="15">
      <c r="A31" s="363"/>
      <c r="B31" s="364" t="s">
        <v>12</v>
      </c>
      <c r="C31" s="535"/>
      <c r="D31" s="535"/>
      <c r="E31" s="535"/>
      <c r="F31" s="535"/>
      <c r="G31" s="536"/>
    </row>
    <row r="32" spans="1:7" ht="15">
      <c r="A32" s="367">
        <v>20</v>
      </c>
      <c r="B32" s="368" t="s">
        <v>13</v>
      </c>
      <c r="C32" s="542">
        <v>4.3664209761993505E-2</v>
      </c>
      <c r="D32" s="543">
        <v>4.4892463194140371E-2</v>
      </c>
      <c r="E32" s="543">
        <v>4.992137891796708E-2</v>
      </c>
      <c r="F32" s="543">
        <v>2.3477064828711675E-2</v>
      </c>
      <c r="G32" s="544">
        <v>2.4288689324131241E-2</v>
      </c>
    </row>
    <row r="33" spans="1:7" ht="15" customHeight="1">
      <c r="A33" s="367">
        <v>21</v>
      </c>
      <c r="B33" s="368" t="s">
        <v>14</v>
      </c>
      <c r="C33" s="542">
        <v>3.80624459497374E-2</v>
      </c>
      <c r="D33" s="543">
        <v>4.4301825005523099E-2</v>
      </c>
      <c r="E33" s="543">
        <v>4.7350288688212373E-2</v>
      </c>
      <c r="F33" s="543">
        <v>4.9374015259252807E-2</v>
      </c>
      <c r="G33" s="544">
        <v>4.9119335432412169E-2</v>
      </c>
    </row>
    <row r="34" spans="1:7" ht="15">
      <c r="A34" s="367">
        <v>22</v>
      </c>
      <c r="B34" s="368" t="s">
        <v>15</v>
      </c>
      <c r="C34" s="542">
        <v>0.68932753333814445</v>
      </c>
      <c r="D34" s="543">
        <v>0.68670573055008355</v>
      </c>
      <c r="E34" s="543">
        <v>0.69693506007053119</v>
      </c>
      <c r="F34" s="543">
        <v>0.66617181738367037</v>
      </c>
      <c r="G34" s="544">
        <v>0.65405546702225548</v>
      </c>
    </row>
    <row r="35" spans="1:7" ht="15" customHeight="1">
      <c r="A35" s="367">
        <v>23</v>
      </c>
      <c r="B35" s="368" t="s">
        <v>16</v>
      </c>
      <c r="C35" s="542">
        <v>0.67843974773577032</v>
      </c>
      <c r="D35" s="543">
        <v>0.66342292371955547</v>
      </c>
      <c r="E35" s="543">
        <v>0.67507341181983893</v>
      </c>
      <c r="F35" s="543">
        <v>0.68857741697732022</v>
      </c>
      <c r="G35" s="544">
        <v>0.68770599689008849</v>
      </c>
    </row>
    <row r="36" spans="1:7" ht="15">
      <c r="A36" s="367">
        <v>24</v>
      </c>
      <c r="B36" s="368" t="s">
        <v>17</v>
      </c>
      <c r="C36" s="542">
        <v>6.6903534745348853E-2</v>
      </c>
      <c r="D36" s="543">
        <v>7.8794316306747283E-2</v>
      </c>
      <c r="E36" s="543">
        <v>2.9355743932674691E-2</v>
      </c>
      <c r="F36" s="543">
        <v>-9.6157897237786026E-3</v>
      </c>
      <c r="G36" s="544">
        <v>3.1923069276090475E-2</v>
      </c>
    </row>
    <row r="37" spans="1:7" ht="15" customHeight="1">
      <c r="A37" s="363"/>
      <c r="B37" s="364" t="s">
        <v>18</v>
      </c>
      <c r="C37" s="535"/>
      <c r="D37" s="535"/>
      <c r="E37" s="535"/>
      <c r="F37" s="535"/>
      <c r="G37" s="536"/>
    </row>
    <row r="38" spans="1:7" ht="15" customHeight="1">
      <c r="A38" s="367">
        <v>25</v>
      </c>
      <c r="B38" s="368" t="s">
        <v>19</v>
      </c>
      <c r="C38" s="545">
        <v>0.2432166731999956</v>
      </c>
      <c r="D38" s="546">
        <v>0.18312355387542167</v>
      </c>
      <c r="E38" s="546">
        <v>0.21723594158188281</v>
      </c>
      <c r="F38" s="546">
        <v>0.17501301779466036</v>
      </c>
      <c r="G38" s="547">
        <v>0.16353057589555017</v>
      </c>
    </row>
    <row r="39" spans="1:7" ht="15" customHeight="1">
      <c r="A39" s="367">
        <v>26</v>
      </c>
      <c r="B39" s="368" t="s">
        <v>20</v>
      </c>
      <c r="C39" s="545">
        <v>0.92638084918734687</v>
      </c>
      <c r="D39" s="546">
        <v>0.91024141756054833</v>
      </c>
      <c r="E39" s="546">
        <v>0.9110599413810283</v>
      </c>
      <c r="F39" s="546">
        <v>0.92992964906809517</v>
      </c>
      <c r="G39" s="547">
        <v>0.94415990261980254</v>
      </c>
    </row>
    <row r="40" spans="1:7" ht="15" customHeight="1">
      <c r="A40" s="367">
        <v>27</v>
      </c>
      <c r="B40" s="369" t="s">
        <v>21</v>
      </c>
      <c r="C40" s="545">
        <v>0.17217382356191499</v>
      </c>
      <c r="D40" s="546">
        <v>0.14342699142330984</v>
      </c>
      <c r="E40" s="546">
        <v>0.18068084839977919</v>
      </c>
      <c r="F40" s="546">
        <v>0.15002732812396918</v>
      </c>
      <c r="G40" s="547">
        <v>0.11073415296759165</v>
      </c>
    </row>
    <row r="41" spans="1:7" ht="15" customHeight="1">
      <c r="A41" s="370"/>
      <c r="B41" s="364" t="s">
        <v>525</v>
      </c>
      <c r="C41" s="535"/>
      <c r="D41" s="535"/>
      <c r="E41" s="535"/>
      <c r="F41" s="535"/>
      <c r="G41" s="536"/>
    </row>
    <row r="42" spans="1:7" ht="15" customHeight="1">
      <c r="A42" s="367">
        <v>28</v>
      </c>
      <c r="B42" s="407" t="s">
        <v>509</v>
      </c>
      <c r="C42" s="548">
        <v>119202950.7</v>
      </c>
      <c r="D42" s="549">
        <v>125961060.67</v>
      </c>
      <c r="E42" s="549">
        <v>138221816.16999999</v>
      </c>
      <c r="F42" s="549">
        <v>115236851.53999999</v>
      </c>
      <c r="G42" s="550">
        <v>97497588.980000004</v>
      </c>
    </row>
    <row r="43" spans="1:7" ht="15">
      <c r="A43" s="367">
        <v>29</v>
      </c>
      <c r="B43" s="368" t="s">
        <v>510</v>
      </c>
      <c r="C43" s="548">
        <v>76582814.708628148</v>
      </c>
      <c r="D43" s="549">
        <v>62369833.322127774</v>
      </c>
      <c r="E43" s="549">
        <v>92930041.167475656</v>
      </c>
      <c r="F43" s="549">
        <v>72202548.613757342</v>
      </c>
      <c r="G43" s="550">
        <v>45169081.551656671</v>
      </c>
    </row>
    <row r="44" spans="1:7" ht="15">
      <c r="A44" s="405">
        <v>30</v>
      </c>
      <c r="B44" s="406" t="s">
        <v>508</v>
      </c>
      <c r="C44" s="551">
        <v>1.5565234988231647</v>
      </c>
      <c r="D44" s="552">
        <v>2.0195830894630773</v>
      </c>
      <c r="E44" s="552">
        <v>1.4873749589855545</v>
      </c>
      <c r="F44" s="552">
        <v>1.5960219376251072</v>
      </c>
      <c r="G44" s="553">
        <v>2.1585027994979029</v>
      </c>
    </row>
    <row r="45" spans="1:7" ht="15">
      <c r="A45" s="405"/>
      <c r="B45" s="364" t="s">
        <v>623</v>
      </c>
      <c r="C45" s="554"/>
      <c r="D45" s="555"/>
      <c r="E45" s="555"/>
      <c r="F45" s="555"/>
      <c r="G45" s="556"/>
    </row>
    <row r="46" spans="1:7" ht="15">
      <c r="A46" s="405">
        <v>31</v>
      </c>
      <c r="B46" s="406" t="s">
        <v>630</v>
      </c>
      <c r="C46" s="554">
        <v>230296060.9620136</v>
      </c>
      <c r="D46" s="555">
        <v>225376140.44278947</v>
      </c>
      <c r="E46" s="555">
        <v>217710441.46391809</v>
      </c>
      <c r="F46" s="555">
        <v>201357863.01444596</v>
      </c>
      <c r="G46" s="556">
        <v>189450929.14609382</v>
      </c>
    </row>
    <row r="47" spans="1:7" ht="15">
      <c r="A47" s="405">
        <v>32</v>
      </c>
      <c r="B47" s="406" t="s">
        <v>643</v>
      </c>
      <c r="C47" s="554">
        <v>192417041.2049503</v>
      </c>
      <c r="D47" s="555">
        <v>186291223.8106674</v>
      </c>
      <c r="E47" s="555">
        <v>184610398.94422942</v>
      </c>
      <c r="F47" s="555">
        <v>164086660.82318714</v>
      </c>
      <c r="G47" s="556">
        <v>164581882.01660013</v>
      </c>
    </row>
    <row r="48" spans="1:7" thickBot="1">
      <c r="A48" s="105">
        <v>33</v>
      </c>
      <c r="B48" s="213" t="s">
        <v>657</v>
      </c>
      <c r="C48" s="557">
        <v>1.1968589659203677</v>
      </c>
      <c r="D48" s="558">
        <v>1.209805463900141</v>
      </c>
      <c r="E48" s="558">
        <v>1.179296739018955</v>
      </c>
      <c r="F48" s="558">
        <v>1.2271434009582332</v>
      </c>
      <c r="G48" s="559">
        <v>1.1511044036243634</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954</v>
      </c>
    </row>
    <row r="2" spans="1:8" ht="15">
      <c r="A2" s="527" t="s">
        <v>189</v>
      </c>
      <c r="B2" s="529">
        <f>'1. key ratios'!B2</f>
        <v>44651</v>
      </c>
    </row>
    <row r="3" spans="1:8">
      <c r="A3" s="415" t="s">
        <v>663</v>
      </c>
      <c r="B3" s="416"/>
    </row>
    <row r="5" spans="1:8" ht="12.75" customHeight="1">
      <c r="A5" s="820" t="s">
        <v>664</v>
      </c>
      <c r="B5" s="821"/>
      <c r="C5" s="826" t="s">
        <v>665</v>
      </c>
      <c r="D5" s="827"/>
      <c r="E5" s="827"/>
      <c r="F5" s="827"/>
      <c r="G5" s="827"/>
      <c r="H5" s="828"/>
    </row>
    <row r="6" spans="1:8">
      <c r="A6" s="822"/>
      <c r="B6" s="823"/>
      <c r="C6" s="829"/>
      <c r="D6" s="830"/>
      <c r="E6" s="830"/>
      <c r="F6" s="830"/>
      <c r="G6" s="830"/>
      <c r="H6" s="831"/>
    </row>
    <row r="7" spans="1:8" ht="25.5">
      <c r="A7" s="824"/>
      <c r="B7" s="825"/>
      <c r="C7" s="417" t="s">
        <v>666</v>
      </c>
      <c r="D7" s="417" t="s">
        <v>667</v>
      </c>
      <c r="E7" s="417" t="s">
        <v>668</v>
      </c>
      <c r="F7" s="417" t="s">
        <v>669</v>
      </c>
      <c r="G7" s="522" t="s">
        <v>941</v>
      </c>
      <c r="H7" s="417" t="s">
        <v>68</v>
      </c>
    </row>
    <row r="8" spans="1:8">
      <c r="A8" s="418">
        <v>1</v>
      </c>
      <c r="B8" s="419" t="s">
        <v>216</v>
      </c>
      <c r="C8" s="721">
        <v>41491164.82</v>
      </c>
      <c r="D8" s="721">
        <v>9869942.7889199648</v>
      </c>
      <c r="E8" s="721">
        <v>6540086.9686738364</v>
      </c>
      <c r="F8" s="721">
        <v>0</v>
      </c>
      <c r="G8" s="721"/>
      <c r="H8" s="722">
        <f>SUM(C8:G8)</f>
        <v>57901194.577593803</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31666363.087926</v>
      </c>
      <c r="D13" s="721">
        <v>16841331.119999997</v>
      </c>
      <c r="E13" s="721">
        <v>3020632.3269811403</v>
      </c>
      <c r="F13" s="721">
        <v>0</v>
      </c>
      <c r="G13" s="721"/>
      <c r="H13" s="722">
        <f t="shared" si="0"/>
        <v>51528326.53490714</v>
      </c>
    </row>
    <row r="14" spans="1:8">
      <c r="A14" s="418">
        <v>7</v>
      </c>
      <c r="B14" s="419" t="s">
        <v>73</v>
      </c>
      <c r="C14" s="721"/>
      <c r="D14" s="721">
        <v>130192652.43970454</v>
      </c>
      <c r="E14" s="721">
        <v>104544844.76418601</v>
      </c>
      <c r="F14" s="721">
        <v>28064092.446000002</v>
      </c>
      <c r="G14" s="721">
        <v>1259266.969</v>
      </c>
      <c r="H14" s="722">
        <f t="shared" si="0"/>
        <v>264060856.61889058</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691</v>
      </c>
      <c r="C17" s="721"/>
      <c r="D17" s="721">
        <v>68518.968000000052</v>
      </c>
      <c r="E17" s="721">
        <v>362036.05899999983</v>
      </c>
      <c r="F17" s="721">
        <v>57075.641000000003</v>
      </c>
      <c r="G17" s="721">
        <v>1235528.5320000001</v>
      </c>
      <c r="H17" s="722">
        <f t="shared" si="0"/>
        <v>1723159.2</v>
      </c>
    </row>
    <row r="18" spans="1:8">
      <c r="A18" s="418">
        <v>11</v>
      </c>
      <c r="B18" s="419" t="s">
        <v>70</v>
      </c>
      <c r="C18" s="721"/>
      <c r="D18" s="721">
        <v>0</v>
      </c>
      <c r="E18" s="721">
        <v>0</v>
      </c>
      <c r="F18" s="721">
        <v>0</v>
      </c>
      <c r="G18" s="721">
        <v>0</v>
      </c>
      <c r="H18" s="722">
        <f t="shared" si="0"/>
        <v>0</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670</v>
      </c>
      <c r="C21" s="721">
        <v>2652323.5300000003</v>
      </c>
      <c r="D21" s="721">
        <v>470435.37800000003</v>
      </c>
      <c r="E21" s="721">
        <v>2514106.2569999993</v>
      </c>
      <c r="F21" s="721">
        <v>2722665.7110000001</v>
      </c>
      <c r="G21" s="721">
        <v>11373644.877490148</v>
      </c>
      <c r="H21" s="722">
        <f t="shared" si="0"/>
        <v>19733175.753490146</v>
      </c>
    </row>
    <row r="22" spans="1:8">
      <c r="A22" s="423">
        <v>15</v>
      </c>
      <c r="B22" s="420" t="s">
        <v>68</v>
      </c>
      <c r="C22" s="722">
        <f>+SUM(C8:C16)+SUM(C18:C21)</f>
        <v>75809851.437925994</v>
      </c>
      <c r="D22" s="722">
        <f t="shared" ref="D22:G22" si="1">+SUM(D8:D16)+SUM(D18:D21)</f>
        <v>157374361.72662449</v>
      </c>
      <c r="E22" s="722">
        <f t="shared" si="1"/>
        <v>116619670.31684099</v>
      </c>
      <c r="F22" s="722">
        <f t="shared" si="1"/>
        <v>30786758.157000002</v>
      </c>
      <c r="G22" s="722">
        <f t="shared" si="1"/>
        <v>12632911.846490148</v>
      </c>
      <c r="H22" s="722">
        <f>+SUM(H8:H16)+SUM(H18:H21)</f>
        <v>393223553.4848817</v>
      </c>
    </row>
    <row r="26" spans="1:8" ht="38.25">
      <c r="B26" s="720" t="s">
        <v>940</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954</v>
      </c>
      <c r="E1" s="413"/>
      <c r="F1" s="413"/>
      <c r="G1" s="413"/>
    </row>
    <row r="2" spans="1:9" ht="15">
      <c r="A2" s="527" t="s">
        <v>189</v>
      </c>
      <c r="B2" s="529">
        <f>'1. key ratios'!B2</f>
        <v>44651</v>
      </c>
      <c r="E2" s="413"/>
      <c r="F2" s="413"/>
      <c r="G2" s="413"/>
    </row>
    <row r="3" spans="1:9">
      <c r="A3" s="415" t="s">
        <v>671</v>
      </c>
      <c r="B3" s="416"/>
      <c r="E3" s="413"/>
      <c r="F3" s="413"/>
      <c r="G3" s="413"/>
    </row>
    <row r="4" spans="1:9">
      <c r="C4" s="425" t="s">
        <v>672</v>
      </c>
      <c r="D4" s="425" t="s">
        <v>673</v>
      </c>
      <c r="E4" s="425" t="s">
        <v>674</v>
      </c>
      <c r="F4" s="425" t="s">
        <v>675</v>
      </c>
      <c r="G4" s="425" t="s">
        <v>676</v>
      </c>
      <c r="H4" s="425" t="s">
        <v>677</v>
      </c>
      <c r="I4" s="425" t="s">
        <v>678</v>
      </c>
    </row>
    <row r="5" spans="1:9" ht="33.950000000000003" customHeight="1">
      <c r="A5" s="820" t="s">
        <v>681</v>
      </c>
      <c r="B5" s="821"/>
      <c r="C5" s="834" t="s">
        <v>682</v>
      </c>
      <c r="D5" s="834"/>
      <c r="E5" s="834" t="s">
        <v>683</v>
      </c>
      <c r="F5" s="834" t="s">
        <v>684</v>
      </c>
      <c r="G5" s="832" t="s">
        <v>685</v>
      </c>
      <c r="H5" s="832" t="s">
        <v>686</v>
      </c>
      <c r="I5" s="521" t="s">
        <v>687</v>
      </c>
    </row>
    <row r="6" spans="1:9" ht="38.25">
      <c r="A6" s="824"/>
      <c r="B6" s="825"/>
      <c r="C6" s="473" t="s">
        <v>688</v>
      </c>
      <c r="D6" s="473" t="s">
        <v>689</v>
      </c>
      <c r="E6" s="834"/>
      <c r="F6" s="834"/>
      <c r="G6" s="833"/>
      <c r="H6" s="833"/>
      <c r="I6" s="521" t="s">
        <v>690</v>
      </c>
    </row>
    <row r="7" spans="1:9">
      <c r="A7" s="426">
        <v>1</v>
      </c>
      <c r="B7" s="419" t="s">
        <v>216</v>
      </c>
      <c r="C7" s="723">
        <v>0</v>
      </c>
      <c r="D7" s="723">
        <v>57901194.577593796</v>
      </c>
      <c r="E7" s="723">
        <v>0</v>
      </c>
      <c r="F7" s="723">
        <v>130253.97660279673</v>
      </c>
      <c r="G7" s="723"/>
      <c r="H7" s="723"/>
      <c r="I7" s="724">
        <f t="shared" ref="I7:I23" si="0">C7+D7-E7-F7-G7</f>
        <v>57770940.600990996</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51528326.534907147</v>
      </c>
      <c r="E12" s="723">
        <v>0</v>
      </c>
      <c r="F12" s="723">
        <v>60986.202958860005</v>
      </c>
      <c r="G12" s="723"/>
      <c r="H12" s="723"/>
      <c r="I12" s="724">
        <f t="shared" si="0"/>
        <v>51467340.331948288</v>
      </c>
    </row>
    <row r="13" spans="1:9">
      <c r="A13" s="426">
        <v>7</v>
      </c>
      <c r="B13" s="419" t="s">
        <v>73</v>
      </c>
      <c r="C13" s="723">
        <v>9688264.1300000008</v>
      </c>
      <c r="D13" s="723">
        <v>258658760.84789056</v>
      </c>
      <c r="E13" s="723">
        <v>4286168.3590000002</v>
      </c>
      <c r="F13" s="723">
        <v>4906458.0875471123</v>
      </c>
      <c r="G13" s="723"/>
      <c r="H13" s="723"/>
      <c r="I13" s="724">
        <f t="shared" si="0"/>
        <v>259154398.53134343</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691</v>
      </c>
      <c r="C16" s="723">
        <v>2757490.1599999997</v>
      </c>
      <c r="D16" s="723">
        <v>0</v>
      </c>
      <c r="E16" s="723">
        <v>1034330.9599999998</v>
      </c>
      <c r="F16" s="723">
        <v>0</v>
      </c>
      <c r="G16" s="723"/>
      <c r="H16" s="723"/>
      <c r="I16" s="724">
        <f t="shared" si="0"/>
        <v>1723159.1999999997</v>
      </c>
    </row>
    <row r="17" spans="1:9">
      <c r="A17" s="426">
        <v>11</v>
      </c>
      <c r="B17" s="419" t="s">
        <v>70</v>
      </c>
      <c r="C17" s="723">
        <v>0</v>
      </c>
      <c r="D17" s="723">
        <v>0</v>
      </c>
      <c r="E17" s="723">
        <v>0</v>
      </c>
      <c r="F17" s="723">
        <v>0</v>
      </c>
      <c r="G17" s="723"/>
      <c r="H17" s="723"/>
      <c r="I17" s="724">
        <f t="shared" si="0"/>
        <v>0</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670</v>
      </c>
      <c r="C20" s="723">
        <v>2761818.74</v>
      </c>
      <c r="D20" s="723">
        <v>18688931.42449015</v>
      </c>
      <c r="E20" s="723">
        <v>1532604.9510000001</v>
      </c>
      <c r="F20" s="723">
        <v>96496.232600000018</v>
      </c>
      <c r="G20" s="723"/>
      <c r="H20" s="723"/>
      <c r="I20" s="724">
        <f t="shared" si="0"/>
        <v>19821648.980890147</v>
      </c>
    </row>
    <row r="21" spans="1:9" s="431" customFormat="1">
      <c r="A21" s="430">
        <v>15</v>
      </c>
      <c r="B21" s="420" t="s">
        <v>68</v>
      </c>
      <c r="C21" s="722">
        <f>SUM(C7:C15)+SUM(C17:C20)</f>
        <v>12450082.870000001</v>
      </c>
      <c r="D21" s="722">
        <f t="shared" ref="D21:H21" si="1">SUM(D7:D15)+SUM(D17:D20)</f>
        <v>386777213.38488168</v>
      </c>
      <c r="E21" s="722">
        <f t="shared" si="1"/>
        <v>5818773.3100000005</v>
      </c>
      <c r="F21" s="722">
        <f t="shared" si="1"/>
        <v>5194194.4997087689</v>
      </c>
      <c r="G21" s="722">
        <v>0</v>
      </c>
      <c r="H21" s="722">
        <f t="shared" si="1"/>
        <v>0</v>
      </c>
      <c r="I21" s="724">
        <f t="shared" si="0"/>
        <v>388214328.44517291</v>
      </c>
    </row>
    <row r="22" spans="1:9">
      <c r="A22" s="432">
        <v>16</v>
      </c>
      <c r="B22" s="433" t="s">
        <v>692</v>
      </c>
      <c r="C22" s="723">
        <v>10832152.609999999</v>
      </c>
      <c r="D22" s="723">
        <v>236046715.5099999</v>
      </c>
      <c r="E22" s="723">
        <v>4936368.4400000013</v>
      </c>
      <c r="F22" s="723">
        <v>4392932.4881999996</v>
      </c>
      <c r="G22" s="723">
        <v>0</v>
      </c>
      <c r="H22" s="723"/>
      <c r="I22" s="724">
        <f t="shared" si="0"/>
        <v>237549567.19179988</v>
      </c>
    </row>
    <row r="23" spans="1:9">
      <c r="A23" s="432">
        <v>17</v>
      </c>
      <c r="B23" s="433" t="s">
        <v>693</v>
      </c>
      <c r="C23" s="723">
        <v>0</v>
      </c>
      <c r="D23" s="723">
        <v>50332668.702465452</v>
      </c>
      <c r="E23" s="723">
        <v>0</v>
      </c>
      <c r="F23" s="723">
        <v>801262.01150876994</v>
      </c>
      <c r="G23" s="723"/>
      <c r="H23" s="723"/>
      <c r="I23" s="724">
        <f t="shared" si="0"/>
        <v>49531406.690956682</v>
      </c>
    </row>
    <row r="26" spans="1:9" ht="42.6" customHeight="1">
      <c r="B26" s="720" t="s">
        <v>940</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954</v>
      </c>
    </row>
    <row r="2" spans="1:9" ht="15">
      <c r="A2" s="527" t="s">
        <v>189</v>
      </c>
      <c r="B2" s="529">
        <f>'1. key ratios'!B2</f>
        <v>44651</v>
      </c>
    </row>
    <row r="3" spans="1:9">
      <c r="A3" s="415" t="s">
        <v>694</v>
      </c>
      <c r="B3" s="416"/>
    </row>
    <row r="4" spans="1:9">
      <c r="C4" s="425" t="s">
        <v>672</v>
      </c>
      <c r="D4" s="425" t="s">
        <v>673</v>
      </c>
      <c r="E4" s="425" t="s">
        <v>674</v>
      </c>
      <c r="F4" s="425" t="s">
        <v>675</v>
      </c>
      <c r="G4" s="425" t="s">
        <v>676</v>
      </c>
      <c r="H4" s="425" t="s">
        <v>677</v>
      </c>
      <c r="I4" s="425" t="s">
        <v>678</v>
      </c>
    </row>
    <row r="5" spans="1:9" ht="41.45" customHeight="1">
      <c r="A5" s="820" t="s">
        <v>951</v>
      </c>
      <c r="B5" s="821"/>
      <c r="C5" s="834" t="s">
        <v>682</v>
      </c>
      <c r="D5" s="834"/>
      <c r="E5" s="834" t="s">
        <v>683</v>
      </c>
      <c r="F5" s="834" t="s">
        <v>684</v>
      </c>
      <c r="G5" s="832" t="s">
        <v>685</v>
      </c>
      <c r="H5" s="832" t="s">
        <v>686</v>
      </c>
      <c r="I5" s="521" t="s">
        <v>687</v>
      </c>
    </row>
    <row r="6" spans="1:9" ht="41.45" customHeight="1">
      <c r="A6" s="824"/>
      <c r="B6" s="825"/>
      <c r="C6" s="473" t="s">
        <v>688</v>
      </c>
      <c r="D6" s="473" t="s">
        <v>689</v>
      </c>
      <c r="E6" s="834"/>
      <c r="F6" s="834"/>
      <c r="G6" s="833"/>
      <c r="H6" s="833"/>
      <c r="I6" s="521" t="s">
        <v>690</v>
      </c>
    </row>
    <row r="7" spans="1:9">
      <c r="A7" s="427">
        <v>1</v>
      </c>
      <c r="B7" s="435" t="s">
        <v>695</v>
      </c>
      <c r="C7" s="723">
        <v>7152.79</v>
      </c>
      <c r="D7" s="723">
        <v>80690260.747593805</v>
      </c>
      <c r="E7" s="723">
        <v>5490.3099999999995</v>
      </c>
      <c r="F7" s="723">
        <v>579433.56140279665</v>
      </c>
      <c r="G7" s="723"/>
      <c r="H7" s="723"/>
      <c r="I7" s="724">
        <f t="shared" ref="I7:I34" si="0">C7+D7-E7-F7-G7</f>
        <v>80112489.666191012</v>
      </c>
    </row>
    <row r="8" spans="1:9">
      <c r="A8" s="427">
        <v>2</v>
      </c>
      <c r="B8" s="435" t="s">
        <v>696</v>
      </c>
      <c r="C8" s="723">
        <v>3105.52</v>
      </c>
      <c r="D8" s="723">
        <v>102957134.15208156</v>
      </c>
      <c r="E8" s="723">
        <v>1552.76</v>
      </c>
      <c r="F8" s="723">
        <v>1083151.6577690712</v>
      </c>
      <c r="G8" s="723"/>
      <c r="H8" s="723"/>
      <c r="I8" s="724">
        <f t="shared" si="0"/>
        <v>101875535.25431249</v>
      </c>
    </row>
    <row r="9" spans="1:9">
      <c r="A9" s="427">
        <v>3</v>
      </c>
      <c r="B9" s="435" t="s">
        <v>697</v>
      </c>
      <c r="C9" s="723"/>
      <c r="D9" s="723"/>
      <c r="E9" s="723"/>
      <c r="F9" s="723"/>
      <c r="G9" s="723"/>
      <c r="H9" s="723"/>
      <c r="I9" s="724">
        <f t="shared" si="0"/>
        <v>0</v>
      </c>
    </row>
    <row r="10" spans="1:9">
      <c r="A10" s="427">
        <v>4</v>
      </c>
      <c r="B10" s="435" t="s">
        <v>698</v>
      </c>
      <c r="C10" s="723">
        <v>569777.67999999993</v>
      </c>
      <c r="D10" s="723">
        <v>23980660.119999997</v>
      </c>
      <c r="E10" s="723">
        <v>169785.60800000001</v>
      </c>
      <c r="F10" s="723">
        <v>478233.85119999992</v>
      </c>
      <c r="G10" s="723"/>
      <c r="H10" s="723"/>
      <c r="I10" s="724">
        <f t="shared" si="0"/>
        <v>23902418.340799998</v>
      </c>
    </row>
    <row r="11" spans="1:9">
      <c r="A11" s="427">
        <v>5</v>
      </c>
      <c r="B11" s="435" t="s">
        <v>699</v>
      </c>
      <c r="C11" s="723">
        <v>0</v>
      </c>
      <c r="D11" s="723">
        <v>12704058.300000003</v>
      </c>
      <c r="E11" s="723">
        <v>0</v>
      </c>
      <c r="F11" s="723">
        <v>253634.09560000003</v>
      </c>
      <c r="G11" s="723"/>
      <c r="H11" s="723"/>
      <c r="I11" s="724">
        <f t="shared" si="0"/>
        <v>12450424.204400003</v>
      </c>
    </row>
    <row r="12" spans="1:9">
      <c r="A12" s="427">
        <v>6</v>
      </c>
      <c r="B12" s="435" t="s">
        <v>700</v>
      </c>
      <c r="C12" s="723">
        <v>17795.75</v>
      </c>
      <c r="D12" s="723">
        <v>792563.3899999999</v>
      </c>
      <c r="E12" s="723">
        <v>13149.148999999999</v>
      </c>
      <c r="F12" s="723">
        <v>15625.024799999999</v>
      </c>
      <c r="G12" s="723"/>
      <c r="H12" s="723"/>
      <c r="I12" s="724">
        <f t="shared" si="0"/>
        <v>781584.96619999991</v>
      </c>
    </row>
    <row r="13" spans="1:9">
      <c r="A13" s="427">
        <v>7</v>
      </c>
      <c r="B13" s="435" t="s">
        <v>701</v>
      </c>
      <c r="C13" s="723">
        <v>0</v>
      </c>
      <c r="D13" s="723">
        <v>14549389.879999999</v>
      </c>
      <c r="E13" s="723">
        <v>0</v>
      </c>
      <c r="F13" s="723">
        <v>290242.8296</v>
      </c>
      <c r="G13" s="723"/>
      <c r="H13" s="723"/>
      <c r="I13" s="724">
        <f t="shared" si="0"/>
        <v>14259147.050399998</v>
      </c>
    </row>
    <row r="14" spans="1:9">
      <c r="A14" s="427">
        <v>8</v>
      </c>
      <c r="B14" s="435" t="s">
        <v>702</v>
      </c>
      <c r="C14" s="723">
        <v>889590.84</v>
      </c>
      <c r="D14" s="723">
        <v>2782450.04</v>
      </c>
      <c r="E14" s="723">
        <v>437440.96499999997</v>
      </c>
      <c r="F14" s="723">
        <v>55521.707999999999</v>
      </c>
      <c r="G14" s="723"/>
      <c r="H14" s="723"/>
      <c r="I14" s="724">
        <f t="shared" si="0"/>
        <v>3179078.2069999999</v>
      </c>
    </row>
    <row r="15" spans="1:9">
      <c r="A15" s="427">
        <v>9</v>
      </c>
      <c r="B15" s="435" t="s">
        <v>703</v>
      </c>
      <c r="C15" s="723">
        <v>0</v>
      </c>
      <c r="D15" s="723">
        <v>10363332.490586815</v>
      </c>
      <c r="E15" s="723">
        <v>0</v>
      </c>
      <c r="F15" s="723">
        <v>206385.65221173631</v>
      </c>
      <c r="G15" s="723"/>
      <c r="H15" s="723"/>
      <c r="I15" s="724">
        <f t="shared" si="0"/>
        <v>10156946.838375079</v>
      </c>
    </row>
    <row r="16" spans="1:9">
      <c r="A16" s="427">
        <v>10</v>
      </c>
      <c r="B16" s="435" t="s">
        <v>704</v>
      </c>
      <c r="C16" s="723">
        <v>1765040.76</v>
      </c>
      <c r="D16" s="723">
        <v>7010531.7500000009</v>
      </c>
      <c r="E16" s="723">
        <v>529512.228</v>
      </c>
      <c r="F16" s="723">
        <v>139992.92600000001</v>
      </c>
      <c r="G16" s="723"/>
      <c r="H16" s="723"/>
      <c r="I16" s="724">
        <f t="shared" si="0"/>
        <v>8106067.3560000015</v>
      </c>
    </row>
    <row r="17" spans="1:10">
      <c r="A17" s="427">
        <v>11</v>
      </c>
      <c r="B17" s="435" t="s">
        <v>705</v>
      </c>
      <c r="C17" s="723">
        <v>26112.460000000003</v>
      </c>
      <c r="D17" s="723">
        <v>14259513.869999999</v>
      </c>
      <c r="E17" s="723">
        <v>899102.94100000011</v>
      </c>
      <c r="F17" s="723">
        <v>105013.1338</v>
      </c>
      <c r="G17" s="723"/>
      <c r="H17" s="723"/>
      <c r="I17" s="724">
        <f t="shared" si="0"/>
        <v>13281510.2552</v>
      </c>
    </row>
    <row r="18" spans="1:10">
      <c r="A18" s="427">
        <v>12</v>
      </c>
      <c r="B18" s="435" t="s">
        <v>706</v>
      </c>
      <c r="C18" s="723">
        <v>179763.46999999997</v>
      </c>
      <c r="D18" s="723">
        <v>7486797.6799999997</v>
      </c>
      <c r="E18" s="723">
        <v>120785.54700000001</v>
      </c>
      <c r="F18" s="723">
        <v>148184.07180000001</v>
      </c>
      <c r="G18" s="723"/>
      <c r="H18" s="723"/>
      <c r="I18" s="724">
        <f t="shared" si="0"/>
        <v>7397591.5311999992</v>
      </c>
    </row>
    <row r="19" spans="1:10">
      <c r="A19" s="427">
        <v>13</v>
      </c>
      <c r="B19" s="435" t="s">
        <v>707</v>
      </c>
      <c r="C19" s="723">
        <v>21622.560000000001</v>
      </c>
      <c r="D19" s="723">
        <v>2387377.2799999998</v>
      </c>
      <c r="E19" s="723">
        <v>237634.52500000002</v>
      </c>
      <c r="F19" s="723">
        <v>4469.5974000000006</v>
      </c>
      <c r="G19" s="723"/>
      <c r="H19" s="723"/>
      <c r="I19" s="724">
        <f t="shared" si="0"/>
        <v>2166895.7176000001</v>
      </c>
    </row>
    <row r="20" spans="1:10">
      <c r="A20" s="427">
        <v>14</v>
      </c>
      <c r="B20" s="435" t="s">
        <v>708</v>
      </c>
      <c r="C20" s="723">
        <v>7009176.8400000008</v>
      </c>
      <c r="D20" s="723">
        <v>9001897.3100000005</v>
      </c>
      <c r="E20" s="723">
        <v>2139074.639</v>
      </c>
      <c r="F20" s="723">
        <v>179851.3792</v>
      </c>
      <c r="G20" s="723"/>
      <c r="H20" s="723"/>
      <c r="I20" s="724">
        <f t="shared" si="0"/>
        <v>13692148.131800001</v>
      </c>
    </row>
    <row r="21" spans="1:10">
      <c r="A21" s="427">
        <v>15</v>
      </c>
      <c r="B21" s="435" t="s">
        <v>709</v>
      </c>
      <c r="C21" s="723">
        <v>463.09</v>
      </c>
      <c r="D21" s="723">
        <v>3158371.9699999997</v>
      </c>
      <c r="E21" s="723">
        <v>463.09</v>
      </c>
      <c r="F21" s="723">
        <v>62853.218399999998</v>
      </c>
      <c r="G21" s="723"/>
      <c r="H21" s="723"/>
      <c r="I21" s="724">
        <f t="shared" si="0"/>
        <v>3095518.7515999996</v>
      </c>
    </row>
    <row r="22" spans="1:10">
      <c r="A22" s="427">
        <v>16</v>
      </c>
      <c r="B22" s="435" t="s">
        <v>710</v>
      </c>
      <c r="C22" s="723">
        <v>0</v>
      </c>
      <c r="D22" s="723">
        <v>0</v>
      </c>
      <c r="E22" s="723">
        <v>0</v>
      </c>
      <c r="F22" s="723">
        <v>0</v>
      </c>
      <c r="G22" s="723"/>
      <c r="H22" s="723"/>
      <c r="I22" s="724">
        <f t="shared" si="0"/>
        <v>0</v>
      </c>
    </row>
    <row r="23" spans="1:10">
      <c r="A23" s="427">
        <v>17</v>
      </c>
      <c r="B23" s="435" t="s">
        <v>711</v>
      </c>
      <c r="C23" s="723">
        <v>0</v>
      </c>
      <c r="D23" s="723">
        <v>0</v>
      </c>
      <c r="E23" s="723">
        <v>0</v>
      </c>
      <c r="F23" s="723">
        <v>0</v>
      </c>
      <c r="G23" s="723"/>
      <c r="H23" s="723"/>
      <c r="I23" s="724">
        <f t="shared" si="0"/>
        <v>0</v>
      </c>
    </row>
    <row r="24" spans="1:10">
      <c r="A24" s="427">
        <v>18</v>
      </c>
      <c r="B24" s="435" t="s">
        <v>712</v>
      </c>
      <c r="C24" s="723">
        <v>0</v>
      </c>
      <c r="D24" s="723">
        <v>46869448.077260345</v>
      </c>
      <c r="E24" s="723">
        <v>0</v>
      </c>
      <c r="F24" s="723">
        <v>930328.85541084665</v>
      </c>
      <c r="G24" s="723"/>
      <c r="H24" s="723"/>
      <c r="I24" s="724">
        <f t="shared" si="0"/>
        <v>45939119.221849501</v>
      </c>
    </row>
    <row r="25" spans="1:10">
      <c r="A25" s="427">
        <v>19</v>
      </c>
      <c r="B25" s="435" t="s">
        <v>713</v>
      </c>
      <c r="C25" s="723">
        <v>0</v>
      </c>
      <c r="D25" s="723">
        <v>3402208.0399999996</v>
      </c>
      <c r="E25" s="723">
        <v>0</v>
      </c>
      <c r="F25" s="723">
        <v>67831.030199999994</v>
      </c>
      <c r="G25" s="723"/>
      <c r="H25" s="723"/>
      <c r="I25" s="724">
        <f t="shared" si="0"/>
        <v>3334377.0097999997</v>
      </c>
    </row>
    <row r="26" spans="1:10">
      <c r="A26" s="427">
        <v>20</v>
      </c>
      <c r="B26" s="435" t="s">
        <v>714</v>
      </c>
      <c r="C26" s="723">
        <v>40160.790000000008</v>
      </c>
      <c r="D26" s="723">
        <v>8224977.2800000003</v>
      </c>
      <c r="E26" s="723">
        <v>34976.602000000006</v>
      </c>
      <c r="F26" s="723">
        <v>163440.63219999999</v>
      </c>
      <c r="G26" s="723"/>
      <c r="H26" s="723"/>
      <c r="I26" s="724">
        <f t="shared" si="0"/>
        <v>8066720.8358000005</v>
      </c>
      <c r="J26" s="436"/>
    </row>
    <row r="27" spans="1:10">
      <c r="A27" s="427">
        <v>21</v>
      </c>
      <c r="B27" s="435" t="s">
        <v>715</v>
      </c>
      <c r="C27" s="723">
        <v>0</v>
      </c>
      <c r="D27" s="723">
        <v>55664.829999999994</v>
      </c>
      <c r="E27" s="723">
        <v>0</v>
      </c>
      <c r="F27" s="723">
        <v>1105.0011999999999</v>
      </c>
      <c r="G27" s="723"/>
      <c r="H27" s="723"/>
      <c r="I27" s="724">
        <f t="shared" si="0"/>
        <v>54559.828799999996</v>
      </c>
      <c r="J27" s="436"/>
    </row>
    <row r="28" spans="1:10">
      <c r="A28" s="427">
        <v>22</v>
      </c>
      <c r="B28" s="435" t="s">
        <v>716</v>
      </c>
      <c r="C28" s="723">
        <v>0</v>
      </c>
      <c r="D28" s="723">
        <v>0</v>
      </c>
      <c r="E28" s="723">
        <v>0</v>
      </c>
      <c r="F28" s="723">
        <v>0</v>
      </c>
      <c r="G28" s="723"/>
      <c r="H28" s="723"/>
      <c r="I28" s="724">
        <f t="shared" si="0"/>
        <v>0</v>
      </c>
      <c r="J28" s="436"/>
    </row>
    <row r="29" spans="1:10">
      <c r="A29" s="427">
        <v>23</v>
      </c>
      <c r="B29" s="435" t="s">
        <v>717</v>
      </c>
      <c r="C29" s="723">
        <v>100106.71000000002</v>
      </c>
      <c r="D29" s="723">
        <v>21984873.38286896</v>
      </c>
      <c r="E29" s="723">
        <v>127581.41200000001</v>
      </c>
      <c r="F29" s="723">
        <v>419008.97471431934</v>
      </c>
      <c r="G29" s="723"/>
      <c r="H29" s="723"/>
      <c r="I29" s="724">
        <f t="shared" si="0"/>
        <v>21538389.706154641</v>
      </c>
      <c r="J29" s="436"/>
    </row>
    <row r="30" spans="1:10">
      <c r="A30" s="427">
        <v>24</v>
      </c>
      <c r="B30" s="435" t="s">
        <v>718</v>
      </c>
      <c r="C30" s="723">
        <v>0</v>
      </c>
      <c r="D30" s="723">
        <v>300116.67</v>
      </c>
      <c r="E30" s="723">
        <v>0</v>
      </c>
      <c r="F30" s="723">
        <v>6000</v>
      </c>
      <c r="G30" s="723"/>
      <c r="H30" s="723"/>
      <c r="I30" s="724">
        <f t="shared" si="0"/>
        <v>294116.67</v>
      </c>
      <c r="J30" s="436"/>
    </row>
    <row r="31" spans="1:10">
      <c r="A31" s="427">
        <v>25</v>
      </c>
      <c r="B31" s="435" t="s">
        <v>719</v>
      </c>
      <c r="C31" s="723">
        <v>202283.35</v>
      </c>
      <c r="D31" s="723">
        <v>379894.14</v>
      </c>
      <c r="E31" s="723">
        <v>219818.66400000002</v>
      </c>
      <c r="F31" s="723">
        <v>3887.2988000000005</v>
      </c>
      <c r="G31" s="723"/>
      <c r="H31" s="723"/>
      <c r="I31" s="724">
        <f t="shared" si="0"/>
        <v>358471.52720000001</v>
      </c>
      <c r="J31" s="436"/>
    </row>
    <row r="32" spans="1:10">
      <c r="A32" s="427">
        <v>26</v>
      </c>
      <c r="B32" s="435" t="s">
        <v>720</v>
      </c>
      <c r="C32" s="723">
        <v>0</v>
      </c>
      <c r="D32" s="723">
        <v>0</v>
      </c>
      <c r="E32" s="723">
        <v>0</v>
      </c>
      <c r="F32" s="723">
        <v>0</v>
      </c>
      <c r="G32" s="723"/>
      <c r="H32" s="723"/>
      <c r="I32" s="724">
        <f t="shared" si="0"/>
        <v>0</v>
      </c>
      <c r="J32" s="436"/>
    </row>
    <row r="33" spans="1:10">
      <c r="A33" s="427">
        <v>27</v>
      </c>
      <c r="B33" s="428" t="s">
        <v>165</v>
      </c>
      <c r="C33" s="723">
        <v>1617930.26</v>
      </c>
      <c r="D33" s="723">
        <v>13435691.984490149</v>
      </c>
      <c r="E33" s="723">
        <v>882404.87</v>
      </c>
      <c r="F33" s="723"/>
      <c r="G33" s="723"/>
      <c r="H33" s="723"/>
      <c r="I33" s="724">
        <f t="shared" si="0"/>
        <v>14171217.374490149</v>
      </c>
      <c r="J33" s="436"/>
    </row>
    <row r="34" spans="1:10">
      <c r="A34" s="427">
        <v>28</v>
      </c>
      <c r="B34" s="437" t="s">
        <v>68</v>
      </c>
      <c r="C34" s="722">
        <f>SUM(C7:C33)</f>
        <v>12450082.869999999</v>
      </c>
      <c r="D34" s="722">
        <f t="shared" ref="D34:H34" si="1">SUM(D7:D33)</f>
        <v>386777213.38488162</v>
      </c>
      <c r="E34" s="722">
        <f t="shared" si="1"/>
        <v>5818773.3100000005</v>
      </c>
      <c r="F34" s="722">
        <f t="shared" si="1"/>
        <v>5194194.4997087689</v>
      </c>
      <c r="G34" s="722">
        <v>0</v>
      </c>
      <c r="H34" s="722">
        <f t="shared" si="1"/>
        <v>0</v>
      </c>
      <c r="I34" s="724">
        <f t="shared" si="0"/>
        <v>388214328.44517285</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93.28515625" style="413" bestFit="1" customWidth="1"/>
    <col min="3" max="3" width="31" style="413" bestFit="1" customWidth="1"/>
    <col min="4" max="4" width="33.42578125" style="434" bestFit="1" customWidth="1"/>
    <col min="5" max="16384" width="9.140625" style="413"/>
  </cols>
  <sheetData>
    <row r="1" spans="1:4" ht="15">
      <c r="A1" s="527" t="s">
        <v>188</v>
      </c>
      <c r="B1" s="528" t="s">
        <v>954</v>
      </c>
      <c r="D1" s="413"/>
    </row>
    <row r="2" spans="1:4" ht="15">
      <c r="A2" s="527" t="s">
        <v>189</v>
      </c>
      <c r="B2" s="529">
        <f>'1. key ratios'!B2</f>
        <v>44651</v>
      </c>
      <c r="D2" s="413"/>
    </row>
    <row r="3" spans="1:4">
      <c r="A3" s="415" t="s">
        <v>721</v>
      </c>
      <c r="B3" s="416"/>
      <c r="D3" s="413"/>
    </row>
    <row r="5" spans="1:4" ht="63.75">
      <c r="A5" s="835" t="s">
        <v>722</v>
      </c>
      <c r="B5" s="835"/>
      <c r="C5" s="522" t="s">
        <v>723</v>
      </c>
      <c r="D5" s="522" t="s">
        <v>724</v>
      </c>
    </row>
    <row r="6" spans="1:4" ht="25.5">
      <c r="A6" s="441">
        <v>1</v>
      </c>
      <c r="B6" s="442" t="s">
        <v>725</v>
      </c>
      <c r="C6" s="725">
        <v>10979625.361928001</v>
      </c>
      <c r="D6" s="725">
        <v>535397.60263792169</v>
      </c>
    </row>
    <row r="7" spans="1:4">
      <c r="A7" s="443">
        <v>2</v>
      </c>
      <c r="B7" s="442" t="s">
        <v>726</v>
      </c>
      <c r="C7" s="725">
        <f>SUM(C8:C11)</f>
        <v>2230773.2966755684</v>
      </c>
      <c r="D7" s="725">
        <f>SUM(D8:D11)</f>
        <v>290190.50975121523</v>
      </c>
    </row>
    <row r="8" spans="1:4">
      <c r="A8" s="444">
        <v>2.1</v>
      </c>
      <c r="B8" s="445" t="s">
        <v>727</v>
      </c>
      <c r="C8" s="723">
        <v>2227482.8713035015</v>
      </c>
      <c r="D8" s="723">
        <v>289865.54116907105</v>
      </c>
    </row>
    <row r="9" spans="1:4">
      <c r="A9" s="444">
        <v>2.2000000000000002</v>
      </c>
      <c r="B9" s="445" t="s">
        <v>728</v>
      </c>
      <c r="C9" s="723">
        <v>0</v>
      </c>
      <c r="D9" s="723">
        <v>0</v>
      </c>
    </row>
    <row r="10" spans="1:4">
      <c r="A10" s="444">
        <v>2.2999999999999998</v>
      </c>
      <c r="B10" s="445" t="s">
        <v>729</v>
      </c>
      <c r="C10" s="723">
        <v>3290.4253720668621</v>
      </c>
      <c r="D10" s="723">
        <v>324.96858214416437</v>
      </c>
    </row>
    <row r="11" spans="1:4">
      <c r="A11" s="444">
        <v>2.4</v>
      </c>
      <c r="B11" s="445" t="s">
        <v>730</v>
      </c>
      <c r="C11" s="723">
        <v>0</v>
      </c>
      <c r="D11" s="723">
        <v>0</v>
      </c>
    </row>
    <row r="12" spans="1:4">
      <c r="A12" s="441">
        <v>3</v>
      </c>
      <c r="B12" s="442" t="s">
        <v>731</v>
      </c>
      <c r="C12" s="725">
        <f>SUM(C13:C18)</f>
        <v>3881097.7304035686</v>
      </c>
      <c r="D12" s="725">
        <f>SUM(D13:D18)</f>
        <v>24326.100880366979</v>
      </c>
    </row>
    <row r="13" spans="1:4">
      <c r="A13" s="444">
        <v>3.1</v>
      </c>
      <c r="B13" s="445" t="s">
        <v>732</v>
      </c>
      <c r="C13" s="723"/>
      <c r="D13" s="723"/>
    </row>
    <row r="14" spans="1:4">
      <c r="A14" s="444">
        <v>3.2</v>
      </c>
      <c r="B14" s="445" t="s">
        <v>733</v>
      </c>
      <c r="C14" s="723">
        <v>2398207.791121257</v>
      </c>
      <c r="D14" s="723">
        <v>24326.100880366979</v>
      </c>
    </row>
    <row r="15" spans="1:4">
      <c r="A15" s="444">
        <v>3.3</v>
      </c>
      <c r="B15" s="445" t="s">
        <v>734</v>
      </c>
      <c r="C15" s="723">
        <v>3428.7516839553205</v>
      </c>
      <c r="D15" s="723">
        <v>0</v>
      </c>
    </row>
    <row r="16" spans="1:4">
      <c r="A16" s="444">
        <v>3.4</v>
      </c>
      <c r="B16" s="445" t="s">
        <v>735</v>
      </c>
      <c r="C16" s="723">
        <v>0</v>
      </c>
      <c r="D16" s="723"/>
    </row>
    <row r="17" spans="1:4" ht="25.5">
      <c r="A17" s="443">
        <v>3.5</v>
      </c>
      <c r="B17" s="445" t="s">
        <v>736</v>
      </c>
      <c r="C17" s="723">
        <v>55526.187598355944</v>
      </c>
      <c r="D17" s="723">
        <v>0</v>
      </c>
    </row>
    <row r="18" spans="1:4">
      <c r="A18" s="444">
        <v>3.6</v>
      </c>
      <c r="B18" s="445" t="s">
        <v>737</v>
      </c>
      <c r="C18" s="723">
        <v>1423935</v>
      </c>
      <c r="D18" s="723">
        <v>0</v>
      </c>
    </row>
    <row r="19" spans="1:4">
      <c r="A19" s="446">
        <v>4</v>
      </c>
      <c r="B19" s="442" t="s">
        <v>738</v>
      </c>
      <c r="C19" s="722">
        <f>C6+C7-C12</f>
        <v>9329300.9282000009</v>
      </c>
      <c r="D19" s="722">
        <f>D6+D7-D12</f>
        <v>801262.01150876994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954</v>
      </c>
      <c r="D1" s="413"/>
    </row>
    <row r="2" spans="1:4" ht="15">
      <c r="A2" s="527" t="s">
        <v>189</v>
      </c>
      <c r="B2" s="529">
        <f>'1. key ratios'!B2</f>
        <v>44651</v>
      </c>
      <c r="D2" s="413"/>
    </row>
    <row r="3" spans="1:4">
      <c r="A3" s="415" t="s">
        <v>739</v>
      </c>
      <c r="B3" s="416"/>
      <c r="D3" s="413"/>
    </row>
    <row r="4" spans="1:4">
      <c r="A4" s="415"/>
      <c r="D4" s="413"/>
    </row>
    <row r="5" spans="1:4" ht="15" customHeight="1">
      <c r="A5" s="836" t="s">
        <v>740</v>
      </c>
      <c r="B5" s="837"/>
      <c r="C5" s="826" t="s">
        <v>741</v>
      </c>
      <c r="D5" s="840" t="s">
        <v>742</v>
      </c>
    </row>
    <row r="6" spans="1:4">
      <c r="A6" s="838"/>
      <c r="B6" s="839"/>
      <c r="C6" s="829"/>
      <c r="D6" s="840"/>
    </row>
    <row r="7" spans="1:4">
      <c r="A7" s="437">
        <v>1</v>
      </c>
      <c r="B7" s="420" t="s">
        <v>743</v>
      </c>
      <c r="C7" s="723">
        <v>11126007.278128</v>
      </c>
      <c r="D7" s="447"/>
    </row>
    <row r="8" spans="1:4">
      <c r="A8" s="428">
        <v>2</v>
      </c>
      <c r="B8" s="428" t="s">
        <v>744</v>
      </c>
      <c r="C8" s="723">
        <v>24732.900647920724</v>
      </c>
      <c r="D8" s="447"/>
    </row>
    <row r="9" spans="1:4">
      <c r="A9" s="428">
        <v>3</v>
      </c>
      <c r="B9" s="448" t="s">
        <v>745</v>
      </c>
      <c r="C9" s="723">
        <v>2725.5859578622772</v>
      </c>
      <c r="D9" s="447"/>
    </row>
    <row r="10" spans="1:4">
      <c r="A10" s="428">
        <v>4</v>
      </c>
      <c r="B10" s="428" t="s">
        <v>746</v>
      </c>
      <c r="C10" s="725">
        <f>SUM(C11:C18)</f>
        <v>451143.7647337825</v>
      </c>
      <c r="D10" s="447"/>
    </row>
    <row r="11" spans="1:4">
      <c r="A11" s="428">
        <v>5</v>
      </c>
      <c r="B11" s="449" t="s">
        <v>747</v>
      </c>
      <c r="C11" s="723">
        <v>0</v>
      </c>
      <c r="D11" s="447"/>
    </row>
    <row r="12" spans="1:4">
      <c r="A12" s="428">
        <v>6</v>
      </c>
      <c r="B12" s="449" t="s">
        <v>748</v>
      </c>
      <c r="C12" s="723">
        <v>0</v>
      </c>
      <c r="D12" s="447"/>
    </row>
    <row r="13" spans="1:4">
      <c r="A13" s="428">
        <v>7</v>
      </c>
      <c r="B13" s="449" t="s">
        <v>749</v>
      </c>
      <c r="C13" s="723">
        <v>348105.12947350892</v>
      </c>
      <c r="D13" s="447"/>
    </row>
    <row r="14" spans="1:4">
      <c r="A14" s="428">
        <v>8</v>
      </c>
      <c r="B14" s="449" t="s">
        <v>750</v>
      </c>
      <c r="C14" s="723">
        <v>0</v>
      </c>
      <c r="D14" s="428"/>
    </row>
    <row r="15" spans="1:4">
      <c r="A15" s="428">
        <v>9</v>
      </c>
      <c r="B15" s="449" t="s">
        <v>751</v>
      </c>
      <c r="C15" s="723">
        <v>0</v>
      </c>
      <c r="D15" s="428"/>
    </row>
    <row r="16" spans="1:4">
      <c r="A16" s="428">
        <v>10</v>
      </c>
      <c r="B16" s="449" t="s">
        <v>752</v>
      </c>
      <c r="C16" s="723">
        <v>0</v>
      </c>
      <c r="D16" s="447"/>
    </row>
    <row r="17" spans="1:4">
      <c r="A17" s="428">
        <v>11</v>
      </c>
      <c r="B17" s="449" t="s">
        <v>753</v>
      </c>
      <c r="C17" s="723"/>
      <c r="D17" s="428"/>
    </row>
    <row r="18" spans="1:4" ht="25.5">
      <c r="A18" s="428">
        <v>12</v>
      </c>
      <c r="B18" s="449" t="s">
        <v>754</v>
      </c>
      <c r="C18" s="723">
        <v>103038.63526027356</v>
      </c>
      <c r="D18" s="447"/>
    </row>
    <row r="19" spans="1:4">
      <c r="A19" s="437">
        <v>13</v>
      </c>
      <c r="B19" s="450" t="s">
        <v>755</v>
      </c>
      <c r="C19" s="722">
        <f>C7+C8+C9-C10</f>
        <v>10702322.000000002</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30" style="413" bestFit="1" customWidth="1"/>
    <col min="3" max="4" width="12.42578125" style="413" bestFit="1" customWidth="1"/>
    <col min="5" max="6" width="17.5703125" style="413" bestFit="1" customWidth="1"/>
    <col min="7" max="7" width="11.42578125" style="413" bestFit="1" customWidth="1"/>
    <col min="8" max="11" width="17.5703125" style="413" bestFit="1" customWidth="1"/>
    <col min="12" max="12" width="11.42578125" style="413" bestFit="1" customWidth="1"/>
    <col min="13" max="15" width="17.5703125" style="413" bestFit="1" customWidth="1"/>
    <col min="16" max="16" width="18.42578125" style="413" bestFit="1" customWidth="1"/>
    <col min="17" max="19" width="16.5703125" style="413" bestFit="1" customWidth="1"/>
    <col min="20" max="20" width="15.28515625" style="413" bestFit="1" customWidth="1"/>
    <col min="21" max="21" width="9.28515625" style="413" bestFit="1" customWidth="1"/>
    <col min="22" max="22" width="20" style="413" customWidth="1"/>
    <col min="23" max="16384" width="9.140625" style="413"/>
  </cols>
  <sheetData>
    <row r="1" spans="1:22" ht="15">
      <c r="A1" s="527" t="s">
        <v>188</v>
      </c>
      <c r="B1" s="528" t="s">
        <v>954</v>
      </c>
    </row>
    <row r="2" spans="1:22" ht="15">
      <c r="A2" s="527" t="s">
        <v>189</v>
      </c>
      <c r="B2" s="529">
        <f>'1. key ratios'!B2</f>
        <v>44651</v>
      </c>
      <c r="C2" s="424"/>
    </row>
    <row r="3" spans="1:22">
      <c r="A3" s="415" t="s">
        <v>756</v>
      </c>
      <c r="B3" s="416"/>
    </row>
    <row r="5" spans="1:22" ht="15" customHeight="1">
      <c r="A5" s="826" t="s">
        <v>757</v>
      </c>
      <c r="B5" s="828"/>
      <c r="C5" s="843" t="s">
        <v>758</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759</v>
      </c>
      <c r="E6" s="848"/>
      <c r="F6" s="849"/>
      <c r="G6" s="850" t="s">
        <v>760</v>
      </c>
      <c r="H6" s="851"/>
      <c r="I6" s="851"/>
      <c r="J6" s="851"/>
      <c r="K6" s="852"/>
      <c r="L6" s="524"/>
      <c r="M6" s="853" t="s">
        <v>761</v>
      </c>
      <c r="N6" s="853"/>
      <c r="O6" s="833"/>
      <c r="P6" s="833"/>
      <c r="Q6" s="833"/>
      <c r="R6" s="833"/>
      <c r="S6" s="833"/>
      <c r="T6" s="833"/>
      <c r="U6" s="833"/>
      <c r="V6" s="453"/>
    </row>
    <row r="7" spans="1:22" ht="38.25">
      <c r="A7" s="829"/>
      <c r="B7" s="831"/>
      <c r="C7" s="847"/>
      <c r="D7" s="454"/>
      <c r="E7" s="521" t="s">
        <v>762</v>
      </c>
      <c r="F7" s="726" t="s">
        <v>763</v>
      </c>
      <c r="G7" s="424"/>
      <c r="H7" s="726" t="s">
        <v>762</v>
      </c>
      <c r="I7" s="521" t="s">
        <v>789</v>
      </c>
      <c r="J7" s="521" t="s">
        <v>764</v>
      </c>
      <c r="K7" s="726" t="s">
        <v>765</v>
      </c>
      <c r="L7" s="520"/>
      <c r="M7" s="473" t="s">
        <v>766</v>
      </c>
      <c r="N7" s="521" t="s">
        <v>764</v>
      </c>
      <c r="O7" s="521" t="s">
        <v>767</v>
      </c>
      <c r="P7" s="521" t="s">
        <v>768</v>
      </c>
      <c r="Q7" s="521" t="s">
        <v>769</v>
      </c>
      <c r="R7" s="521" t="s">
        <v>770</v>
      </c>
      <c r="S7" s="521" t="s">
        <v>771</v>
      </c>
      <c r="T7" s="455" t="s">
        <v>772</v>
      </c>
      <c r="U7" s="521" t="s">
        <v>773</v>
      </c>
      <c r="V7" s="452"/>
    </row>
    <row r="8" spans="1:22">
      <c r="A8" s="456">
        <v>1</v>
      </c>
      <c r="B8" s="420" t="s">
        <v>774</v>
      </c>
      <c r="C8" s="727">
        <f>SUM(C9:C14)</f>
        <v>245105134.34999999</v>
      </c>
      <c r="D8" s="727">
        <f t="shared" ref="D8:U8" si="0">SUM(D9:D14)</f>
        <v>222638146.30000001</v>
      </c>
      <c r="E8" s="727">
        <f t="shared" si="0"/>
        <v>17844096.07</v>
      </c>
      <c r="F8" s="727">
        <f t="shared" si="0"/>
        <v>0</v>
      </c>
      <c r="G8" s="727">
        <f t="shared" si="0"/>
        <v>11764666.049999999</v>
      </c>
      <c r="H8" s="727">
        <f t="shared" si="0"/>
        <v>0</v>
      </c>
      <c r="I8" s="727">
        <f t="shared" si="0"/>
        <v>5430.15</v>
      </c>
      <c r="J8" s="727">
        <f t="shared" si="0"/>
        <v>0</v>
      </c>
      <c r="K8" s="727">
        <f t="shared" si="0"/>
        <v>0</v>
      </c>
      <c r="L8" s="727">
        <f t="shared" si="0"/>
        <v>10702322</v>
      </c>
      <c r="M8" s="727">
        <f t="shared" si="0"/>
        <v>62753.89</v>
      </c>
      <c r="N8" s="727">
        <f t="shared" si="0"/>
        <v>0</v>
      </c>
      <c r="O8" s="727">
        <f t="shared" si="0"/>
        <v>710228.53999999992</v>
      </c>
      <c r="P8" s="727">
        <f t="shared" si="0"/>
        <v>27226</v>
      </c>
      <c r="Q8" s="727">
        <f t="shared" si="0"/>
        <v>7946.26</v>
      </c>
      <c r="R8" s="727">
        <f t="shared" si="0"/>
        <v>1791144.71</v>
      </c>
      <c r="S8" s="727">
        <f t="shared" si="0"/>
        <v>220944.65000000002</v>
      </c>
      <c r="T8" s="727">
        <f t="shared" si="0"/>
        <v>0</v>
      </c>
      <c r="U8" s="727">
        <f t="shared" si="0"/>
        <v>773167.81</v>
      </c>
      <c r="V8" s="436"/>
    </row>
    <row r="9" spans="1:22">
      <c r="A9" s="427">
        <v>1.1000000000000001</v>
      </c>
      <c r="B9" s="457" t="s">
        <v>775</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776</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777</v>
      </c>
      <c r="C11" s="728">
        <v>2991521.89</v>
      </c>
      <c r="D11" s="723">
        <v>2991521.89</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778</v>
      </c>
      <c r="C12" s="728">
        <v>47050190.120000005</v>
      </c>
      <c r="D12" s="723">
        <v>47050190.120000005</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779</v>
      </c>
      <c r="C13" s="728">
        <v>188710819.05999997</v>
      </c>
      <c r="D13" s="723">
        <v>167771622.66000003</v>
      </c>
      <c r="E13" s="723">
        <v>17838110.629999999</v>
      </c>
      <c r="F13" s="723">
        <v>0</v>
      </c>
      <c r="G13" s="723">
        <v>11375709.549999999</v>
      </c>
      <c r="H13" s="723">
        <v>0</v>
      </c>
      <c r="I13" s="723">
        <v>0</v>
      </c>
      <c r="J13" s="723">
        <v>0</v>
      </c>
      <c r="K13" s="723">
        <v>0</v>
      </c>
      <c r="L13" s="723">
        <v>9563486.8500000015</v>
      </c>
      <c r="M13" s="723">
        <v>0</v>
      </c>
      <c r="N13" s="723">
        <v>0</v>
      </c>
      <c r="O13" s="723">
        <v>612016.34</v>
      </c>
      <c r="P13" s="723">
        <v>0</v>
      </c>
      <c r="Q13" s="723">
        <v>0</v>
      </c>
      <c r="R13" s="723">
        <v>1765040.76</v>
      </c>
      <c r="S13" s="723">
        <v>103816.47</v>
      </c>
      <c r="T13" s="723">
        <v>0</v>
      </c>
      <c r="U13" s="723">
        <v>399359.07000000007</v>
      </c>
      <c r="V13" s="436"/>
    </row>
    <row r="14" spans="1:22">
      <c r="A14" s="427">
        <v>1.6</v>
      </c>
      <c r="B14" s="457" t="s">
        <v>780</v>
      </c>
      <c r="C14" s="728">
        <v>6352603.2799999993</v>
      </c>
      <c r="D14" s="723">
        <v>4824811.6300000008</v>
      </c>
      <c r="E14" s="723">
        <v>5985.44</v>
      </c>
      <c r="F14" s="723">
        <v>0</v>
      </c>
      <c r="G14" s="723">
        <v>388956.50000000006</v>
      </c>
      <c r="H14" s="723">
        <v>0</v>
      </c>
      <c r="I14" s="723">
        <v>5430.15</v>
      </c>
      <c r="J14" s="723">
        <v>0</v>
      </c>
      <c r="K14" s="723">
        <v>0</v>
      </c>
      <c r="L14" s="723">
        <v>1138835.1499999994</v>
      </c>
      <c r="M14" s="723">
        <v>62753.89</v>
      </c>
      <c r="N14" s="723">
        <v>0</v>
      </c>
      <c r="O14" s="723">
        <v>98212.2</v>
      </c>
      <c r="P14" s="723">
        <v>27226</v>
      </c>
      <c r="Q14" s="723">
        <v>7946.26</v>
      </c>
      <c r="R14" s="723">
        <v>26103.949999999997</v>
      </c>
      <c r="S14" s="723">
        <v>117128.18000000002</v>
      </c>
      <c r="T14" s="723">
        <v>0</v>
      </c>
      <c r="U14" s="723">
        <v>373808.74000000005</v>
      </c>
      <c r="V14" s="436"/>
    </row>
    <row r="15" spans="1:22">
      <c r="A15" s="456">
        <v>2</v>
      </c>
      <c r="B15" s="437" t="s">
        <v>781</v>
      </c>
      <c r="C15" s="727">
        <f>SUM(C16:C21)</f>
        <v>49744135.18435847</v>
      </c>
      <c r="D15" s="727">
        <f t="shared" ref="D15:U15" si="1">SUM(D16:D21)</f>
        <v>49744135.18435847</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775</v>
      </c>
      <c r="C16" s="728">
        <v>1949856.0300000003</v>
      </c>
      <c r="D16" s="723">
        <v>1949856.0300000003</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776</v>
      </c>
      <c r="C17" s="728">
        <v>14243877.4090598</v>
      </c>
      <c r="D17" s="723">
        <v>14243877.4090598</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777</v>
      </c>
      <c r="C18" s="728"/>
      <c r="D18" s="723"/>
      <c r="E18" s="723"/>
      <c r="F18" s="723"/>
      <c r="G18" s="723"/>
      <c r="H18" s="723"/>
      <c r="I18" s="723"/>
      <c r="J18" s="723"/>
      <c r="K18" s="723"/>
      <c r="L18" s="723"/>
      <c r="M18" s="723"/>
      <c r="N18" s="723"/>
      <c r="O18" s="723"/>
      <c r="P18" s="723"/>
      <c r="Q18" s="723"/>
      <c r="R18" s="723"/>
      <c r="S18" s="723"/>
      <c r="T18" s="723"/>
      <c r="U18" s="723"/>
      <c r="V18" s="436"/>
    </row>
    <row r="19" spans="1:22">
      <c r="A19" s="427">
        <v>2.4</v>
      </c>
      <c r="B19" s="457" t="s">
        <v>778</v>
      </c>
      <c r="C19" s="728"/>
      <c r="D19" s="723"/>
      <c r="E19" s="723"/>
      <c r="F19" s="723"/>
      <c r="G19" s="723"/>
      <c r="H19" s="723"/>
      <c r="I19" s="723"/>
      <c r="J19" s="723"/>
      <c r="K19" s="723"/>
      <c r="L19" s="723"/>
      <c r="M19" s="723"/>
      <c r="N19" s="723"/>
      <c r="O19" s="723"/>
      <c r="P19" s="723"/>
      <c r="Q19" s="723"/>
      <c r="R19" s="723"/>
      <c r="S19" s="723"/>
      <c r="T19" s="723"/>
      <c r="U19" s="723"/>
      <c r="V19" s="436"/>
    </row>
    <row r="20" spans="1:22">
      <c r="A20" s="427">
        <v>2.5</v>
      </c>
      <c r="B20" s="457" t="s">
        <v>779</v>
      </c>
      <c r="C20" s="728">
        <v>33550401.745298669</v>
      </c>
      <c r="D20" s="723">
        <v>33550401.745298669</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780</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782</v>
      </c>
      <c r="C22" s="727">
        <f>SUM(C23:C28)</f>
        <v>109912256.38999999</v>
      </c>
      <c r="D22" s="727">
        <f t="shared" ref="D22:E22" si="2">SUM(D23:D28)</f>
        <v>109501422.47999999</v>
      </c>
      <c r="E22" s="727">
        <f t="shared" si="2"/>
        <v>0</v>
      </c>
      <c r="F22" s="458"/>
      <c r="G22" s="727">
        <f t="shared" ref="G22" si="3">SUM(G23:G28)</f>
        <v>372156</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775</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776</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777</v>
      </c>
      <c r="C25" s="728">
        <v>74895385.239999995</v>
      </c>
      <c r="D25" s="723">
        <v>74895385.239999995</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778</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779</v>
      </c>
      <c r="C27" s="728">
        <v>34978193.240000002</v>
      </c>
      <c r="D27" s="723">
        <v>34606037.240000002</v>
      </c>
      <c r="E27" s="723"/>
      <c r="F27" s="458"/>
      <c r="G27" s="723">
        <v>372156</v>
      </c>
      <c r="H27" s="458"/>
      <c r="I27" s="458"/>
      <c r="J27" s="458"/>
      <c r="K27" s="458"/>
      <c r="L27" s="723">
        <v>0</v>
      </c>
      <c r="M27" s="458"/>
      <c r="N27" s="458"/>
      <c r="O27" s="458"/>
      <c r="P27" s="458"/>
      <c r="Q27" s="458"/>
      <c r="R27" s="458"/>
      <c r="S27" s="458"/>
      <c r="T27" s="458"/>
      <c r="U27" s="723">
        <v>0</v>
      </c>
      <c r="V27" s="436"/>
    </row>
    <row r="28" spans="1:22">
      <c r="A28" s="427">
        <v>3.6</v>
      </c>
      <c r="B28" s="457" t="s">
        <v>780</v>
      </c>
      <c r="C28" s="728">
        <v>38677.909999999996</v>
      </c>
      <c r="D28" s="723">
        <v>0</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88.140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954</v>
      </c>
    </row>
    <row r="2" spans="1:21" ht="15">
      <c r="A2" s="527" t="s">
        <v>189</v>
      </c>
      <c r="B2" s="529">
        <f>'1. key ratios'!B2</f>
        <v>44651</v>
      </c>
    </row>
    <row r="3" spans="1:21">
      <c r="A3" s="415" t="s">
        <v>783</v>
      </c>
      <c r="B3" s="416"/>
      <c r="C3" s="416"/>
    </row>
    <row r="4" spans="1:21">
      <c r="A4" s="415"/>
      <c r="B4" s="416"/>
      <c r="C4" s="416"/>
    </row>
    <row r="5" spans="1:21" ht="13.5" customHeight="1">
      <c r="A5" s="854" t="s">
        <v>784</v>
      </c>
      <c r="B5" s="855"/>
      <c r="C5" s="860" t="s">
        <v>785</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786</v>
      </c>
      <c r="E6" s="861"/>
      <c r="F6" s="862"/>
      <c r="G6" s="860" t="s">
        <v>787</v>
      </c>
      <c r="H6" s="861"/>
      <c r="I6" s="861"/>
      <c r="J6" s="861"/>
      <c r="K6" s="862"/>
      <c r="L6" s="863" t="s">
        <v>788</v>
      </c>
      <c r="M6" s="864"/>
      <c r="N6" s="864"/>
      <c r="O6" s="864"/>
      <c r="P6" s="864"/>
      <c r="Q6" s="864"/>
      <c r="R6" s="864"/>
      <c r="S6" s="864"/>
      <c r="T6" s="865"/>
      <c r="U6" s="453"/>
    </row>
    <row r="7" spans="1:21" ht="25.5">
      <c r="A7" s="858"/>
      <c r="B7" s="859"/>
      <c r="C7" s="840"/>
      <c r="D7" s="434"/>
      <c r="E7" s="473" t="s">
        <v>762</v>
      </c>
      <c r="F7" s="726" t="s">
        <v>763</v>
      </c>
      <c r="G7" s="434"/>
      <c r="H7" s="473" t="s">
        <v>762</v>
      </c>
      <c r="I7" s="726" t="s">
        <v>789</v>
      </c>
      <c r="J7" s="726" t="s">
        <v>764</v>
      </c>
      <c r="K7" s="726" t="s">
        <v>765</v>
      </c>
      <c r="L7" s="729"/>
      <c r="M7" s="473" t="s">
        <v>766</v>
      </c>
      <c r="N7" s="726" t="s">
        <v>764</v>
      </c>
      <c r="O7" s="726" t="s">
        <v>767</v>
      </c>
      <c r="P7" s="726" t="s">
        <v>768</v>
      </c>
      <c r="Q7" s="726" t="s">
        <v>769</v>
      </c>
      <c r="R7" s="726" t="s">
        <v>770</v>
      </c>
      <c r="S7" s="726" t="s">
        <v>771</v>
      </c>
      <c r="T7" s="730" t="s">
        <v>772</v>
      </c>
      <c r="U7" s="452"/>
    </row>
    <row r="8" spans="1:21">
      <c r="A8" s="459">
        <v>1</v>
      </c>
      <c r="B8" s="450" t="s">
        <v>774</v>
      </c>
      <c r="C8" s="731">
        <v>245105134.34999999</v>
      </c>
      <c r="D8" s="723">
        <v>222638146.30000001</v>
      </c>
      <c r="E8" s="723">
        <v>17844096.07</v>
      </c>
      <c r="F8" s="723">
        <v>0</v>
      </c>
      <c r="G8" s="723">
        <v>11764666.049999999</v>
      </c>
      <c r="H8" s="723">
        <v>0</v>
      </c>
      <c r="I8" s="723">
        <v>5430.15</v>
      </c>
      <c r="J8" s="723">
        <v>0</v>
      </c>
      <c r="K8" s="723">
        <v>0</v>
      </c>
      <c r="L8" s="723">
        <v>10702322</v>
      </c>
      <c r="M8" s="723">
        <v>62753.89</v>
      </c>
      <c r="N8" s="723">
        <v>0</v>
      </c>
      <c r="O8" s="723">
        <v>710228.53999999992</v>
      </c>
      <c r="P8" s="723">
        <v>27226</v>
      </c>
      <c r="Q8" s="723">
        <v>7946.26</v>
      </c>
      <c r="R8" s="723">
        <v>1791144.71</v>
      </c>
      <c r="S8" s="723">
        <v>220944.65000000002</v>
      </c>
      <c r="T8" s="723">
        <v>0</v>
      </c>
      <c r="U8" s="436"/>
    </row>
    <row r="9" spans="1:21">
      <c r="A9" s="457">
        <v>1.1000000000000001</v>
      </c>
      <c r="B9" s="457" t="s">
        <v>790</v>
      </c>
      <c r="C9" s="728">
        <v>196065871.28000006</v>
      </c>
      <c r="D9" s="723">
        <v>173756275.69999996</v>
      </c>
      <c r="E9" s="723">
        <v>17844096.07</v>
      </c>
      <c r="F9" s="723">
        <v>0</v>
      </c>
      <c r="G9" s="723">
        <v>11759235.899999999</v>
      </c>
      <c r="H9" s="723">
        <v>0</v>
      </c>
      <c r="I9" s="723">
        <v>0</v>
      </c>
      <c r="J9" s="723">
        <v>0</v>
      </c>
      <c r="K9" s="723">
        <v>0</v>
      </c>
      <c r="L9" s="723">
        <v>10550359.680000003</v>
      </c>
      <c r="M9" s="723">
        <v>62753.89</v>
      </c>
      <c r="N9" s="723">
        <v>0</v>
      </c>
      <c r="O9" s="723">
        <v>710228.54</v>
      </c>
      <c r="P9" s="723">
        <v>27226.000000000004</v>
      </c>
      <c r="Q9" s="723">
        <v>3556.0299999999997</v>
      </c>
      <c r="R9" s="723">
        <v>1787163.2</v>
      </c>
      <c r="S9" s="723">
        <v>157279.01</v>
      </c>
      <c r="T9" s="723">
        <v>0</v>
      </c>
      <c r="U9" s="436"/>
    </row>
    <row r="10" spans="1:21">
      <c r="A10" s="460" t="s">
        <v>252</v>
      </c>
      <c r="B10" s="460" t="s">
        <v>791</v>
      </c>
      <c r="C10" s="732">
        <v>121679606.58000003</v>
      </c>
      <c r="D10" s="723">
        <v>108623626.82000002</v>
      </c>
      <c r="E10" s="723">
        <v>17782576.370000001</v>
      </c>
      <c r="F10" s="723">
        <v>0</v>
      </c>
      <c r="G10" s="723">
        <v>3000910.6100000003</v>
      </c>
      <c r="H10" s="723">
        <v>0</v>
      </c>
      <c r="I10" s="723">
        <v>0</v>
      </c>
      <c r="J10" s="723">
        <v>0</v>
      </c>
      <c r="K10" s="723">
        <v>0</v>
      </c>
      <c r="L10" s="723">
        <v>10055069.150000004</v>
      </c>
      <c r="M10" s="723">
        <v>60106.14</v>
      </c>
      <c r="N10" s="723">
        <v>0</v>
      </c>
      <c r="O10" s="723">
        <v>710228.54</v>
      </c>
      <c r="P10" s="723">
        <v>27226.000000000004</v>
      </c>
      <c r="Q10" s="723">
        <v>0</v>
      </c>
      <c r="R10" s="723">
        <v>1765040.76</v>
      </c>
      <c r="S10" s="723">
        <v>0</v>
      </c>
      <c r="T10" s="723">
        <v>0</v>
      </c>
      <c r="U10" s="436"/>
    </row>
    <row r="11" spans="1:21">
      <c r="A11" s="461" t="s">
        <v>792</v>
      </c>
      <c r="B11" s="462" t="s">
        <v>793</v>
      </c>
      <c r="C11" s="733">
        <v>94073335.280000031</v>
      </c>
      <c r="D11" s="723">
        <v>81017355.520000011</v>
      </c>
      <c r="E11" s="723">
        <v>17782576.370000001</v>
      </c>
      <c r="F11" s="723">
        <v>0</v>
      </c>
      <c r="G11" s="723">
        <v>3000910.6100000003</v>
      </c>
      <c r="H11" s="723">
        <v>0</v>
      </c>
      <c r="I11" s="723">
        <v>0</v>
      </c>
      <c r="J11" s="723">
        <v>0</v>
      </c>
      <c r="K11" s="723">
        <v>0</v>
      </c>
      <c r="L11" s="723">
        <v>10055069.150000004</v>
      </c>
      <c r="M11" s="723">
        <v>60106.14</v>
      </c>
      <c r="N11" s="723">
        <v>0</v>
      </c>
      <c r="O11" s="723">
        <v>710228.54</v>
      </c>
      <c r="P11" s="723">
        <v>27226.000000000004</v>
      </c>
      <c r="Q11" s="723">
        <v>0</v>
      </c>
      <c r="R11" s="723">
        <v>1765040.76</v>
      </c>
      <c r="S11" s="723">
        <v>0</v>
      </c>
      <c r="T11" s="723">
        <v>0</v>
      </c>
      <c r="U11" s="436"/>
    </row>
    <row r="12" spans="1:21">
      <c r="A12" s="461" t="s">
        <v>794</v>
      </c>
      <c r="B12" s="462" t="s">
        <v>795</v>
      </c>
      <c r="C12" s="733">
        <v>3144879.84</v>
      </c>
      <c r="D12" s="723">
        <v>3144879.84</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796</v>
      </c>
      <c r="B13" s="462" t="s">
        <v>797</v>
      </c>
      <c r="C13" s="733">
        <v>3888095.36</v>
      </c>
      <c r="D13" s="723">
        <v>3888095.36</v>
      </c>
      <c r="E13" s="723">
        <v>0</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436"/>
    </row>
    <row r="14" spans="1:21">
      <c r="A14" s="461" t="s">
        <v>798</v>
      </c>
      <c r="B14" s="462" t="s">
        <v>799</v>
      </c>
      <c r="C14" s="733">
        <v>20573296.100000001</v>
      </c>
      <c r="D14" s="723">
        <v>20573296.100000001</v>
      </c>
      <c r="E14" s="723">
        <v>0</v>
      </c>
      <c r="F14" s="723">
        <v>0</v>
      </c>
      <c r="G14" s="723">
        <v>0</v>
      </c>
      <c r="H14" s="723">
        <v>0</v>
      </c>
      <c r="I14" s="723">
        <v>0</v>
      </c>
      <c r="J14" s="723">
        <v>0</v>
      </c>
      <c r="K14" s="723">
        <v>0</v>
      </c>
      <c r="L14" s="723">
        <v>0</v>
      </c>
      <c r="M14" s="723">
        <v>0</v>
      </c>
      <c r="N14" s="723">
        <v>0</v>
      </c>
      <c r="O14" s="723">
        <v>0</v>
      </c>
      <c r="P14" s="723">
        <v>0</v>
      </c>
      <c r="Q14" s="723">
        <v>0</v>
      </c>
      <c r="R14" s="723">
        <v>0</v>
      </c>
      <c r="S14" s="723">
        <v>0</v>
      </c>
      <c r="T14" s="723">
        <v>0</v>
      </c>
      <c r="U14" s="436"/>
    </row>
    <row r="15" spans="1:21">
      <c r="A15" s="463">
        <v>1.2</v>
      </c>
      <c r="B15" s="464" t="s">
        <v>800</v>
      </c>
      <c r="C15" s="728">
        <v>8267718.560000007</v>
      </c>
      <c r="D15" s="723">
        <v>3475125.5139999995</v>
      </c>
      <c r="E15" s="723">
        <v>356881.92139999999</v>
      </c>
      <c r="F15" s="723">
        <v>0</v>
      </c>
      <c r="G15" s="723">
        <v>1175923.5900000001</v>
      </c>
      <c r="H15" s="723">
        <v>0</v>
      </c>
      <c r="I15" s="723">
        <v>0</v>
      </c>
      <c r="J15" s="723">
        <v>0</v>
      </c>
      <c r="K15" s="723">
        <v>0</v>
      </c>
      <c r="L15" s="723">
        <v>3616669.4560000002</v>
      </c>
      <c r="M15" s="723">
        <v>22672.425999999999</v>
      </c>
      <c r="N15" s="723">
        <v>0</v>
      </c>
      <c r="O15" s="723">
        <v>222597.872</v>
      </c>
      <c r="P15" s="723">
        <v>27226.000000000007</v>
      </c>
      <c r="Q15" s="723">
        <v>3556.03</v>
      </c>
      <c r="R15" s="723">
        <v>551634.66799999995</v>
      </c>
      <c r="S15" s="723">
        <v>157279.01</v>
      </c>
      <c r="T15" s="723">
        <v>0</v>
      </c>
      <c r="U15" s="436"/>
    </row>
    <row r="16" spans="1:21">
      <c r="A16" s="465">
        <v>1.3</v>
      </c>
      <c r="B16" s="464" t="s">
        <v>801</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802</v>
      </c>
      <c r="B17" s="468" t="s">
        <v>803</v>
      </c>
      <c r="C17" s="734">
        <v>189959863.76274592</v>
      </c>
      <c r="D17" s="723">
        <v>167650268.18274584</v>
      </c>
      <c r="E17" s="723">
        <v>17835298.470000003</v>
      </c>
      <c r="F17" s="723">
        <v>0</v>
      </c>
      <c r="G17" s="723">
        <v>11759235.899999999</v>
      </c>
      <c r="H17" s="723">
        <v>0</v>
      </c>
      <c r="I17" s="723">
        <v>0</v>
      </c>
      <c r="J17" s="723">
        <v>0</v>
      </c>
      <c r="K17" s="723">
        <v>0</v>
      </c>
      <c r="L17" s="723">
        <v>10550359.680000003</v>
      </c>
      <c r="M17" s="723">
        <v>62753.89</v>
      </c>
      <c r="N17" s="723">
        <v>0</v>
      </c>
      <c r="O17" s="723">
        <v>710228.54</v>
      </c>
      <c r="P17" s="723">
        <v>27226.000000000004</v>
      </c>
      <c r="Q17" s="723">
        <v>3556.0299999999997</v>
      </c>
      <c r="R17" s="723">
        <v>1787163.2</v>
      </c>
      <c r="S17" s="723">
        <v>157279.01</v>
      </c>
      <c r="T17" s="723">
        <v>0</v>
      </c>
      <c r="U17" s="440"/>
    </row>
    <row r="18" spans="1:21" s="434" customFormat="1" ht="25.5">
      <c r="A18" s="469" t="s">
        <v>804</v>
      </c>
      <c r="B18" s="469" t="s">
        <v>805</v>
      </c>
      <c r="C18" s="735">
        <v>106842230.36153154</v>
      </c>
      <c r="D18" s="723">
        <v>93786250.601531506</v>
      </c>
      <c r="E18" s="723">
        <v>17782576.370000001</v>
      </c>
      <c r="F18" s="723">
        <v>0</v>
      </c>
      <c r="G18" s="723">
        <v>3000910.6100000003</v>
      </c>
      <c r="H18" s="723">
        <v>0</v>
      </c>
      <c r="I18" s="723">
        <v>0</v>
      </c>
      <c r="J18" s="723">
        <v>0</v>
      </c>
      <c r="K18" s="723">
        <v>0</v>
      </c>
      <c r="L18" s="723">
        <v>10055069.150000004</v>
      </c>
      <c r="M18" s="723">
        <v>60106.14</v>
      </c>
      <c r="N18" s="723">
        <v>0</v>
      </c>
      <c r="O18" s="723">
        <v>710228.54</v>
      </c>
      <c r="P18" s="723">
        <v>27226.000000000004</v>
      </c>
      <c r="Q18" s="723">
        <v>0</v>
      </c>
      <c r="R18" s="723">
        <v>1765040.76</v>
      </c>
      <c r="S18" s="723">
        <v>0</v>
      </c>
      <c r="T18" s="723">
        <v>0</v>
      </c>
      <c r="U18" s="440"/>
    </row>
    <row r="19" spans="1:21" s="434" customFormat="1">
      <c r="A19" s="467" t="s">
        <v>806</v>
      </c>
      <c r="B19" s="470" t="s">
        <v>807</v>
      </c>
      <c r="C19" s="736">
        <v>216284096.62460834</v>
      </c>
      <c r="D19" s="723">
        <v>183494575.45236889</v>
      </c>
      <c r="E19" s="723">
        <v>9488318.1811781991</v>
      </c>
      <c r="F19" s="723">
        <v>0</v>
      </c>
      <c r="G19" s="723">
        <v>10997084.912289497</v>
      </c>
      <c r="H19" s="723">
        <v>0</v>
      </c>
      <c r="I19" s="723">
        <v>0</v>
      </c>
      <c r="J19" s="723">
        <v>0</v>
      </c>
      <c r="K19" s="723">
        <v>0</v>
      </c>
      <c r="L19" s="723">
        <v>21792436.259949945</v>
      </c>
      <c r="M19" s="723">
        <v>451454.22861999995</v>
      </c>
      <c r="N19" s="723">
        <v>0</v>
      </c>
      <c r="O19" s="723">
        <v>5279843.5666483939</v>
      </c>
      <c r="P19" s="723">
        <v>183662.40000000011</v>
      </c>
      <c r="Q19" s="723">
        <v>0</v>
      </c>
      <c r="R19" s="723">
        <v>3987341.4099999992</v>
      </c>
      <c r="S19" s="723">
        <v>0</v>
      </c>
      <c r="T19" s="723">
        <v>0</v>
      </c>
      <c r="U19" s="440"/>
    </row>
    <row r="20" spans="1:21" s="434" customFormat="1">
      <c r="A20" s="469" t="s">
        <v>808</v>
      </c>
      <c r="B20" s="469" t="s">
        <v>809</v>
      </c>
      <c r="C20" s="735">
        <v>137317545.50043753</v>
      </c>
      <c r="D20" s="723">
        <v>112384472.20511754</v>
      </c>
      <c r="E20" s="723">
        <v>9488318.1811781991</v>
      </c>
      <c r="F20" s="723">
        <v>0</v>
      </c>
      <c r="G20" s="723">
        <v>6055561.4734000005</v>
      </c>
      <c r="H20" s="723">
        <v>0</v>
      </c>
      <c r="I20" s="723">
        <v>0</v>
      </c>
      <c r="J20" s="723">
        <v>0</v>
      </c>
      <c r="K20" s="723">
        <v>0</v>
      </c>
      <c r="L20" s="723">
        <v>18877511.821919993</v>
      </c>
      <c r="M20" s="723">
        <v>441490.05861999991</v>
      </c>
      <c r="N20" s="723">
        <v>0</v>
      </c>
      <c r="O20" s="723">
        <v>4667827.226648394</v>
      </c>
      <c r="P20" s="723">
        <v>183662.40000000011</v>
      </c>
      <c r="Q20" s="723">
        <v>0</v>
      </c>
      <c r="R20" s="723">
        <v>2182914.1399999987</v>
      </c>
      <c r="S20" s="723">
        <v>0</v>
      </c>
      <c r="T20" s="723">
        <v>0</v>
      </c>
      <c r="U20" s="440"/>
    </row>
    <row r="21" spans="1:21" s="434" customFormat="1">
      <c r="A21" s="471">
        <v>1.4</v>
      </c>
      <c r="B21" s="511" t="s">
        <v>942</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943</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59.710937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954</v>
      </c>
      <c r="F1" s="413"/>
      <c r="G1" s="413"/>
      <c r="J1" s="413"/>
      <c r="K1" s="413"/>
      <c r="L1" s="413"/>
      <c r="M1" s="413"/>
      <c r="N1" s="413"/>
    </row>
    <row r="2" spans="1:15" ht="15">
      <c r="A2" s="527" t="s">
        <v>189</v>
      </c>
      <c r="B2" s="529">
        <f>'1. key ratios'!B2</f>
        <v>44651</v>
      </c>
      <c r="F2" s="413"/>
      <c r="G2" s="413"/>
      <c r="J2" s="413"/>
      <c r="K2" s="413"/>
      <c r="L2" s="413"/>
      <c r="M2" s="413"/>
      <c r="N2" s="413"/>
    </row>
    <row r="3" spans="1:15">
      <c r="A3" s="415" t="s">
        <v>812</v>
      </c>
      <c r="B3" s="416"/>
      <c r="F3" s="413"/>
      <c r="G3" s="413"/>
      <c r="J3" s="413"/>
      <c r="K3" s="413"/>
      <c r="L3" s="413"/>
      <c r="M3" s="413"/>
      <c r="N3" s="413"/>
    </row>
    <row r="4" spans="1:15">
      <c r="F4" s="413"/>
      <c r="G4" s="413"/>
      <c r="J4" s="413"/>
      <c r="K4" s="413"/>
      <c r="L4" s="413"/>
      <c r="M4" s="413"/>
      <c r="N4" s="413"/>
    </row>
    <row r="5" spans="1:15" ht="37.5" customHeight="1">
      <c r="A5" s="820" t="s">
        <v>813</v>
      </c>
      <c r="B5" s="821"/>
      <c r="C5" s="866" t="s">
        <v>814</v>
      </c>
      <c r="D5" s="867"/>
      <c r="E5" s="867"/>
      <c r="F5" s="867"/>
      <c r="G5" s="867"/>
      <c r="H5" s="868"/>
      <c r="I5" s="869" t="s">
        <v>815</v>
      </c>
      <c r="J5" s="870"/>
      <c r="K5" s="870"/>
      <c r="L5" s="870"/>
      <c r="M5" s="870"/>
      <c r="N5" s="871"/>
      <c r="O5" s="872" t="s">
        <v>685</v>
      </c>
    </row>
    <row r="6" spans="1:15" ht="39.6" customHeight="1">
      <c r="A6" s="824"/>
      <c r="B6" s="825"/>
      <c r="C6" s="472"/>
      <c r="D6" s="473" t="s">
        <v>816</v>
      </c>
      <c r="E6" s="473" t="s">
        <v>817</v>
      </c>
      <c r="F6" s="473" t="s">
        <v>818</v>
      </c>
      <c r="G6" s="473" t="s">
        <v>819</v>
      </c>
      <c r="H6" s="473" t="s">
        <v>820</v>
      </c>
      <c r="I6" s="523"/>
      <c r="J6" s="473" t="s">
        <v>816</v>
      </c>
      <c r="K6" s="473" t="s">
        <v>817</v>
      </c>
      <c r="L6" s="473" t="s">
        <v>818</v>
      </c>
      <c r="M6" s="473" t="s">
        <v>819</v>
      </c>
      <c r="N6" s="473" t="s">
        <v>820</v>
      </c>
      <c r="O6" s="873"/>
    </row>
    <row r="7" spans="1:15" ht="18">
      <c r="A7" s="427">
        <v>1</v>
      </c>
      <c r="B7" s="435" t="s">
        <v>695</v>
      </c>
      <c r="C7" s="738">
        <v>22466132.030000001</v>
      </c>
      <c r="D7" s="723">
        <v>22458979.239999998</v>
      </c>
      <c r="E7" s="723">
        <v>0</v>
      </c>
      <c r="F7" s="739">
        <v>0</v>
      </c>
      <c r="G7" s="723">
        <v>3324.96</v>
      </c>
      <c r="H7" s="723">
        <v>3827.83</v>
      </c>
      <c r="I7" s="723">
        <v>454669.89480000001</v>
      </c>
      <c r="J7" s="723">
        <v>449179.58480000001</v>
      </c>
      <c r="K7" s="723">
        <v>0</v>
      </c>
      <c r="L7" s="723">
        <v>0</v>
      </c>
      <c r="M7" s="723">
        <v>1662.48</v>
      </c>
      <c r="N7" s="723">
        <v>3827.83</v>
      </c>
      <c r="O7" s="723"/>
    </row>
    <row r="8" spans="1:15">
      <c r="A8" s="427">
        <v>2</v>
      </c>
      <c r="B8" s="435" t="s">
        <v>696</v>
      </c>
      <c r="C8" s="738">
        <v>39557633.240000002</v>
      </c>
      <c r="D8" s="723">
        <v>39554527.719999999</v>
      </c>
      <c r="E8" s="723">
        <v>0</v>
      </c>
      <c r="F8" s="740">
        <v>0</v>
      </c>
      <c r="G8" s="740">
        <v>3105.52</v>
      </c>
      <c r="H8" s="723">
        <v>0</v>
      </c>
      <c r="I8" s="723">
        <v>732812.87659999996</v>
      </c>
      <c r="J8" s="740">
        <v>731260.11659999995</v>
      </c>
      <c r="K8" s="740">
        <v>0</v>
      </c>
      <c r="L8" s="740">
        <v>0</v>
      </c>
      <c r="M8" s="740">
        <v>1552.76</v>
      </c>
      <c r="N8" s="740">
        <v>0</v>
      </c>
      <c r="O8" s="723"/>
    </row>
    <row r="9" spans="1:15">
      <c r="A9" s="427">
        <v>3</v>
      </c>
      <c r="B9" s="435" t="s">
        <v>697</v>
      </c>
      <c r="C9" s="738">
        <v>0</v>
      </c>
      <c r="D9" s="723">
        <v>0</v>
      </c>
      <c r="E9" s="723">
        <v>0</v>
      </c>
      <c r="F9" s="741">
        <v>0</v>
      </c>
      <c r="G9" s="741">
        <v>0</v>
      </c>
      <c r="H9" s="723">
        <v>0</v>
      </c>
      <c r="I9" s="723">
        <v>0</v>
      </c>
      <c r="J9" s="741">
        <v>0</v>
      </c>
      <c r="K9" s="741">
        <v>0</v>
      </c>
      <c r="L9" s="741">
        <v>0</v>
      </c>
      <c r="M9" s="741">
        <v>0</v>
      </c>
      <c r="N9" s="741">
        <v>0</v>
      </c>
      <c r="O9" s="723"/>
    </row>
    <row r="10" spans="1:15">
      <c r="A10" s="427">
        <v>4</v>
      </c>
      <c r="B10" s="435" t="s">
        <v>698</v>
      </c>
      <c r="C10" s="738">
        <v>24477612.619999997</v>
      </c>
      <c r="D10" s="723">
        <v>23911692.559999999</v>
      </c>
      <c r="E10" s="723">
        <v>0</v>
      </c>
      <c r="F10" s="741">
        <v>565906.36</v>
      </c>
      <c r="G10" s="741">
        <v>0</v>
      </c>
      <c r="H10" s="723">
        <v>13.7</v>
      </c>
      <c r="I10" s="723">
        <v>648019.45919999992</v>
      </c>
      <c r="J10" s="741">
        <v>478233.85119999992</v>
      </c>
      <c r="K10" s="741">
        <v>0</v>
      </c>
      <c r="L10" s="741">
        <v>169771.908</v>
      </c>
      <c r="M10" s="741">
        <v>0</v>
      </c>
      <c r="N10" s="741">
        <v>13.7</v>
      </c>
      <c r="O10" s="723"/>
    </row>
    <row r="11" spans="1:15">
      <c r="A11" s="427">
        <v>5</v>
      </c>
      <c r="B11" s="435" t="s">
        <v>699</v>
      </c>
      <c r="C11" s="738">
        <v>12681704.780000001</v>
      </c>
      <c r="D11" s="723">
        <v>12681704.780000001</v>
      </c>
      <c r="E11" s="723">
        <v>0</v>
      </c>
      <c r="F11" s="741">
        <v>0</v>
      </c>
      <c r="G11" s="741">
        <v>0</v>
      </c>
      <c r="H11" s="723">
        <v>0</v>
      </c>
      <c r="I11" s="723">
        <v>253634.09560000003</v>
      </c>
      <c r="J11" s="741">
        <v>253634.09560000003</v>
      </c>
      <c r="K11" s="741">
        <v>0</v>
      </c>
      <c r="L11" s="741">
        <v>0</v>
      </c>
      <c r="M11" s="741">
        <v>0</v>
      </c>
      <c r="N11" s="741">
        <v>0</v>
      </c>
      <c r="O11" s="723"/>
    </row>
    <row r="12" spans="1:15">
      <c r="A12" s="427">
        <v>6</v>
      </c>
      <c r="B12" s="435" t="s">
        <v>700</v>
      </c>
      <c r="C12" s="738">
        <v>804676.85</v>
      </c>
      <c r="D12" s="723">
        <v>781251.24</v>
      </c>
      <c r="E12" s="723">
        <v>5882.64</v>
      </c>
      <c r="F12" s="741">
        <v>0</v>
      </c>
      <c r="G12" s="741">
        <v>9964.17</v>
      </c>
      <c r="H12" s="723">
        <v>7578.8</v>
      </c>
      <c r="I12" s="723">
        <v>28774.173799999997</v>
      </c>
      <c r="J12" s="741">
        <v>15625.024799999999</v>
      </c>
      <c r="K12" s="741">
        <v>588.26400000000001</v>
      </c>
      <c r="L12" s="741">
        <v>0</v>
      </c>
      <c r="M12" s="741">
        <v>4982.085</v>
      </c>
      <c r="N12" s="741">
        <v>7578.8</v>
      </c>
      <c r="O12" s="723"/>
    </row>
    <row r="13" spans="1:15">
      <c r="A13" s="427">
        <v>7</v>
      </c>
      <c r="B13" s="435" t="s">
        <v>701</v>
      </c>
      <c r="C13" s="738">
        <v>14512141.48</v>
      </c>
      <c r="D13" s="723">
        <v>14512141.48</v>
      </c>
      <c r="E13" s="723">
        <v>0</v>
      </c>
      <c r="F13" s="741">
        <v>0</v>
      </c>
      <c r="G13" s="741">
        <v>0</v>
      </c>
      <c r="H13" s="723">
        <v>0</v>
      </c>
      <c r="I13" s="723">
        <v>290242.8296</v>
      </c>
      <c r="J13" s="741">
        <v>290242.8296</v>
      </c>
      <c r="K13" s="741">
        <v>0</v>
      </c>
      <c r="L13" s="741">
        <v>0</v>
      </c>
      <c r="M13" s="741">
        <v>0</v>
      </c>
      <c r="N13" s="741">
        <v>0</v>
      </c>
      <c r="O13" s="723"/>
    </row>
    <row r="14" spans="1:15">
      <c r="A14" s="427">
        <v>8</v>
      </c>
      <c r="B14" s="435" t="s">
        <v>702</v>
      </c>
      <c r="C14" s="738">
        <v>3665398.59</v>
      </c>
      <c r="D14" s="723">
        <v>2776085.4000000004</v>
      </c>
      <c r="E14" s="723">
        <v>0</v>
      </c>
      <c r="F14" s="741">
        <v>645531.75</v>
      </c>
      <c r="G14" s="741">
        <v>0</v>
      </c>
      <c r="H14" s="723">
        <v>243781.44</v>
      </c>
      <c r="I14" s="723">
        <v>492962.67299999989</v>
      </c>
      <c r="J14" s="741">
        <v>55521.707999999999</v>
      </c>
      <c r="K14" s="741">
        <v>0</v>
      </c>
      <c r="L14" s="741">
        <v>193659.52499999994</v>
      </c>
      <c r="M14" s="741">
        <v>0</v>
      </c>
      <c r="N14" s="741">
        <v>243781.44</v>
      </c>
      <c r="O14" s="723"/>
    </row>
    <row r="15" spans="1:15">
      <c r="A15" s="427">
        <v>9</v>
      </c>
      <c r="B15" s="435" t="s">
        <v>703</v>
      </c>
      <c r="C15" s="738">
        <v>5319282.6100000003</v>
      </c>
      <c r="D15" s="723">
        <v>5319282.6100000003</v>
      </c>
      <c r="E15" s="723">
        <v>0</v>
      </c>
      <c r="F15" s="741">
        <v>0</v>
      </c>
      <c r="G15" s="741">
        <v>0</v>
      </c>
      <c r="H15" s="723">
        <v>0</v>
      </c>
      <c r="I15" s="723">
        <v>106385.65220000001</v>
      </c>
      <c r="J15" s="741">
        <v>106385.65220000001</v>
      </c>
      <c r="K15" s="741">
        <v>0</v>
      </c>
      <c r="L15" s="741">
        <v>0</v>
      </c>
      <c r="M15" s="741">
        <v>0</v>
      </c>
      <c r="N15" s="741">
        <v>0</v>
      </c>
      <c r="O15" s="723"/>
    </row>
    <row r="16" spans="1:15" ht="25.5">
      <c r="A16" s="427">
        <v>10</v>
      </c>
      <c r="B16" s="435" t="s">
        <v>704</v>
      </c>
      <c r="C16" s="738">
        <v>8764687.0600000005</v>
      </c>
      <c r="D16" s="723">
        <v>6999646.3000000007</v>
      </c>
      <c r="E16" s="723">
        <v>0</v>
      </c>
      <c r="F16" s="741">
        <v>1765040.76</v>
      </c>
      <c r="G16" s="741">
        <v>0</v>
      </c>
      <c r="H16" s="723">
        <v>0</v>
      </c>
      <c r="I16" s="723">
        <v>669505.15399999998</v>
      </c>
      <c r="J16" s="741">
        <v>139992.92600000001</v>
      </c>
      <c r="K16" s="741">
        <v>0</v>
      </c>
      <c r="L16" s="741">
        <v>529512.228</v>
      </c>
      <c r="M16" s="741">
        <v>0</v>
      </c>
      <c r="N16" s="741">
        <v>0</v>
      </c>
      <c r="O16" s="723"/>
    </row>
    <row r="17" spans="1:15">
      <c r="A17" s="427">
        <v>11</v>
      </c>
      <c r="B17" s="435" t="s">
        <v>705</v>
      </c>
      <c r="C17" s="738">
        <v>14035092.309999999</v>
      </c>
      <c r="D17" s="723">
        <v>5250656.6900000004</v>
      </c>
      <c r="E17" s="723">
        <v>8758325.2899999991</v>
      </c>
      <c r="F17" s="741">
        <v>304.89</v>
      </c>
      <c r="G17" s="741">
        <v>5252.99</v>
      </c>
      <c r="H17" s="723">
        <v>20552.45</v>
      </c>
      <c r="I17" s="723">
        <v>1004116.0748000001</v>
      </c>
      <c r="J17" s="741">
        <v>105013.1338</v>
      </c>
      <c r="K17" s="741">
        <v>875832.5290000001</v>
      </c>
      <c r="L17" s="741">
        <v>91.466999999999985</v>
      </c>
      <c r="M17" s="741">
        <v>2626.4949999999999</v>
      </c>
      <c r="N17" s="741">
        <v>20552.45</v>
      </c>
      <c r="O17" s="723"/>
    </row>
    <row r="18" spans="1:15">
      <c r="A18" s="427">
        <v>12</v>
      </c>
      <c r="B18" s="435" t="s">
        <v>706</v>
      </c>
      <c r="C18" s="738">
        <v>7613368.4799999995</v>
      </c>
      <c r="D18" s="723">
        <v>7409203.5899999999</v>
      </c>
      <c r="E18" s="723">
        <v>24406.12</v>
      </c>
      <c r="F18" s="741">
        <v>87734.05</v>
      </c>
      <c r="G18" s="741">
        <v>0</v>
      </c>
      <c r="H18" s="723">
        <v>92024.72</v>
      </c>
      <c r="I18" s="723">
        <v>268969.61879999994</v>
      </c>
      <c r="J18" s="741">
        <v>148184.07180000001</v>
      </c>
      <c r="K18" s="741">
        <v>2440.6119999999996</v>
      </c>
      <c r="L18" s="741">
        <v>26320.215000000004</v>
      </c>
      <c r="M18" s="741">
        <v>0</v>
      </c>
      <c r="N18" s="741">
        <v>92024.72</v>
      </c>
      <c r="O18" s="723"/>
    </row>
    <row r="19" spans="1:15">
      <c r="A19" s="427">
        <v>13</v>
      </c>
      <c r="B19" s="435" t="s">
        <v>707</v>
      </c>
      <c r="C19" s="738">
        <v>2405222.08</v>
      </c>
      <c r="D19" s="723">
        <v>223479.86999999997</v>
      </c>
      <c r="E19" s="723">
        <v>2160119.65</v>
      </c>
      <c r="F19" s="741">
        <v>0</v>
      </c>
      <c r="G19" s="741">
        <v>0</v>
      </c>
      <c r="H19" s="723">
        <v>21622.560000000001</v>
      </c>
      <c r="I19" s="723">
        <v>242104.12240000002</v>
      </c>
      <c r="J19" s="741">
        <v>4469.5974000000006</v>
      </c>
      <c r="K19" s="741">
        <v>216011.96500000003</v>
      </c>
      <c r="L19" s="741">
        <v>0</v>
      </c>
      <c r="M19" s="741">
        <v>0</v>
      </c>
      <c r="N19" s="741">
        <v>21622.560000000001</v>
      </c>
      <c r="O19" s="723"/>
    </row>
    <row r="20" spans="1:15">
      <c r="A20" s="427">
        <v>14</v>
      </c>
      <c r="B20" s="435" t="s">
        <v>708</v>
      </c>
      <c r="C20" s="738">
        <v>15877079.799999999</v>
      </c>
      <c r="D20" s="723">
        <v>8992568.9600000009</v>
      </c>
      <c r="E20" s="723">
        <v>0</v>
      </c>
      <c r="F20" s="741">
        <v>6772846.7300000004</v>
      </c>
      <c r="G20" s="741">
        <v>8886.98</v>
      </c>
      <c r="H20" s="723">
        <v>102777.12999999999</v>
      </c>
      <c r="I20" s="723">
        <v>2318926.0181999998</v>
      </c>
      <c r="J20" s="741">
        <v>179851.3792</v>
      </c>
      <c r="K20" s="741">
        <v>0</v>
      </c>
      <c r="L20" s="741">
        <v>2031854.0190000001</v>
      </c>
      <c r="M20" s="741">
        <v>4443.49</v>
      </c>
      <c r="N20" s="741">
        <v>102777.12999999999</v>
      </c>
      <c r="O20" s="723"/>
    </row>
    <row r="21" spans="1:15">
      <c r="A21" s="427">
        <v>15</v>
      </c>
      <c r="B21" s="435" t="s">
        <v>709</v>
      </c>
      <c r="C21" s="738">
        <v>3143124.01</v>
      </c>
      <c r="D21" s="723">
        <v>3142660.92</v>
      </c>
      <c r="E21" s="723">
        <v>0</v>
      </c>
      <c r="F21" s="741">
        <v>0</v>
      </c>
      <c r="G21" s="741">
        <v>0</v>
      </c>
      <c r="H21" s="723">
        <v>463.09</v>
      </c>
      <c r="I21" s="723">
        <v>63316.308399999994</v>
      </c>
      <c r="J21" s="741">
        <v>62853.218399999998</v>
      </c>
      <c r="K21" s="741">
        <v>0</v>
      </c>
      <c r="L21" s="741">
        <v>0</v>
      </c>
      <c r="M21" s="741">
        <v>0</v>
      </c>
      <c r="N21" s="741">
        <v>463.09</v>
      </c>
      <c r="O21" s="723"/>
    </row>
    <row r="22" spans="1:15">
      <c r="A22" s="427">
        <v>16</v>
      </c>
      <c r="B22" s="435" t="s">
        <v>710</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711</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712</v>
      </c>
      <c r="C24" s="738">
        <v>45667427.430000007</v>
      </c>
      <c r="D24" s="723">
        <v>45667427.430000007</v>
      </c>
      <c r="E24" s="723">
        <v>0</v>
      </c>
      <c r="F24" s="741">
        <v>0</v>
      </c>
      <c r="G24" s="741">
        <v>0</v>
      </c>
      <c r="H24" s="723">
        <v>0</v>
      </c>
      <c r="I24" s="723">
        <v>913348.54859999998</v>
      </c>
      <c r="J24" s="741">
        <v>913348.54859999998</v>
      </c>
      <c r="K24" s="741">
        <v>0</v>
      </c>
      <c r="L24" s="741">
        <v>0</v>
      </c>
      <c r="M24" s="741">
        <v>0</v>
      </c>
      <c r="N24" s="741">
        <v>0</v>
      </c>
      <c r="O24" s="723"/>
    </row>
    <row r="25" spans="1:15">
      <c r="A25" s="427">
        <v>19</v>
      </c>
      <c r="B25" s="435" t="s">
        <v>713</v>
      </c>
      <c r="C25" s="738">
        <v>3391551.51</v>
      </c>
      <c r="D25" s="723">
        <v>3391551.51</v>
      </c>
      <c r="E25" s="723">
        <v>0</v>
      </c>
      <c r="F25" s="741">
        <v>0</v>
      </c>
      <c r="G25" s="741">
        <v>0</v>
      </c>
      <c r="H25" s="723">
        <v>0</v>
      </c>
      <c r="I25" s="723">
        <v>67831.030199999994</v>
      </c>
      <c r="J25" s="741">
        <v>67831.030199999994</v>
      </c>
      <c r="K25" s="741">
        <v>0</v>
      </c>
      <c r="L25" s="741">
        <v>0</v>
      </c>
      <c r="M25" s="741">
        <v>0</v>
      </c>
      <c r="N25" s="741">
        <v>0</v>
      </c>
      <c r="O25" s="723"/>
    </row>
    <row r="26" spans="1:15">
      <c r="A26" s="427">
        <v>20</v>
      </c>
      <c r="B26" s="435" t="s">
        <v>714</v>
      </c>
      <c r="C26" s="738">
        <v>8212158.5800000001</v>
      </c>
      <c r="D26" s="723">
        <v>8172031.6100000003</v>
      </c>
      <c r="E26" s="723">
        <v>0</v>
      </c>
      <c r="F26" s="741">
        <v>1708.8400000000001</v>
      </c>
      <c r="G26" s="741">
        <v>7908.3600000000006</v>
      </c>
      <c r="H26" s="723">
        <v>30509.77</v>
      </c>
      <c r="I26" s="723">
        <v>198417.23420000001</v>
      </c>
      <c r="J26" s="741">
        <v>163440.63219999999</v>
      </c>
      <c r="K26" s="741">
        <v>0</v>
      </c>
      <c r="L26" s="741">
        <v>512.65200000000004</v>
      </c>
      <c r="M26" s="741">
        <v>3954.1800000000003</v>
      </c>
      <c r="N26" s="741">
        <v>30509.77</v>
      </c>
      <c r="O26" s="723"/>
    </row>
    <row r="27" spans="1:15">
      <c r="A27" s="427">
        <v>21</v>
      </c>
      <c r="B27" s="435" t="s">
        <v>715</v>
      </c>
      <c r="C27" s="738">
        <v>55250.06</v>
      </c>
      <c r="D27" s="723">
        <v>55250.06</v>
      </c>
      <c r="E27" s="723">
        <v>0</v>
      </c>
      <c r="F27" s="741">
        <v>0</v>
      </c>
      <c r="G27" s="741">
        <v>0</v>
      </c>
      <c r="H27" s="723">
        <v>0</v>
      </c>
      <c r="I27" s="723">
        <v>1105.0011999999999</v>
      </c>
      <c r="J27" s="741">
        <v>1105.0011999999999</v>
      </c>
      <c r="K27" s="741">
        <v>0</v>
      </c>
      <c r="L27" s="741">
        <v>0</v>
      </c>
      <c r="M27" s="741">
        <v>0</v>
      </c>
      <c r="N27" s="741">
        <v>0</v>
      </c>
      <c r="O27" s="723"/>
    </row>
    <row r="28" spans="1:15">
      <c r="A28" s="427">
        <v>22</v>
      </c>
      <c r="B28" s="435" t="s">
        <v>716</v>
      </c>
      <c r="C28" s="738">
        <v>0</v>
      </c>
      <c r="D28" s="723">
        <v>0</v>
      </c>
      <c r="E28" s="723">
        <v>0</v>
      </c>
      <c r="F28" s="741">
        <v>0</v>
      </c>
      <c r="G28" s="741">
        <v>0</v>
      </c>
      <c r="H28" s="723">
        <v>0</v>
      </c>
      <c r="I28" s="723">
        <v>0</v>
      </c>
      <c r="J28" s="741">
        <v>0</v>
      </c>
      <c r="K28" s="741">
        <v>0</v>
      </c>
      <c r="L28" s="741">
        <v>0</v>
      </c>
      <c r="M28" s="741">
        <v>0</v>
      </c>
      <c r="N28" s="741">
        <v>0</v>
      </c>
      <c r="O28" s="723"/>
    </row>
    <row r="29" spans="1:15">
      <c r="A29" s="427">
        <v>23</v>
      </c>
      <c r="B29" s="435" t="s">
        <v>717</v>
      </c>
      <c r="C29" s="738">
        <v>11575156.909999998</v>
      </c>
      <c r="D29" s="723">
        <v>10843639.390000001</v>
      </c>
      <c r="E29" s="723">
        <v>632040.81000000006</v>
      </c>
      <c r="F29" s="741">
        <v>50141.97</v>
      </c>
      <c r="G29" s="741">
        <v>0</v>
      </c>
      <c r="H29" s="723">
        <v>49334.740000000013</v>
      </c>
      <c r="I29" s="723">
        <v>344454.19980000006</v>
      </c>
      <c r="J29" s="741">
        <v>216872.78780000005</v>
      </c>
      <c r="K29" s="741">
        <v>63204.080999999991</v>
      </c>
      <c r="L29" s="741">
        <v>15042.591</v>
      </c>
      <c r="M29" s="741">
        <v>0</v>
      </c>
      <c r="N29" s="741">
        <v>49334.740000000013</v>
      </c>
      <c r="O29" s="723"/>
    </row>
    <row r="30" spans="1:15">
      <c r="A30" s="427">
        <v>24</v>
      </c>
      <c r="B30" s="435" t="s">
        <v>718</v>
      </c>
      <c r="C30" s="738">
        <v>300000</v>
      </c>
      <c r="D30" s="723">
        <v>300000</v>
      </c>
      <c r="E30" s="723">
        <v>0</v>
      </c>
      <c r="F30" s="741">
        <v>0</v>
      </c>
      <c r="G30" s="741">
        <v>0</v>
      </c>
      <c r="H30" s="723">
        <v>0</v>
      </c>
      <c r="I30" s="723">
        <v>6000</v>
      </c>
      <c r="J30" s="741">
        <v>6000</v>
      </c>
      <c r="K30" s="741">
        <v>0</v>
      </c>
      <c r="L30" s="741">
        <v>0</v>
      </c>
      <c r="M30" s="741">
        <v>0</v>
      </c>
      <c r="N30" s="741">
        <v>0</v>
      </c>
      <c r="O30" s="723"/>
    </row>
    <row r="31" spans="1:15">
      <c r="A31" s="427">
        <v>25</v>
      </c>
      <c r="B31" s="435" t="s">
        <v>719</v>
      </c>
      <c r="C31" s="738">
        <v>580433.92000000004</v>
      </c>
      <c r="D31" s="723">
        <v>194364.94</v>
      </c>
      <c r="E31" s="723">
        <v>183891.54</v>
      </c>
      <c r="F31" s="741">
        <v>0</v>
      </c>
      <c r="G31" s="741">
        <v>1495.86</v>
      </c>
      <c r="H31" s="723">
        <v>200681.58000000002</v>
      </c>
      <c r="I31" s="723">
        <v>223705.96280000001</v>
      </c>
      <c r="J31" s="741">
        <v>3887.2988000000005</v>
      </c>
      <c r="K31" s="741">
        <v>18389.154000000002</v>
      </c>
      <c r="L31" s="741">
        <v>0</v>
      </c>
      <c r="M31" s="741">
        <v>747.93</v>
      </c>
      <c r="N31" s="741">
        <v>200681.58000000002</v>
      </c>
      <c r="O31" s="723"/>
    </row>
    <row r="32" spans="1:15">
      <c r="A32" s="427">
        <v>26</v>
      </c>
      <c r="B32" s="435" t="s">
        <v>821</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245105134.34999999</v>
      </c>
      <c r="D33" s="742">
        <f t="shared" ref="D33:N33" si="0">SUM(D7:D32)</f>
        <v>222638146.30000001</v>
      </c>
      <c r="E33" s="742">
        <f t="shared" si="0"/>
        <v>11764666.049999999</v>
      </c>
      <c r="F33" s="742">
        <f t="shared" si="0"/>
        <v>9889215.3500000015</v>
      </c>
      <c r="G33" s="742">
        <f t="shared" si="0"/>
        <v>39938.839999999997</v>
      </c>
      <c r="H33" s="742">
        <f t="shared" si="0"/>
        <v>773167.81</v>
      </c>
      <c r="I33" s="742">
        <f t="shared" si="0"/>
        <v>9329300.9282000009</v>
      </c>
      <c r="J33" s="742">
        <f t="shared" si="0"/>
        <v>4392932.4881999986</v>
      </c>
      <c r="K33" s="742">
        <f t="shared" si="0"/>
        <v>1176466.6050000002</v>
      </c>
      <c r="L33" s="742">
        <f t="shared" si="0"/>
        <v>2966764.6049999995</v>
      </c>
      <c r="M33" s="742">
        <f t="shared" si="0"/>
        <v>19969.419999999998</v>
      </c>
      <c r="N33" s="742">
        <f t="shared" si="0"/>
        <v>773167.81</v>
      </c>
      <c r="O33" s="742">
        <v>0</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6.140625" style="476" bestFit="1" customWidth="1"/>
    <col min="3" max="3" width="18.28515625" style="476" bestFit="1" customWidth="1"/>
    <col min="4" max="4" width="25.7109375" style="476" bestFit="1" customWidth="1"/>
    <col min="5" max="5" width="23" style="476" bestFit="1" customWidth="1"/>
    <col min="6" max="6" width="25.140625" style="476" bestFit="1" customWidth="1"/>
    <col min="7" max="7" width="18.28515625" style="476" bestFit="1" customWidth="1"/>
    <col min="8" max="8" width="25.5703125" style="476" bestFit="1" customWidth="1"/>
    <col min="9" max="9" width="22.5703125" style="476" bestFit="1" customWidth="1"/>
    <col min="10" max="10" width="18.28515625" style="476" bestFit="1" customWidth="1"/>
    <col min="11" max="11" width="21.140625" style="476" bestFit="1" customWidth="1"/>
    <col min="12" max="16384" width="8.7109375" style="476"/>
  </cols>
  <sheetData>
    <row r="1" spans="1:11" s="413" customFormat="1" ht="15">
      <c r="A1" s="527" t="s">
        <v>188</v>
      </c>
      <c r="B1" s="528" t="s">
        <v>954</v>
      </c>
    </row>
    <row r="2" spans="1:11" s="413" customFormat="1" ht="15">
      <c r="A2" s="527" t="s">
        <v>189</v>
      </c>
      <c r="B2" s="529">
        <f>'1. key ratios'!B2</f>
        <v>44651</v>
      </c>
    </row>
    <row r="3" spans="1:11" s="413" customFormat="1" ht="12.75">
      <c r="A3" s="415" t="s">
        <v>822</v>
      </c>
      <c r="B3" s="416"/>
    </row>
    <row r="4" spans="1:11">
      <c r="C4" s="477" t="s">
        <v>672</v>
      </c>
      <c r="D4" s="477" t="s">
        <v>673</v>
      </c>
      <c r="E4" s="477" t="s">
        <v>674</v>
      </c>
      <c r="F4" s="477" t="s">
        <v>675</v>
      </c>
      <c r="G4" s="477" t="s">
        <v>676</v>
      </c>
      <c r="H4" s="477" t="s">
        <v>677</v>
      </c>
      <c r="I4" s="477" t="s">
        <v>678</v>
      </c>
      <c r="J4" s="477" t="s">
        <v>679</v>
      </c>
      <c r="K4" s="477" t="s">
        <v>680</v>
      </c>
    </row>
    <row r="5" spans="1:11" ht="104.1" customHeight="1">
      <c r="A5" s="874" t="s">
        <v>1032</v>
      </c>
      <c r="B5" s="875"/>
      <c r="C5" s="417" t="s">
        <v>823</v>
      </c>
      <c r="D5" s="417" t="s">
        <v>810</v>
      </c>
      <c r="E5" s="417" t="s">
        <v>811</v>
      </c>
      <c r="F5" s="417" t="s">
        <v>824</v>
      </c>
      <c r="G5" s="417" t="s">
        <v>825</v>
      </c>
      <c r="H5" s="417" t="s">
        <v>826</v>
      </c>
      <c r="I5" s="417" t="s">
        <v>827</v>
      </c>
      <c r="J5" s="417" t="s">
        <v>828</v>
      </c>
      <c r="K5" s="417" t="s">
        <v>829</v>
      </c>
    </row>
    <row r="6" spans="1:11" ht="12.75">
      <c r="A6" s="427">
        <v>1</v>
      </c>
      <c r="B6" s="427" t="s">
        <v>830</v>
      </c>
      <c r="C6" s="723">
        <v>7144800.9399999995</v>
      </c>
      <c r="D6" s="723">
        <v>0</v>
      </c>
      <c r="E6" s="723">
        <v>0</v>
      </c>
      <c r="F6" s="723">
        <v>0</v>
      </c>
      <c r="G6" s="723">
        <v>105749535.35500003</v>
      </c>
      <c r="H6" s="723">
        <v>-4.6566128730773926E-10</v>
      </c>
      <c r="I6" s="723">
        <v>25548420.445629951</v>
      </c>
      <c r="J6" s="723">
        <v>51545275.261970066</v>
      </c>
      <c r="K6" s="723">
        <v>55117102.347399987</v>
      </c>
    </row>
    <row r="7" spans="1:11" ht="12.75">
      <c r="A7" s="427">
        <v>2</v>
      </c>
      <c r="B7" s="428" t="s">
        <v>831</v>
      </c>
      <c r="C7" s="723">
        <v>0</v>
      </c>
      <c r="D7" s="723">
        <v>0</v>
      </c>
      <c r="E7" s="723">
        <v>0</v>
      </c>
      <c r="F7" s="723">
        <v>0</v>
      </c>
      <c r="G7" s="723">
        <v>0</v>
      </c>
      <c r="H7" s="723">
        <v>0</v>
      </c>
      <c r="I7" s="723">
        <v>0</v>
      </c>
      <c r="J7" s="723">
        <v>0</v>
      </c>
      <c r="K7" s="723">
        <v>33550401.745298669</v>
      </c>
    </row>
    <row r="8" spans="1:11" ht="12.75">
      <c r="A8" s="427">
        <v>3</v>
      </c>
      <c r="B8" s="428" t="s">
        <v>782</v>
      </c>
      <c r="C8" s="723">
        <v>401913.34999999992</v>
      </c>
      <c r="D8" s="723"/>
      <c r="E8" s="723">
        <v>0</v>
      </c>
      <c r="F8" s="723">
        <v>0</v>
      </c>
      <c r="G8" s="723">
        <v>18759664.66</v>
      </c>
      <c r="H8" s="723">
        <v>0</v>
      </c>
      <c r="I8" s="723">
        <v>0</v>
      </c>
      <c r="J8" s="723">
        <v>10575418.23</v>
      </c>
      <c r="K8" s="723">
        <v>80175260.155230001</v>
      </c>
    </row>
    <row r="9" spans="1:11" ht="12.75">
      <c r="A9" s="427">
        <v>4</v>
      </c>
      <c r="B9" s="457" t="s">
        <v>832</v>
      </c>
      <c r="C9" s="723">
        <v>0</v>
      </c>
      <c r="D9" s="723"/>
      <c r="E9" s="723">
        <v>0</v>
      </c>
      <c r="F9" s="723">
        <v>0</v>
      </c>
      <c r="G9" s="723">
        <v>10055069.150000004</v>
      </c>
      <c r="H9" s="723">
        <v>0</v>
      </c>
      <c r="I9" s="723">
        <v>65015.888029946094</v>
      </c>
      <c r="J9" s="723">
        <v>430274.64197005401</v>
      </c>
      <c r="K9" s="723">
        <v>151962.32</v>
      </c>
    </row>
    <row r="10" spans="1:11" ht="12.75">
      <c r="A10" s="427">
        <v>5</v>
      </c>
      <c r="B10" s="478" t="s">
        <v>833</v>
      </c>
      <c r="C10" s="723"/>
      <c r="D10" s="723"/>
      <c r="E10" s="723"/>
      <c r="F10" s="723"/>
      <c r="G10" s="723"/>
      <c r="H10" s="723"/>
      <c r="I10" s="723"/>
      <c r="J10" s="723"/>
      <c r="K10" s="723"/>
    </row>
    <row r="11" spans="1:11" ht="12.75">
      <c r="A11" s="427">
        <v>6</v>
      </c>
      <c r="B11" s="478" t="s">
        <v>834</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954</v>
      </c>
    </row>
    <row r="2" spans="1:19" ht="15.75">
      <c r="A2" s="527" t="s">
        <v>189</v>
      </c>
      <c r="B2" s="529">
        <f>'1. key ratios'!B2</f>
        <v>44651</v>
      </c>
    </row>
    <row r="3" spans="1:19">
      <c r="A3" s="415" t="s">
        <v>977</v>
      </c>
      <c r="B3" s="413"/>
    </row>
    <row r="4" spans="1:19">
      <c r="A4" s="415"/>
      <c r="B4" s="413"/>
    </row>
    <row r="5" spans="1:19" ht="24" customHeight="1">
      <c r="A5" s="877" t="s">
        <v>978</v>
      </c>
      <c r="B5" s="877"/>
      <c r="C5" s="878" t="s">
        <v>785</v>
      </c>
      <c r="D5" s="878"/>
      <c r="E5" s="878"/>
      <c r="F5" s="878"/>
      <c r="G5" s="878"/>
      <c r="H5" s="878"/>
      <c r="I5" s="878" t="s">
        <v>979</v>
      </c>
      <c r="J5" s="878"/>
      <c r="K5" s="878"/>
      <c r="L5" s="878"/>
      <c r="M5" s="878"/>
      <c r="N5" s="878"/>
      <c r="O5" s="876" t="s">
        <v>980</v>
      </c>
      <c r="P5" s="876" t="s">
        <v>981</v>
      </c>
      <c r="Q5" s="876" t="s">
        <v>982</v>
      </c>
      <c r="R5" s="876" t="s">
        <v>983</v>
      </c>
      <c r="S5" s="876" t="s">
        <v>984</v>
      </c>
    </row>
    <row r="6" spans="1:19" ht="36" customHeight="1">
      <c r="A6" s="877"/>
      <c r="B6" s="877"/>
      <c r="C6" s="744"/>
      <c r="D6" s="473" t="s">
        <v>816</v>
      </c>
      <c r="E6" s="473" t="s">
        <v>817</v>
      </c>
      <c r="F6" s="473" t="s">
        <v>818</v>
      </c>
      <c r="G6" s="473" t="s">
        <v>819</v>
      </c>
      <c r="H6" s="473" t="s">
        <v>820</v>
      </c>
      <c r="I6" s="744"/>
      <c r="J6" s="473" t="s">
        <v>816</v>
      </c>
      <c r="K6" s="473" t="s">
        <v>817</v>
      </c>
      <c r="L6" s="473" t="s">
        <v>818</v>
      </c>
      <c r="M6" s="473" t="s">
        <v>819</v>
      </c>
      <c r="N6" s="473" t="s">
        <v>820</v>
      </c>
      <c r="O6" s="876"/>
      <c r="P6" s="876"/>
      <c r="Q6" s="876"/>
      <c r="R6" s="876"/>
      <c r="S6" s="876"/>
    </row>
    <row r="7" spans="1:19">
      <c r="A7" s="745">
        <v>1</v>
      </c>
      <c r="B7" s="746" t="s">
        <v>985</v>
      </c>
      <c r="C7" s="762">
        <f>SUM(D7:H7)</f>
        <v>0</v>
      </c>
      <c r="D7" s="762">
        <v>0</v>
      </c>
      <c r="E7" s="762">
        <v>0</v>
      </c>
      <c r="F7" s="762">
        <v>0</v>
      </c>
      <c r="G7" s="762">
        <v>0</v>
      </c>
      <c r="H7" s="762">
        <v>0</v>
      </c>
      <c r="I7" s="762">
        <f>SUM(J7:N7)</f>
        <v>0</v>
      </c>
      <c r="J7" s="762">
        <v>0</v>
      </c>
      <c r="K7" s="762">
        <v>0</v>
      </c>
      <c r="L7" s="762">
        <v>0</v>
      </c>
      <c r="M7" s="762">
        <v>0</v>
      </c>
      <c r="N7" s="762">
        <v>0</v>
      </c>
      <c r="O7" s="763">
        <v>0</v>
      </c>
      <c r="P7" s="764">
        <v>0</v>
      </c>
      <c r="Q7" s="764">
        <v>0</v>
      </c>
      <c r="R7" s="764">
        <v>0</v>
      </c>
      <c r="S7" s="765">
        <v>0</v>
      </c>
    </row>
    <row r="8" spans="1:19">
      <c r="A8" s="745">
        <v>2</v>
      </c>
      <c r="B8" s="748" t="s">
        <v>986</v>
      </c>
      <c r="C8" s="762">
        <f t="shared" ref="C8:C18" si="0">SUM(D8:H8)</f>
        <v>3572933.04</v>
      </c>
      <c r="D8" s="762">
        <v>3243333.86</v>
      </c>
      <c r="E8" s="762">
        <v>5430.15</v>
      </c>
      <c r="F8" s="762">
        <v>304.89</v>
      </c>
      <c r="G8" s="762">
        <v>39538.839999999997</v>
      </c>
      <c r="H8" s="762">
        <v>284325.30000000005</v>
      </c>
      <c r="I8" s="762">
        <f t="shared" ref="I8:I18" si="1">SUM(J8:N8)</f>
        <v>369595.87920000002</v>
      </c>
      <c r="J8" s="762">
        <v>64866.677199999991</v>
      </c>
      <c r="K8" s="762">
        <v>543.01499999999999</v>
      </c>
      <c r="L8" s="762">
        <v>91.466999999999985</v>
      </c>
      <c r="M8" s="762">
        <v>19769.419999999998</v>
      </c>
      <c r="N8" s="762">
        <v>284325.30000000005</v>
      </c>
      <c r="O8" s="763">
        <v>149</v>
      </c>
      <c r="P8" s="764">
        <v>0.11316153941584682</v>
      </c>
      <c r="Q8" s="764">
        <v>0.12165070891741903</v>
      </c>
      <c r="R8" s="764">
        <v>0.11952227030814164</v>
      </c>
      <c r="S8" s="765">
        <v>43.459009436491307</v>
      </c>
    </row>
    <row r="9" spans="1:19">
      <c r="A9" s="745">
        <v>3</v>
      </c>
      <c r="B9" s="748" t="s">
        <v>987</v>
      </c>
      <c r="C9" s="762">
        <f t="shared" si="0"/>
        <v>0</v>
      </c>
      <c r="D9" s="762">
        <v>0</v>
      </c>
      <c r="E9" s="762">
        <v>0</v>
      </c>
      <c r="F9" s="762">
        <v>0</v>
      </c>
      <c r="G9" s="762">
        <v>0</v>
      </c>
      <c r="H9" s="762">
        <v>0</v>
      </c>
      <c r="I9" s="762">
        <f t="shared" si="1"/>
        <v>0</v>
      </c>
      <c r="J9" s="762">
        <v>0</v>
      </c>
      <c r="K9" s="762">
        <v>0</v>
      </c>
      <c r="L9" s="762">
        <v>0</v>
      </c>
      <c r="M9" s="762">
        <v>0</v>
      </c>
      <c r="N9" s="762">
        <v>0</v>
      </c>
      <c r="O9" s="763">
        <v>0</v>
      </c>
      <c r="P9" s="764">
        <v>0</v>
      </c>
      <c r="Q9" s="764">
        <v>0</v>
      </c>
      <c r="R9" s="764">
        <v>0</v>
      </c>
      <c r="S9" s="765">
        <v>0</v>
      </c>
    </row>
    <row r="10" spans="1:19">
      <c r="A10" s="745">
        <v>4</v>
      </c>
      <c r="B10" s="748" t="s">
        <v>988</v>
      </c>
      <c r="C10" s="762">
        <f t="shared" si="0"/>
        <v>0</v>
      </c>
      <c r="D10" s="762">
        <v>0</v>
      </c>
      <c r="E10" s="762">
        <v>0</v>
      </c>
      <c r="F10" s="762">
        <v>0</v>
      </c>
      <c r="G10" s="762">
        <v>0</v>
      </c>
      <c r="H10" s="762">
        <v>0</v>
      </c>
      <c r="I10" s="762">
        <f t="shared" si="1"/>
        <v>0</v>
      </c>
      <c r="J10" s="762">
        <v>0</v>
      </c>
      <c r="K10" s="762">
        <v>0</v>
      </c>
      <c r="L10" s="762">
        <v>0</v>
      </c>
      <c r="M10" s="762">
        <v>0</v>
      </c>
      <c r="N10" s="762">
        <v>0</v>
      </c>
      <c r="O10" s="763">
        <v>0</v>
      </c>
      <c r="P10" s="764">
        <v>0</v>
      </c>
      <c r="Q10" s="764">
        <v>0</v>
      </c>
      <c r="R10" s="764">
        <v>0</v>
      </c>
      <c r="S10" s="765">
        <v>0</v>
      </c>
    </row>
    <row r="11" spans="1:19">
      <c r="A11" s="745">
        <v>5</v>
      </c>
      <c r="B11" s="748" t="s">
        <v>989</v>
      </c>
      <c r="C11" s="762">
        <f t="shared" si="0"/>
        <v>29137.499999999996</v>
      </c>
      <c r="D11" s="762">
        <v>23288.659999999996</v>
      </c>
      <c r="E11" s="762">
        <v>0</v>
      </c>
      <c r="F11" s="762">
        <v>1708.8400000000001</v>
      </c>
      <c r="G11" s="762">
        <v>400</v>
      </c>
      <c r="H11" s="762">
        <v>3740</v>
      </c>
      <c r="I11" s="762">
        <f t="shared" si="1"/>
        <v>4918.4251999999997</v>
      </c>
      <c r="J11" s="762">
        <v>465.77320000000009</v>
      </c>
      <c r="K11" s="762">
        <v>0</v>
      </c>
      <c r="L11" s="762">
        <v>512.65200000000004</v>
      </c>
      <c r="M11" s="762">
        <v>200</v>
      </c>
      <c r="N11" s="762">
        <v>3740</v>
      </c>
      <c r="O11" s="763">
        <v>47</v>
      </c>
      <c r="P11" s="764">
        <v>0.14618069841346246</v>
      </c>
      <c r="Q11" s="764">
        <v>0.16146168606693001</v>
      </c>
      <c r="R11" s="764">
        <v>0.14612843243243245</v>
      </c>
      <c r="S11" s="765">
        <v>0</v>
      </c>
    </row>
    <row r="12" spans="1:19">
      <c r="A12" s="745">
        <v>6</v>
      </c>
      <c r="B12" s="748" t="s">
        <v>990</v>
      </c>
      <c r="C12" s="762">
        <f t="shared" si="0"/>
        <v>0</v>
      </c>
      <c r="D12" s="762">
        <v>0</v>
      </c>
      <c r="E12" s="762">
        <v>0</v>
      </c>
      <c r="F12" s="762">
        <v>0</v>
      </c>
      <c r="G12" s="762">
        <v>0</v>
      </c>
      <c r="H12" s="762">
        <v>0</v>
      </c>
      <c r="I12" s="762">
        <f t="shared" si="1"/>
        <v>0</v>
      </c>
      <c r="J12" s="762">
        <v>0</v>
      </c>
      <c r="K12" s="762">
        <v>0</v>
      </c>
      <c r="L12" s="762">
        <v>0</v>
      </c>
      <c r="M12" s="762">
        <v>0</v>
      </c>
      <c r="N12" s="762">
        <v>0</v>
      </c>
      <c r="O12" s="763">
        <v>0</v>
      </c>
      <c r="P12" s="764">
        <v>0</v>
      </c>
      <c r="Q12" s="764">
        <v>0</v>
      </c>
      <c r="R12" s="764">
        <v>0</v>
      </c>
      <c r="S12" s="765">
        <v>0</v>
      </c>
    </row>
    <row r="13" spans="1:19">
      <c r="A13" s="745">
        <v>7</v>
      </c>
      <c r="B13" s="748" t="s">
        <v>991</v>
      </c>
      <c r="C13" s="762">
        <f>SUM(C14:C16)</f>
        <v>2750532.7399999998</v>
      </c>
      <c r="D13" s="762">
        <f t="shared" ref="D13:O13" si="2">SUM(D14:D16)</f>
        <v>1558189.11</v>
      </c>
      <c r="E13" s="762">
        <f t="shared" si="2"/>
        <v>383526.35</v>
      </c>
      <c r="F13" s="762">
        <f t="shared" si="2"/>
        <v>723073.84</v>
      </c>
      <c r="G13" s="762">
        <f t="shared" si="2"/>
        <v>0</v>
      </c>
      <c r="H13" s="762">
        <f t="shared" si="2"/>
        <v>85743.44</v>
      </c>
      <c r="I13" s="762">
        <f t="shared" si="2"/>
        <v>372182.00920000003</v>
      </c>
      <c r="J13" s="762">
        <f t="shared" si="2"/>
        <v>31163.782200000001</v>
      </c>
      <c r="K13" s="762">
        <f t="shared" si="2"/>
        <v>38352.635000000002</v>
      </c>
      <c r="L13" s="762">
        <f t="shared" si="2"/>
        <v>216922.152</v>
      </c>
      <c r="M13" s="762">
        <f t="shared" si="2"/>
        <v>0</v>
      </c>
      <c r="N13" s="762">
        <f t="shared" si="2"/>
        <v>85743.44</v>
      </c>
      <c r="O13" s="762">
        <f t="shared" si="2"/>
        <v>30</v>
      </c>
      <c r="P13" s="764">
        <v>0.14227826086956522</v>
      </c>
      <c r="Q13" s="764">
        <v>0.1539695652173913</v>
      </c>
      <c r="R13" s="764">
        <v>0.11482088154940513</v>
      </c>
      <c r="S13" s="765">
        <v>93.283734676330837</v>
      </c>
    </row>
    <row r="14" spans="1:19">
      <c r="A14" s="749">
        <v>7.1</v>
      </c>
      <c r="B14" s="750" t="s">
        <v>992</v>
      </c>
      <c r="C14" s="766">
        <f t="shared" si="0"/>
        <v>2229935.17</v>
      </c>
      <c r="D14" s="766">
        <v>1099845.52</v>
      </c>
      <c r="E14" s="766">
        <v>383526.35</v>
      </c>
      <c r="F14" s="766">
        <v>723073.84</v>
      </c>
      <c r="G14" s="766">
        <v>0</v>
      </c>
      <c r="H14" s="766">
        <v>23489.460000000003</v>
      </c>
      <c r="I14" s="766">
        <f t="shared" si="1"/>
        <v>300761.15740000003</v>
      </c>
      <c r="J14" s="766">
        <v>21996.910400000001</v>
      </c>
      <c r="K14" s="766">
        <v>38352.635000000002</v>
      </c>
      <c r="L14" s="766">
        <v>216922.152</v>
      </c>
      <c r="M14" s="766">
        <v>0</v>
      </c>
      <c r="N14" s="766">
        <v>23489.460000000003</v>
      </c>
      <c r="O14" s="765">
        <v>23</v>
      </c>
      <c r="P14" s="764">
        <v>0.13</v>
      </c>
      <c r="Q14" s="764">
        <v>0.1401</v>
      </c>
      <c r="R14" s="764">
        <v>0.11259953087214675</v>
      </c>
      <c r="S14" s="765">
        <v>89.56564456358862</v>
      </c>
    </row>
    <row r="15" spans="1:19" ht="25.5">
      <c r="A15" s="749">
        <v>7.2</v>
      </c>
      <c r="B15" s="750" t="s">
        <v>993</v>
      </c>
      <c r="C15" s="766">
        <f t="shared" si="0"/>
        <v>520597.57</v>
      </c>
      <c r="D15" s="766">
        <v>458343.59</v>
      </c>
      <c r="E15" s="766">
        <v>0</v>
      </c>
      <c r="F15" s="766">
        <v>0</v>
      </c>
      <c r="G15" s="766">
        <v>0</v>
      </c>
      <c r="H15" s="766">
        <v>62253.98</v>
      </c>
      <c r="I15" s="766">
        <f t="shared" si="1"/>
        <v>71420.851800000004</v>
      </c>
      <c r="J15" s="766">
        <v>9166.8718000000008</v>
      </c>
      <c r="K15" s="766">
        <v>0</v>
      </c>
      <c r="L15" s="766">
        <v>0</v>
      </c>
      <c r="M15" s="766">
        <v>0</v>
      </c>
      <c r="N15" s="766">
        <v>62253.98</v>
      </c>
      <c r="O15" s="765">
        <v>7</v>
      </c>
      <c r="P15" s="764">
        <v>0.15823999999999999</v>
      </c>
      <c r="Q15" s="764">
        <v>0.17199999999999999</v>
      </c>
      <c r="R15" s="764">
        <v>0.1243358472072776</v>
      </c>
      <c r="S15" s="765">
        <v>109.20985570611815</v>
      </c>
    </row>
    <row r="16" spans="1:19">
      <c r="A16" s="749">
        <v>7.3</v>
      </c>
      <c r="B16" s="750" t="s">
        <v>994</v>
      </c>
      <c r="C16" s="766">
        <f t="shared" si="0"/>
        <v>0</v>
      </c>
      <c r="D16" s="766">
        <v>0</v>
      </c>
      <c r="E16" s="766">
        <v>0</v>
      </c>
      <c r="F16" s="766">
        <v>0</v>
      </c>
      <c r="G16" s="766">
        <v>0</v>
      </c>
      <c r="H16" s="766">
        <v>0</v>
      </c>
      <c r="I16" s="766">
        <f t="shared" si="1"/>
        <v>0</v>
      </c>
      <c r="J16" s="766">
        <v>0</v>
      </c>
      <c r="K16" s="766">
        <v>0</v>
      </c>
      <c r="L16" s="766">
        <v>0</v>
      </c>
      <c r="M16" s="766">
        <v>0</v>
      </c>
      <c r="N16" s="766">
        <v>0</v>
      </c>
      <c r="O16" s="765">
        <v>0</v>
      </c>
      <c r="P16" s="764">
        <v>0</v>
      </c>
      <c r="Q16" s="764">
        <v>0</v>
      </c>
      <c r="R16" s="764">
        <v>0</v>
      </c>
      <c r="S16" s="765">
        <v>0</v>
      </c>
    </row>
    <row r="17" spans="1:19">
      <c r="A17" s="745">
        <v>8</v>
      </c>
      <c r="B17" s="748" t="s">
        <v>995</v>
      </c>
      <c r="C17" s="766">
        <f t="shared" si="0"/>
        <v>0</v>
      </c>
      <c r="D17" s="766">
        <v>0</v>
      </c>
      <c r="E17" s="766">
        <v>0</v>
      </c>
      <c r="F17" s="766">
        <v>0</v>
      </c>
      <c r="G17" s="766">
        <v>0</v>
      </c>
      <c r="H17" s="766">
        <v>0</v>
      </c>
      <c r="I17" s="766">
        <f t="shared" si="1"/>
        <v>0</v>
      </c>
      <c r="J17" s="766">
        <v>0</v>
      </c>
      <c r="K17" s="766">
        <v>0</v>
      </c>
      <c r="L17" s="766">
        <v>0</v>
      </c>
      <c r="M17" s="766">
        <v>0</v>
      </c>
      <c r="N17" s="766">
        <v>0</v>
      </c>
      <c r="O17" s="765">
        <v>0</v>
      </c>
      <c r="P17" s="764">
        <v>0</v>
      </c>
      <c r="Q17" s="764">
        <v>0</v>
      </c>
      <c r="R17" s="764">
        <v>0</v>
      </c>
      <c r="S17" s="765">
        <v>0</v>
      </c>
    </row>
    <row r="18" spans="1:19">
      <c r="A18" s="751">
        <v>9</v>
      </c>
      <c r="B18" s="752" t="s">
        <v>996</v>
      </c>
      <c r="C18" s="766">
        <f t="shared" si="0"/>
        <v>0</v>
      </c>
      <c r="D18" s="767">
        <v>0</v>
      </c>
      <c r="E18" s="767">
        <v>0</v>
      </c>
      <c r="F18" s="767">
        <v>0</v>
      </c>
      <c r="G18" s="767">
        <v>0</v>
      </c>
      <c r="H18" s="767">
        <v>0</v>
      </c>
      <c r="I18" s="766">
        <f t="shared" si="1"/>
        <v>0</v>
      </c>
      <c r="J18" s="767">
        <v>0</v>
      </c>
      <c r="K18" s="767">
        <v>0</v>
      </c>
      <c r="L18" s="767">
        <v>0</v>
      </c>
      <c r="M18" s="767">
        <v>0</v>
      </c>
      <c r="N18" s="767">
        <v>0</v>
      </c>
      <c r="O18" s="768">
        <v>0</v>
      </c>
      <c r="P18" s="769">
        <v>0</v>
      </c>
      <c r="Q18" s="769">
        <v>0</v>
      </c>
      <c r="R18" s="769">
        <v>0</v>
      </c>
      <c r="S18" s="768">
        <v>0</v>
      </c>
    </row>
    <row r="19" spans="1:19">
      <c r="A19" s="753">
        <v>10</v>
      </c>
      <c r="B19" s="754" t="s">
        <v>997</v>
      </c>
      <c r="C19" s="762">
        <f>SUM(C7:C13,C17+C18)</f>
        <v>6352603.2799999993</v>
      </c>
      <c r="D19" s="762">
        <f t="shared" ref="D19:O19" si="3">SUM(D7:D13,D17+D18)</f>
        <v>4824811.63</v>
      </c>
      <c r="E19" s="762">
        <f t="shared" si="3"/>
        <v>388956.5</v>
      </c>
      <c r="F19" s="762">
        <f t="shared" si="3"/>
        <v>725087.57</v>
      </c>
      <c r="G19" s="762">
        <f t="shared" si="3"/>
        <v>39938.839999999997</v>
      </c>
      <c r="H19" s="762">
        <f t="shared" si="3"/>
        <v>373808.74000000005</v>
      </c>
      <c r="I19" s="762">
        <f t="shared" si="3"/>
        <v>746696.31359999999</v>
      </c>
      <c r="J19" s="762">
        <f t="shared" si="3"/>
        <v>96496.232599999988</v>
      </c>
      <c r="K19" s="762">
        <f t="shared" si="3"/>
        <v>38895.65</v>
      </c>
      <c r="L19" s="762">
        <f t="shared" si="3"/>
        <v>217526.27100000001</v>
      </c>
      <c r="M19" s="762">
        <f t="shared" si="3"/>
        <v>19969.419999999998</v>
      </c>
      <c r="N19" s="762">
        <f t="shared" si="3"/>
        <v>373808.74000000005</v>
      </c>
      <c r="O19" s="762">
        <f t="shared" si="3"/>
        <v>226</v>
      </c>
      <c r="P19" s="764">
        <v>0.12461277843370849</v>
      </c>
      <c r="Q19" s="764">
        <v>0.13472259077101931</v>
      </c>
      <c r="R19" s="764">
        <v>0.11760871044619539</v>
      </c>
      <c r="S19" s="765">
        <v>64.83264874019217</v>
      </c>
    </row>
    <row r="20" spans="1:19" ht="25.5">
      <c r="A20" s="749">
        <v>10.1</v>
      </c>
      <c r="B20" s="750" t="s">
        <v>998</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2" style="2" bestFit="1" customWidth="1"/>
    <col min="4" max="4" width="13.28515625" style="2" customWidth="1"/>
    <col min="5" max="5" width="14.5703125" style="2" customWidth="1"/>
    <col min="6" max="6" width="12" style="2" bestFit="1" customWidth="1"/>
    <col min="7" max="7" width="13.7109375" style="2" customWidth="1"/>
    <col min="8" max="8" width="14.5703125" style="2" customWidth="1"/>
  </cols>
  <sheetData>
    <row r="1" spans="1:8" ht="15.75">
      <c r="A1" s="527" t="s">
        <v>188</v>
      </c>
      <c r="B1" s="528" t="s">
        <v>954</v>
      </c>
    </row>
    <row r="2" spans="1:8" ht="15.75">
      <c r="A2" s="527" t="s">
        <v>189</v>
      </c>
      <c r="B2" s="529">
        <f>'1. key ratios'!B2</f>
        <v>44651</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1126459.55</v>
      </c>
      <c r="D7" s="565">
        <v>1525863.98</v>
      </c>
      <c r="E7" s="566">
        <f>C7+D7</f>
        <v>2652323.5300000003</v>
      </c>
      <c r="F7" s="567">
        <v>1165641</v>
      </c>
      <c r="G7" s="565">
        <v>3648815.16</v>
      </c>
      <c r="H7" s="568">
        <f>F7+G7</f>
        <v>4814456.16</v>
      </c>
    </row>
    <row r="8" spans="1:8" ht="15.75">
      <c r="A8" s="560">
        <v>2</v>
      </c>
      <c r="B8" s="564" t="s">
        <v>155</v>
      </c>
      <c r="C8" s="565">
        <v>2610373.37</v>
      </c>
      <c r="D8" s="565">
        <v>38880791.450000003</v>
      </c>
      <c r="E8" s="566">
        <f t="shared" ref="E8:E20" si="0">C8+D8</f>
        <v>41491164.82</v>
      </c>
      <c r="F8" s="567">
        <v>490318.56</v>
      </c>
      <c r="G8" s="565">
        <v>35540566.140000001</v>
      </c>
      <c r="H8" s="568">
        <f t="shared" ref="H8:H40" si="1">F8+G8</f>
        <v>36030884.700000003</v>
      </c>
    </row>
    <row r="9" spans="1:8" ht="15.75">
      <c r="A9" s="560">
        <v>3</v>
      </c>
      <c r="B9" s="564" t="s">
        <v>156</v>
      </c>
      <c r="C9" s="565">
        <v>3005542.7</v>
      </c>
      <c r="D9" s="565">
        <v>42458316.277926005</v>
      </c>
      <c r="E9" s="566">
        <f t="shared" si="0"/>
        <v>45463858.977926008</v>
      </c>
      <c r="F9" s="567">
        <v>2093169.95</v>
      </c>
      <c r="G9" s="565">
        <v>35164366.416474</v>
      </c>
      <c r="H9" s="568">
        <f t="shared" si="1"/>
        <v>37257536.366474003</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32664524.325665466</v>
      </c>
      <c r="D11" s="565">
        <v>16278348.847184226</v>
      </c>
      <c r="E11" s="566">
        <f t="shared" si="0"/>
        <v>48942873.172849692</v>
      </c>
      <c r="F11" s="567">
        <v>22638754.965574294</v>
      </c>
      <c r="G11" s="565">
        <v>10579376.329087004</v>
      </c>
      <c r="H11" s="568">
        <f t="shared" si="1"/>
        <v>33218131.294661298</v>
      </c>
    </row>
    <row r="12" spans="1:8" ht="15.75">
      <c r="A12" s="560">
        <v>6.1</v>
      </c>
      <c r="B12" s="569" t="s">
        <v>158</v>
      </c>
      <c r="C12" s="565">
        <v>76147416.680000007</v>
      </c>
      <c r="D12" s="565">
        <v>168957717.67000002</v>
      </c>
      <c r="E12" s="566">
        <f t="shared" si="0"/>
        <v>245105134.35000002</v>
      </c>
      <c r="F12" s="567">
        <v>82012688.319999993</v>
      </c>
      <c r="G12" s="565">
        <v>155056207.13</v>
      </c>
      <c r="H12" s="568">
        <f t="shared" si="1"/>
        <v>237068895.44999999</v>
      </c>
    </row>
    <row r="13" spans="1:8" ht="15.75">
      <c r="A13" s="560">
        <v>6.2</v>
      </c>
      <c r="B13" s="569" t="s">
        <v>159</v>
      </c>
      <c r="C13" s="570">
        <v>-3100293.5325999996</v>
      </c>
      <c r="D13" s="570">
        <v>-6229007.3956000004</v>
      </c>
      <c r="E13" s="571">
        <f t="shared" si="0"/>
        <v>-9329300.928199999</v>
      </c>
      <c r="F13" s="572">
        <v>-7189440.9194000009</v>
      </c>
      <c r="G13" s="570">
        <v>-4455225.6767999986</v>
      </c>
      <c r="H13" s="573">
        <f t="shared" si="1"/>
        <v>-11644666.5962</v>
      </c>
    </row>
    <row r="14" spans="1:8" ht="15.75">
      <c r="A14" s="560">
        <v>6</v>
      </c>
      <c r="B14" s="564" t="s">
        <v>160</v>
      </c>
      <c r="C14" s="566">
        <f>C12+C13</f>
        <v>73047123.147400007</v>
      </c>
      <c r="D14" s="566">
        <f>D12+D13</f>
        <v>162728710.27440003</v>
      </c>
      <c r="E14" s="566">
        <f t="shared" si="0"/>
        <v>235775833.42180002</v>
      </c>
      <c r="F14" s="566">
        <f>F12+F13</f>
        <v>74823247.400599986</v>
      </c>
      <c r="G14" s="566">
        <f>G12+G13</f>
        <v>150600981.45319998</v>
      </c>
      <c r="H14" s="568">
        <f t="shared" si="1"/>
        <v>225424228.85379997</v>
      </c>
    </row>
    <row r="15" spans="1:8" ht="15.75">
      <c r="A15" s="560">
        <v>7</v>
      </c>
      <c r="B15" s="564" t="s">
        <v>161</v>
      </c>
      <c r="C15" s="565">
        <v>1112493.8600000015</v>
      </c>
      <c r="D15" s="565">
        <v>1256886.8185339996</v>
      </c>
      <c r="E15" s="566">
        <f t="shared" si="0"/>
        <v>2369380.6785340011</v>
      </c>
      <c r="F15" s="567">
        <v>1195676.7799999998</v>
      </c>
      <c r="G15" s="565">
        <v>1518272.2302560005</v>
      </c>
      <c r="H15" s="568">
        <f t="shared" si="1"/>
        <v>2713949.0102560003</v>
      </c>
    </row>
    <row r="16" spans="1:8" ht="15.75">
      <c r="A16" s="560">
        <v>8</v>
      </c>
      <c r="B16" s="564" t="s">
        <v>162</v>
      </c>
      <c r="C16" s="565">
        <v>735525.39</v>
      </c>
      <c r="D16" s="565">
        <v>0</v>
      </c>
      <c r="E16" s="566">
        <f t="shared" si="0"/>
        <v>735525.39</v>
      </c>
      <c r="F16" s="567">
        <v>1102532.9100000001</v>
      </c>
      <c r="G16" s="565">
        <v>0</v>
      </c>
      <c r="H16" s="568">
        <f t="shared" si="1"/>
        <v>1102532.9100000001</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7657278.6099999994</v>
      </c>
      <c r="D18" s="565">
        <v>0</v>
      </c>
      <c r="E18" s="566">
        <f t="shared" si="0"/>
        <v>7657278.6099999994</v>
      </c>
      <c r="F18" s="567">
        <v>1325682.7200000007</v>
      </c>
      <c r="G18" s="565">
        <v>0</v>
      </c>
      <c r="H18" s="568">
        <f t="shared" si="1"/>
        <v>1325682.7200000007</v>
      </c>
    </row>
    <row r="19" spans="1:8" ht="15.75">
      <c r="A19" s="560">
        <v>11</v>
      </c>
      <c r="B19" s="564" t="s">
        <v>165</v>
      </c>
      <c r="C19" s="565">
        <v>2874976.4344901489</v>
      </c>
      <c r="D19" s="565">
        <v>251113.41000000003</v>
      </c>
      <c r="E19" s="566">
        <f t="shared" si="0"/>
        <v>3126089.8444901491</v>
      </c>
      <c r="F19" s="567">
        <v>2949155.7764666905</v>
      </c>
      <c r="G19" s="565">
        <v>300329.21000000002</v>
      </c>
      <c r="H19" s="568">
        <f t="shared" si="1"/>
        <v>3249484.9864666904</v>
      </c>
    </row>
    <row r="20" spans="1:8" ht="15.75">
      <c r="A20" s="560">
        <v>12</v>
      </c>
      <c r="B20" s="574" t="s">
        <v>166</v>
      </c>
      <c r="C20" s="566">
        <f>SUM(C7:C11)+SUM(C14:C19)</f>
        <v>124834297.38755561</v>
      </c>
      <c r="D20" s="566">
        <f>SUM(D7:D11)+SUM(D14:D19)</f>
        <v>263380031.05804425</v>
      </c>
      <c r="E20" s="566">
        <f t="shared" si="0"/>
        <v>388214328.44559985</v>
      </c>
      <c r="F20" s="566">
        <f>SUM(F7:F11)+SUM(F14:F19)</f>
        <v>107784180.06264096</v>
      </c>
      <c r="G20" s="566">
        <f>SUM(G7:G11)+SUM(G14:G19)</f>
        <v>237352706.939017</v>
      </c>
      <c r="H20" s="568">
        <f t="shared" si="1"/>
        <v>345136887.00165796</v>
      </c>
    </row>
    <row r="21" spans="1:8" ht="15.75">
      <c r="A21" s="560"/>
      <c r="B21" s="561" t="s">
        <v>183</v>
      </c>
      <c r="C21" s="575"/>
      <c r="D21" s="575"/>
      <c r="E21" s="575"/>
      <c r="F21" s="576"/>
      <c r="G21" s="575"/>
      <c r="H21" s="577"/>
    </row>
    <row r="22" spans="1:8" ht="15.75">
      <c r="A22" s="560">
        <v>13</v>
      </c>
      <c r="B22" s="564" t="s">
        <v>167</v>
      </c>
      <c r="C22" s="565">
        <v>0</v>
      </c>
      <c r="D22" s="565">
        <v>102513096.02</v>
      </c>
      <c r="E22" s="566">
        <f>C22+D22</f>
        <v>102513096.02</v>
      </c>
      <c r="F22" s="567">
        <v>0</v>
      </c>
      <c r="G22" s="565">
        <v>123634608.40000001</v>
      </c>
      <c r="H22" s="568">
        <f t="shared" si="1"/>
        <v>123634608.40000001</v>
      </c>
    </row>
    <row r="23" spans="1:8" ht="15.75">
      <c r="A23" s="560">
        <v>14</v>
      </c>
      <c r="B23" s="564" t="s">
        <v>168</v>
      </c>
      <c r="C23" s="565">
        <v>16496181.44999999</v>
      </c>
      <c r="D23" s="565">
        <v>50344163.840000033</v>
      </c>
      <c r="E23" s="566">
        <f t="shared" ref="E23:E40" si="2">C23+D23</f>
        <v>66840345.290000021</v>
      </c>
      <c r="F23" s="567">
        <v>7145622.5699999966</v>
      </c>
      <c r="G23" s="565">
        <v>31072818.269999988</v>
      </c>
      <c r="H23" s="568">
        <f t="shared" si="1"/>
        <v>38218440.839999989</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3048198.6999999997</v>
      </c>
      <c r="D25" s="565">
        <v>32168177.530000001</v>
      </c>
      <c r="E25" s="566">
        <f t="shared" si="2"/>
        <v>35216376.230000004</v>
      </c>
      <c r="F25" s="567">
        <v>3856928.1</v>
      </c>
      <c r="G25" s="565">
        <v>38765323.239999995</v>
      </c>
      <c r="H25" s="568">
        <f t="shared" si="1"/>
        <v>42622251.339999996</v>
      </c>
    </row>
    <row r="26" spans="1:8" ht="15.75">
      <c r="A26" s="560">
        <v>17</v>
      </c>
      <c r="B26" s="564" t="s">
        <v>171</v>
      </c>
      <c r="C26" s="575"/>
      <c r="D26" s="575"/>
      <c r="E26" s="566">
        <f t="shared" si="2"/>
        <v>0</v>
      </c>
      <c r="F26" s="576"/>
      <c r="G26" s="575"/>
      <c r="H26" s="568">
        <f t="shared" si="1"/>
        <v>0</v>
      </c>
    </row>
    <row r="27" spans="1:8" ht="15.75">
      <c r="A27" s="560">
        <v>18</v>
      </c>
      <c r="B27" s="564" t="s">
        <v>172</v>
      </c>
      <c r="C27" s="565">
        <v>0</v>
      </c>
      <c r="D27" s="565">
        <v>73137023.860516012</v>
      </c>
      <c r="E27" s="566">
        <f t="shared" si="2"/>
        <v>73137023.860516012</v>
      </c>
      <c r="F27" s="567">
        <v>2500000</v>
      </c>
      <c r="G27" s="565">
        <v>47386111.080784</v>
      </c>
      <c r="H27" s="568">
        <f t="shared" si="1"/>
        <v>49886111.080784</v>
      </c>
    </row>
    <row r="28" spans="1:8" ht="15.75">
      <c r="A28" s="560">
        <v>19</v>
      </c>
      <c r="B28" s="564" t="s">
        <v>173</v>
      </c>
      <c r="C28" s="565">
        <v>47650.040000000008</v>
      </c>
      <c r="D28" s="565">
        <v>1375160.835495</v>
      </c>
      <c r="E28" s="566">
        <f t="shared" si="2"/>
        <v>1422810.875495</v>
      </c>
      <c r="F28" s="567">
        <v>76863.45</v>
      </c>
      <c r="G28" s="565">
        <v>1480680.2864871458</v>
      </c>
      <c r="H28" s="568">
        <f t="shared" si="1"/>
        <v>1557543.7364871458</v>
      </c>
    </row>
    <row r="29" spans="1:8" ht="15.75">
      <c r="A29" s="560">
        <v>20</v>
      </c>
      <c r="B29" s="564" t="s">
        <v>95</v>
      </c>
      <c r="C29" s="565">
        <v>1698781.1350000002</v>
      </c>
      <c r="D29" s="565">
        <v>8373643.6298000012</v>
      </c>
      <c r="E29" s="566">
        <f t="shared" si="2"/>
        <v>10072424.764800001</v>
      </c>
      <c r="F29" s="567">
        <v>903012.91819999996</v>
      </c>
      <c r="G29" s="565">
        <v>2533364.4589999998</v>
      </c>
      <c r="H29" s="568">
        <f t="shared" si="1"/>
        <v>3436377.3772</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21290811.324999992</v>
      </c>
      <c r="D31" s="566">
        <f>SUM(D22:D30)</f>
        <v>267911265.71581101</v>
      </c>
      <c r="E31" s="566">
        <f>C31+D31</f>
        <v>289202077.040811</v>
      </c>
      <c r="F31" s="566">
        <f>SUM(F22:F30)</f>
        <v>14482427.038199995</v>
      </c>
      <c r="G31" s="566">
        <f>SUM(G22:G30)</f>
        <v>244872905.73627108</v>
      </c>
      <c r="H31" s="568">
        <f t="shared" si="1"/>
        <v>259355332.77447107</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29850651.396013558</v>
      </c>
      <c r="D38" s="575">
        <v>0</v>
      </c>
      <c r="E38" s="566">
        <f t="shared" si="2"/>
        <v>29850651.396013558</v>
      </c>
      <c r="F38" s="567">
        <v>16619954.179593861</v>
      </c>
      <c r="G38" s="575">
        <v>0</v>
      </c>
      <c r="H38" s="568">
        <f t="shared" si="1"/>
        <v>16619954.179593861</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99012251.396013558</v>
      </c>
      <c r="D40" s="575">
        <v>0</v>
      </c>
      <c r="E40" s="566">
        <f t="shared" si="2"/>
        <v>99012251.396013558</v>
      </c>
      <c r="F40" s="579">
        <v>85781554.179593861</v>
      </c>
      <c r="G40" s="575">
        <v>0</v>
      </c>
      <c r="H40" s="568">
        <f t="shared" si="1"/>
        <v>85781554.179593861</v>
      </c>
    </row>
    <row r="41" spans="1:8" ht="16.5" thickBot="1">
      <c r="A41" s="38">
        <v>31</v>
      </c>
      <c r="B41" s="39" t="s">
        <v>197</v>
      </c>
      <c r="C41" s="580">
        <f>C31+C40</f>
        <v>120303062.72101355</v>
      </c>
      <c r="D41" s="580">
        <f>D31+D40</f>
        <v>267911265.71581101</v>
      </c>
      <c r="E41" s="580">
        <f>C41+D41</f>
        <v>388214328.43682456</v>
      </c>
      <c r="F41" s="580">
        <f>F31+F40</f>
        <v>100263981.21779385</v>
      </c>
      <c r="G41" s="580">
        <f>G31+G40</f>
        <v>244872905.73627108</v>
      </c>
      <c r="H41" s="581">
        <f>F41+G41</f>
        <v>345136886.95406497</v>
      </c>
    </row>
    <row r="43" spans="1:8">
      <c r="B43" s="40"/>
    </row>
  </sheetData>
  <mergeCells count="2">
    <mergeCell ref="C5:E5"/>
    <mergeCell ref="F5:H5"/>
  </mergeCells>
  <dataValidations disablePrompts="1"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24" sqref="B24:C24"/>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935" t="s">
        <v>326</v>
      </c>
      <c r="B1" s="936"/>
      <c r="C1" s="937"/>
    </row>
    <row r="2" spans="1:3" ht="26.25" customHeight="1">
      <c r="A2" s="479"/>
      <c r="B2" s="882" t="s">
        <v>327</v>
      </c>
      <c r="C2" s="882"/>
    </row>
    <row r="3" spans="1:3" s="202" customFormat="1" ht="11.25" customHeight="1">
      <c r="A3" s="201"/>
      <c r="B3" s="882" t="s">
        <v>419</v>
      </c>
      <c r="C3" s="882"/>
    </row>
    <row r="4" spans="1:3" ht="12" customHeight="1" thickBot="1">
      <c r="A4" s="918" t="s">
        <v>423</v>
      </c>
      <c r="B4" s="919"/>
      <c r="C4" s="920"/>
    </row>
    <row r="5" spans="1:3" ht="12" thickTop="1">
      <c r="A5" s="198"/>
      <c r="B5" s="921" t="s">
        <v>328</v>
      </c>
      <c r="C5" s="922"/>
    </row>
    <row r="6" spans="1:3">
      <c r="A6" s="479"/>
      <c r="B6" s="888" t="s">
        <v>420</v>
      </c>
      <c r="C6" s="889"/>
    </row>
    <row r="7" spans="1:3">
      <c r="A7" s="479"/>
      <c r="B7" s="888" t="s">
        <v>329</v>
      </c>
      <c r="C7" s="889"/>
    </row>
    <row r="8" spans="1:3">
      <c r="A8" s="479"/>
      <c r="B8" s="888" t="s">
        <v>421</v>
      </c>
      <c r="C8" s="889"/>
    </row>
    <row r="9" spans="1:3">
      <c r="A9" s="479"/>
      <c r="B9" s="933" t="s">
        <v>422</v>
      </c>
      <c r="C9" s="934"/>
    </row>
    <row r="10" spans="1:3">
      <c r="A10" s="479"/>
      <c r="B10" s="923" t="s">
        <v>330</v>
      </c>
      <c r="C10" s="924" t="s">
        <v>330</v>
      </c>
    </row>
    <row r="11" spans="1:3">
      <c r="A11" s="479"/>
      <c r="B11" s="923" t="s">
        <v>331</v>
      </c>
      <c r="C11" s="924" t="s">
        <v>331</v>
      </c>
    </row>
    <row r="12" spans="1:3">
      <c r="A12" s="479"/>
      <c r="B12" s="923" t="s">
        <v>332</v>
      </c>
      <c r="C12" s="924" t="s">
        <v>332</v>
      </c>
    </row>
    <row r="13" spans="1:3">
      <c r="A13" s="479"/>
      <c r="B13" s="923" t="s">
        <v>333</v>
      </c>
      <c r="C13" s="924" t="s">
        <v>333</v>
      </c>
    </row>
    <row r="14" spans="1:3">
      <c r="A14" s="479"/>
      <c r="B14" s="923" t="s">
        <v>334</v>
      </c>
      <c r="C14" s="924" t="s">
        <v>334</v>
      </c>
    </row>
    <row r="15" spans="1:3" ht="21.75" customHeight="1">
      <c r="A15" s="479"/>
      <c r="B15" s="923" t="s">
        <v>335</v>
      </c>
      <c r="C15" s="924" t="s">
        <v>335</v>
      </c>
    </row>
    <row r="16" spans="1:3">
      <c r="A16" s="479"/>
      <c r="B16" s="923" t="s">
        <v>336</v>
      </c>
      <c r="C16" s="924" t="s">
        <v>337</v>
      </c>
    </row>
    <row r="17" spans="1:3">
      <c r="A17" s="479"/>
      <c r="B17" s="923" t="s">
        <v>338</v>
      </c>
      <c r="C17" s="924" t="s">
        <v>339</v>
      </c>
    </row>
    <row r="18" spans="1:3">
      <c r="A18" s="479"/>
      <c r="B18" s="923" t="s">
        <v>340</v>
      </c>
      <c r="C18" s="924" t="s">
        <v>341</v>
      </c>
    </row>
    <row r="19" spans="1:3">
      <c r="A19" s="479"/>
      <c r="B19" s="923" t="s">
        <v>342</v>
      </c>
      <c r="C19" s="924" t="s">
        <v>342</v>
      </c>
    </row>
    <row r="20" spans="1:3">
      <c r="A20" s="479"/>
      <c r="B20" s="923" t="s">
        <v>343</v>
      </c>
      <c r="C20" s="924" t="s">
        <v>343</v>
      </c>
    </row>
    <row r="21" spans="1:3">
      <c r="A21" s="479"/>
      <c r="B21" s="923" t="s">
        <v>344</v>
      </c>
      <c r="C21" s="924" t="s">
        <v>344</v>
      </c>
    </row>
    <row r="22" spans="1:3" ht="23.25" customHeight="1">
      <c r="A22" s="479"/>
      <c r="B22" s="923" t="s">
        <v>345</v>
      </c>
      <c r="C22" s="924" t="s">
        <v>346</v>
      </c>
    </row>
    <row r="23" spans="1:3">
      <c r="A23" s="479"/>
      <c r="B23" s="923" t="s">
        <v>347</v>
      </c>
      <c r="C23" s="924" t="s">
        <v>347</v>
      </c>
    </row>
    <row r="24" spans="1:3">
      <c r="A24" s="479"/>
      <c r="B24" s="923" t="s">
        <v>348</v>
      </c>
      <c r="C24" s="924" t="s">
        <v>349</v>
      </c>
    </row>
    <row r="25" spans="1:3" ht="12" thickBot="1">
      <c r="A25" s="199"/>
      <c r="B25" s="927" t="s">
        <v>350</v>
      </c>
      <c r="C25" s="928"/>
    </row>
    <row r="26" spans="1:3" ht="12.75" thickTop="1" thickBot="1">
      <c r="A26" s="918" t="s">
        <v>433</v>
      </c>
      <c r="B26" s="919"/>
      <c r="C26" s="920"/>
    </row>
    <row r="27" spans="1:3" ht="12.75" thickTop="1" thickBot="1">
      <c r="A27" s="200"/>
      <c r="B27" s="929" t="s">
        <v>351</v>
      </c>
      <c r="C27" s="930"/>
    </row>
    <row r="28" spans="1:3" ht="12.75" thickTop="1" thickBot="1">
      <c r="A28" s="918" t="s">
        <v>424</v>
      </c>
      <c r="B28" s="919"/>
      <c r="C28" s="920"/>
    </row>
    <row r="29" spans="1:3" ht="12" thickTop="1">
      <c r="A29" s="198"/>
      <c r="B29" s="931" t="s">
        <v>352</v>
      </c>
      <c r="C29" s="932" t="s">
        <v>353</v>
      </c>
    </row>
    <row r="30" spans="1:3">
      <c r="A30" s="479"/>
      <c r="B30" s="909" t="s">
        <v>354</v>
      </c>
      <c r="C30" s="910" t="s">
        <v>355</v>
      </c>
    </row>
    <row r="31" spans="1:3">
      <c r="A31" s="479"/>
      <c r="B31" s="909" t="s">
        <v>356</v>
      </c>
      <c r="C31" s="910" t="s">
        <v>357</v>
      </c>
    </row>
    <row r="32" spans="1:3">
      <c r="A32" s="479"/>
      <c r="B32" s="909" t="s">
        <v>358</v>
      </c>
      <c r="C32" s="910" t="s">
        <v>359</v>
      </c>
    </row>
    <row r="33" spans="1:3">
      <c r="A33" s="479"/>
      <c r="B33" s="909" t="s">
        <v>360</v>
      </c>
      <c r="C33" s="910" t="s">
        <v>361</v>
      </c>
    </row>
    <row r="34" spans="1:3">
      <c r="A34" s="479"/>
      <c r="B34" s="909" t="s">
        <v>362</v>
      </c>
      <c r="C34" s="910" t="s">
        <v>363</v>
      </c>
    </row>
    <row r="35" spans="1:3" ht="23.25" customHeight="1">
      <c r="A35" s="479"/>
      <c r="B35" s="909" t="s">
        <v>364</v>
      </c>
      <c r="C35" s="910" t="s">
        <v>365</v>
      </c>
    </row>
    <row r="36" spans="1:3" ht="24" customHeight="1">
      <c r="A36" s="479"/>
      <c r="B36" s="909" t="s">
        <v>366</v>
      </c>
      <c r="C36" s="910" t="s">
        <v>367</v>
      </c>
    </row>
    <row r="37" spans="1:3" ht="24.75" customHeight="1">
      <c r="A37" s="479"/>
      <c r="B37" s="909" t="s">
        <v>368</v>
      </c>
      <c r="C37" s="910" t="s">
        <v>369</v>
      </c>
    </row>
    <row r="38" spans="1:3" ht="23.25" customHeight="1">
      <c r="A38" s="479"/>
      <c r="B38" s="909" t="s">
        <v>425</v>
      </c>
      <c r="C38" s="910" t="s">
        <v>370</v>
      </c>
    </row>
    <row r="39" spans="1:3" ht="39.75" customHeight="1">
      <c r="A39" s="479"/>
      <c r="B39" s="923" t="s">
        <v>439</v>
      </c>
      <c r="C39" s="924" t="s">
        <v>371</v>
      </c>
    </row>
    <row r="40" spans="1:3" ht="12" customHeight="1">
      <c r="A40" s="479"/>
      <c r="B40" s="909" t="s">
        <v>372</v>
      </c>
      <c r="C40" s="910" t="s">
        <v>373</v>
      </c>
    </row>
    <row r="41" spans="1:3" ht="27" customHeight="1" thickBot="1">
      <c r="A41" s="199"/>
      <c r="B41" s="925" t="s">
        <v>374</v>
      </c>
      <c r="C41" s="926" t="s">
        <v>375</v>
      </c>
    </row>
    <row r="42" spans="1:3" ht="12.75" thickTop="1" thickBot="1">
      <c r="A42" s="918" t="s">
        <v>426</v>
      </c>
      <c r="B42" s="919"/>
      <c r="C42" s="920"/>
    </row>
    <row r="43" spans="1:3" ht="12" thickTop="1">
      <c r="A43" s="198"/>
      <c r="B43" s="921" t="s">
        <v>462</v>
      </c>
      <c r="C43" s="922" t="s">
        <v>376</v>
      </c>
    </row>
    <row r="44" spans="1:3">
      <c r="A44" s="479"/>
      <c r="B44" s="888" t="s">
        <v>461</v>
      </c>
      <c r="C44" s="889"/>
    </row>
    <row r="45" spans="1:3" ht="23.25" customHeight="1" thickBot="1">
      <c r="A45" s="199"/>
      <c r="B45" s="916" t="s">
        <v>377</v>
      </c>
      <c r="C45" s="917" t="s">
        <v>378</v>
      </c>
    </row>
    <row r="46" spans="1:3" ht="11.25" customHeight="1" thickTop="1" thickBot="1">
      <c r="A46" s="918" t="s">
        <v>427</v>
      </c>
      <c r="B46" s="919"/>
      <c r="C46" s="920"/>
    </row>
    <row r="47" spans="1:3" ht="26.25" customHeight="1" thickTop="1">
      <c r="A47" s="479"/>
      <c r="B47" s="888" t="s">
        <v>428</v>
      </c>
      <c r="C47" s="889"/>
    </row>
    <row r="48" spans="1:3" ht="12" thickBot="1">
      <c r="A48" s="918" t="s">
        <v>429</v>
      </c>
      <c r="B48" s="919"/>
      <c r="C48" s="920"/>
    </row>
    <row r="49" spans="1:3" ht="12" thickTop="1">
      <c r="A49" s="198"/>
      <c r="B49" s="921" t="s">
        <v>379</v>
      </c>
      <c r="C49" s="922" t="s">
        <v>379</v>
      </c>
    </row>
    <row r="50" spans="1:3" ht="11.25" customHeight="1">
      <c r="A50" s="479"/>
      <c r="B50" s="888" t="s">
        <v>380</v>
      </c>
      <c r="C50" s="889" t="s">
        <v>380</v>
      </c>
    </row>
    <row r="51" spans="1:3">
      <c r="A51" s="479"/>
      <c r="B51" s="888" t="s">
        <v>381</v>
      </c>
      <c r="C51" s="889" t="s">
        <v>381</v>
      </c>
    </row>
    <row r="52" spans="1:3" ht="11.25" customHeight="1">
      <c r="A52" s="479"/>
      <c r="B52" s="888" t="s">
        <v>489</v>
      </c>
      <c r="C52" s="889" t="s">
        <v>382</v>
      </c>
    </row>
    <row r="53" spans="1:3" ht="33.6" customHeight="1">
      <c r="A53" s="479"/>
      <c r="B53" s="888" t="s">
        <v>383</v>
      </c>
      <c r="C53" s="889" t="s">
        <v>383</v>
      </c>
    </row>
    <row r="54" spans="1:3" ht="11.25" customHeight="1">
      <c r="A54" s="479"/>
      <c r="B54" s="888" t="s">
        <v>482</v>
      </c>
      <c r="C54" s="889" t="s">
        <v>384</v>
      </c>
    </row>
    <row r="55" spans="1:3" ht="11.25" customHeight="1" thickBot="1">
      <c r="A55" s="918" t="s">
        <v>430</v>
      </c>
      <c r="B55" s="919"/>
      <c r="C55" s="920"/>
    </row>
    <row r="56" spans="1:3" ht="12" thickTop="1">
      <c r="A56" s="198"/>
      <c r="B56" s="921" t="s">
        <v>379</v>
      </c>
      <c r="C56" s="922" t="s">
        <v>379</v>
      </c>
    </row>
    <row r="57" spans="1:3">
      <c r="A57" s="479"/>
      <c r="B57" s="888" t="s">
        <v>385</v>
      </c>
      <c r="C57" s="889" t="s">
        <v>385</v>
      </c>
    </row>
    <row r="58" spans="1:3">
      <c r="A58" s="479"/>
      <c r="B58" s="888" t="s">
        <v>436</v>
      </c>
      <c r="C58" s="889" t="s">
        <v>386</v>
      </c>
    </row>
    <row r="59" spans="1:3">
      <c r="A59" s="479"/>
      <c r="B59" s="888" t="s">
        <v>387</v>
      </c>
      <c r="C59" s="889" t="s">
        <v>387</v>
      </c>
    </row>
    <row r="60" spans="1:3">
      <c r="A60" s="479"/>
      <c r="B60" s="888" t="s">
        <v>388</v>
      </c>
      <c r="C60" s="889" t="s">
        <v>388</v>
      </c>
    </row>
    <row r="61" spans="1:3">
      <c r="A61" s="479"/>
      <c r="B61" s="888" t="s">
        <v>389</v>
      </c>
      <c r="C61" s="889" t="s">
        <v>389</v>
      </c>
    </row>
    <row r="62" spans="1:3">
      <c r="A62" s="479"/>
      <c r="B62" s="888" t="s">
        <v>437</v>
      </c>
      <c r="C62" s="889" t="s">
        <v>390</v>
      </c>
    </row>
    <row r="63" spans="1:3">
      <c r="A63" s="479"/>
      <c r="B63" s="888" t="s">
        <v>391</v>
      </c>
      <c r="C63" s="889" t="s">
        <v>391</v>
      </c>
    </row>
    <row r="64" spans="1:3" ht="12" thickBot="1">
      <c r="A64" s="199"/>
      <c r="B64" s="916" t="s">
        <v>392</v>
      </c>
      <c r="C64" s="917" t="s">
        <v>392</v>
      </c>
    </row>
    <row r="65" spans="1:3" ht="11.25" customHeight="1" thickTop="1">
      <c r="A65" s="904" t="s">
        <v>431</v>
      </c>
      <c r="B65" s="905"/>
      <c r="C65" s="906"/>
    </row>
    <row r="66" spans="1:3" ht="12" thickBot="1">
      <c r="A66" s="199"/>
      <c r="B66" s="916" t="s">
        <v>393</v>
      </c>
      <c r="C66" s="917" t="s">
        <v>393</v>
      </c>
    </row>
    <row r="67" spans="1:3" ht="11.25" customHeight="1" thickTop="1" thickBot="1">
      <c r="A67" s="918" t="s">
        <v>432</v>
      </c>
      <c r="B67" s="919"/>
      <c r="C67" s="920"/>
    </row>
    <row r="68" spans="1:3" ht="12" thickTop="1">
      <c r="A68" s="198"/>
      <c r="B68" s="921" t="s">
        <v>394</v>
      </c>
      <c r="C68" s="922" t="s">
        <v>394</v>
      </c>
    </row>
    <row r="69" spans="1:3">
      <c r="A69" s="479"/>
      <c r="B69" s="888" t="s">
        <v>395</v>
      </c>
      <c r="C69" s="889" t="s">
        <v>395</v>
      </c>
    </row>
    <row r="70" spans="1:3">
      <c r="A70" s="479"/>
      <c r="B70" s="888" t="s">
        <v>396</v>
      </c>
      <c r="C70" s="889" t="s">
        <v>396</v>
      </c>
    </row>
    <row r="71" spans="1:3" ht="54.95" customHeight="1">
      <c r="A71" s="479"/>
      <c r="B71" s="914" t="s">
        <v>999</v>
      </c>
      <c r="C71" s="915" t="s">
        <v>397</v>
      </c>
    </row>
    <row r="72" spans="1:3" ht="33.75" customHeight="1">
      <c r="A72" s="479"/>
      <c r="B72" s="914" t="s">
        <v>441</v>
      </c>
      <c r="C72" s="915" t="s">
        <v>398</v>
      </c>
    </row>
    <row r="73" spans="1:3" ht="15.75" customHeight="1">
      <c r="A73" s="479"/>
      <c r="B73" s="914" t="s">
        <v>438</v>
      </c>
      <c r="C73" s="915" t="s">
        <v>399</v>
      </c>
    </row>
    <row r="74" spans="1:3">
      <c r="A74" s="479"/>
      <c r="B74" s="888" t="s">
        <v>400</v>
      </c>
      <c r="C74" s="889" t="s">
        <v>400</v>
      </c>
    </row>
    <row r="75" spans="1:3" ht="12" thickBot="1">
      <c r="A75" s="199"/>
      <c r="B75" s="916" t="s">
        <v>401</v>
      </c>
      <c r="C75" s="917" t="s">
        <v>401</v>
      </c>
    </row>
    <row r="76" spans="1:3" ht="12" thickTop="1">
      <c r="A76" s="904" t="s">
        <v>465</v>
      </c>
      <c r="B76" s="905"/>
      <c r="C76" s="906"/>
    </row>
    <row r="77" spans="1:3">
      <c r="A77" s="479"/>
      <c r="B77" s="888" t="s">
        <v>393</v>
      </c>
      <c r="C77" s="889"/>
    </row>
    <row r="78" spans="1:3">
      <c r="A78" s="479"/>
      <c r="B78" s="888" t="s">
        <v>463</v>
      </c>
      <c r="C78" s="889"/>
    </row>
    <row r="79" spans="1:3">
      <c r="A79" s="479"/>
      <c r="B79" s="888" t="s">
        <v>464</v>
      </c>
      <c r="C79" s="889"/>
    </row>
    <row r="80" spans="1:3">
      <c r="A80" s="904" t="s">
        <v>466</v>
      </c>
      <c r="B80" s="905"/>
      <c r="C80" s="906"/>
    </row>
    <row r="81" spans="1:3">
      <c r="A81" s="479"/>
      <c r="B81" s="888" t="s">
        <v>393</v>
      </c>
      <c r="C81" s="889"/>
    </row>
    <row r="82" spans="1:3">
      <c r="A82" s="479"/>
      <c r="B82" s="888" t="s">
        <v>467</v>
      </c>
      <c r="C82" s="889"/>
    </row>
    <row r="83" spans="1:3" ht="76.5" customHeight="1">
      <c r="A83" s="479"/>
      <c r="B83" s="888" t="s">
        <v>481</v>
      </c>
      <c r="C83" s="889"/>
    </row>
    <row r="84" spans="1:3" ht="53.25" customHeight="1">
      <c r="A84" s="479"/>
      <c r="B84" s="888" t="s">
        <v>480</v>
      </c>
      <c r="C84" s="889"/>
    </row>
    <row r="85" spans="1:3">
      <c r="A85" s="479"/>
      <c r="B85" s="888" t="s">
        <v>468</v>
      </c>
      <c r="C85" s="889"/>
    </row>
    <row r="86" spans="1:3">
      <c r="A86" s="479"/>
      <c r="B86" s="888" t="s">
        <v>469</v>
      </c>
      <c r="C86" s="889"/>
    </row>
    <row r="87" spans="1:3">
      <c r="A87" s="479"/>
      <c r="B87" s="888" t="s">
        <v>470</v>
      </c>
      <c r="C87" s="889"/>
    </row>
    <row r="88" spans="1:3">
      <c r="A88" s="904" t="s">
        <v>471</v>
      </c>
      <c r="B88" s="905"/>
      <c r="C88" s="906"/>
    </row>
    <row r="89" spans="1:3">
      <c r="A89" s="479"/>
      <c r="B89" s="888" t="s">
        <v>393</v>
      </c>
      <c r="C89" s="889"/>
    </row>
    <row r="90" spans="1:3">
      <c r="A90" s="479"/>
      <c r="B90" s="888" t="s">
        <v>473</v>
      </c>
      <c r="C90" s="889"/>
    </row>
    <row r="91" spans="1:3" ht="12" customHeight="1">
      <c r="A91" s="479"/>
      <c r="B91" s="888" t="s">
        <v>474</v>
      </c>
      <c r="C91" s="889"/>
    </row>
    <row r="92" spans="1:3">
      <c r="A92" s="479"/>
      <c r="B92" s="888" t="s">
        <v>475</v>
      </c>
      <c r="C92" s="889"/>
    </row>
    <row r="93" spans="1:3" ht="24.75" customHeight="1">
      <c r="A93" s="479"/>
      <c r="B93" s="907" t="s">
        <v>517</v>
      </c>
      <c r="C93" s="908"/>
    </row>
    <row r="94" spans="1:3" ht="24" customHeight="1">
      <c r="A94" s="479"/>
      <c r="B94" s="907" t="s">
        <v>518</v>
      </c>
      <c r="C94" s="908"/>
    </row>
    <row r="95" spans="1:3" ht="13.5" customHeight="1">
      <c r="A95" s="479"/>
      <c r="B95" s="909" t="s">
        <v>476</v>
      </c>
      <c r="C95" s="910"/>
    </row>
    <row r="96" spans="1:3" ht="11.25" customHeight="1" thickBot="1">
      <c r="A96" s="911" t="s">
        <v>513</v>
      </c>
      <c r="B96" s="912"/>
      <c r="C96" s="913"/>
    </row>
    <row r="97" spans="1:3" ht="12.75" thickTop="1" thickBot="1">
      <c r="A97" s="903" t="s">
        <v>402</v>
      </c>
      <c r="B97" s="903"/>
      <c r="C97" s="903"/>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4" t="s">
        <v>477</v>
      </c>
      <c r="B105" s="905"/>
      <c r="C105" s="906"/>
    </row>
    <row r="106" spans="1:3" ht="12" customHeight="1">
      <c r="A106" s="479"/>
      <c r="B106" s="888" t="s">
        <v>393</v>
      </c>
      <c r="C106" s="889"/>
    </row>
    <row r="107" spans="1:3">
      <c r="A107" s="904" t="s">
        <v>659</v>
      </c>
      <c r="B107" s="905"/>
      <c r="C107" s="906"/>
    </row>
    <row r="108" spans="1:3" ht="12" customHeight="1">
      <c r="A108" s="479"/>
      <c r="B108" s="888" t="s">
        <v>661</v>
      </c>
      <c r="C108" s="889"/>
    </row>
    <row r="109" spans="1:3">
      <c r="A109" s="479"/>
      <c r="B109" s="888" t="s">
        <v>662</v>
      </c>
      <c r="C109" s="889"/>
    </row>
    <row r="110" spans="1:3">
      <c r="A110" s="479"/>
      <c r="B110" s="888" t="s">
        <v>660</v>
      </c>
      <c r="C110" s="889"/>
    </row>
    <row r="111" spans="1:3">
      <c r="A111" s="883" t="s">
        <v>1000</v>
      </c>
      <c r="B111" s="883"/>
      <c r="C111" s="883"/>
    </row>
    <row r="112" spans="1:3">
      <c r="A112" s="900" t="s">
        <v>326</v>
      </c>
      <c r="B112" s="900"/>
      <c r="C112" s="900"/>
    </row>
    <row r="113" spans="1:3">
      <c r="A113" s="480">
        <v>1</v>
      </c>
      <c r="B113" s="895" t="s">
        <v>835</v>
      </c>
      <c r="C113" s="896"/>
    </row>
    <row r="114" spans="1:3">
      <c r="A114" s="480">
        <v>2</v>
      </c>
      <c r="B114" s="901" t="s">
        <v>836</v>
      </c>
      <c r="C114" s="902"/>
    </row>
    <row r="115" spans="1:3">
      <c r="A115" s="480">
        <v>3</v>
      </c>
      <c r="B115" s="895" t="s">
        <v>837</v>
      </c>
      <c r="C115" s="896"/>
    </row>
    <row r="116" spans="1:3">
      <c r="A116" s="480">
        <v>4</v>
      </c>
      <c r="B116" s="895" t="s">
        <v>838</v>
      </c>
      <c r="C116" s="896"/>
    </row>
    <row r="117" spans="1:3">
      <c r="A117" s="480">
        <v>5</v>
      </c>
      <c r="B117" s="895" t="s">
        <v>839</v>
      </c>
      <c r="C117" s="896"/>
    </row>
    <row r="118" spans="1:3" ht="55.5" customHeight="1">
      <c r="A118" s="480">
        <v>6</v>
      </c>
      <c r="B118" s="895" t="s">
        <v>949</v>
      </c>
      <c r="C118" s="896"/>
    </row>
    <row r="119" spans="1:3" ht="22.5">
      <c r="A119" s="480">
        <v>6.01</v>
      </c>
      <c r="B119" s="481" t="s">
        <v>695</v>
      </c>
      <c r="C119" s="711" t="s">
        <v>950</v>
      </c>
    </row>
    <row r="120" spans="1:3" ht="33.75">
      <c r="A120" s="480">
        <v>6.02</v>
      </c>
      <c r="B120" s="481" t="s">
        <v>696</v>
      </c>
      <c r="C120" s="711" t="s">
        <v>1001</v>
      </c>
    </row>
    <row r="121" spans="1:3">
      <c r="A121" s="480">
        <v>6.03</v>
      </c>
      <c r="B121" s="486" t="s">
        <v>697</v>
      </c>
      <c r="C121" s="486" t="s">
        <v>840</v>
      </c>
    </row>
    <row r="122" spans="1:3">
      <c r="A122" s="480">
        <v>6.04</v>
      </c>
      <c r="B122" s="481" t="s">
        <v>698</v>
      </c>
      <c r="C122" s="482" t="s">
        <v>841</v>
      </c>
    </row>
    <row r="123" spans="1:3">
      <c r="A123" s="480">
        <v>6.05</v>
      </c>
      <c r="B123" s="481" t="s">
        <v>699</v>
      </c>
      <c r="C123" s="482" t="s">
        <v>842</v>
      </c>
    </row>
    <row r="124" spans="1:3" ht="22.5">
      <c r="A124" s="480">
        <v>6.06</v>
      </c>
      <c r="B124" s="481" t="s">
        <v>700</v>
      </c>
      <c r="C124" s="482" t="s">
        <v>843</v>
      </c>
    </row>
    <row r="125" spans="1:3">
      <c r="A125" s="480">
        <v>6.07</v>
      </c>
      <c r="B125" s="483" t="s">
        <v>701</v>
      </c>
      <c r="C125" s="482" t="s">
        <v>844</v>
      </c>
    </row>
    <row r="126" spans="1:3" ht="22.5">
      <c r="A126" s="480">
        <v>6.08</v>
      </c>
      <c r="B126" s="481" t="s">
        <v>702</v>
      </c>
      <c r="C126" s="482" t="s">
        <v>845</v>
      </c>
    </row>
    <row r="127" spans="1:3" ht="22.5">
      <c r="A127" s="480">
        <v>6.09</v>
      </c>
      <c r="B127" s="484" t="s">
        <v>703</v>
      </c>
      <c r="C127" s="482" t="s">
        <v>846</v>
      </c>
    </row>
    <row r="128" spans="1:3">
      <c r="A128" s="485">
        <v>6.1</v>
      </c>
      <c r="B128" s="484" t="s">
        <v>704</v>
      </c>
      <c r="C128" s="482" t="s">
        <v>847</v>
      </c>
    </row>
    <row r="129" spans="1:3">
      <c r="A129" s="480">
        <v>6.11</v>
      </c>
      <c r="B129" s="484" t="s">
        <v>705</v>
      </c>
      <c r="C129" s="482" t="s">
        <v>848</v>
      </c>
    </row>
    <row r="130" spans="1:3">
      <c r="A130" s="480">
        <v>6.12</v>
      </c>
      <c r="B130" s="484" t="s">
        <v>706</v>
      </c>
      <c r="C130" s="482" t="s">
        <v>849</v>
      </c>
    </row>
    <row r="131" spans="1:3">
      <c r="A131" s="480">
        <v>6.13</v>
      </c>
      <c r="B131" s="484" t="s">
        <v>707</v>
      </c>
      <c r="C131" s="486" t="s">
        <v>850</v>
      </c>
    </row>
    <row r="132" spans="1:3">
      <c r="A132" s="480">
        <v>6.14</v>
      </c>
      <c r="B132" s="484" t="s">
        <v>708</v>
      </c>
      <c r="C132" s="486" t="s">
        <v>851</v>
      </c>
    </row>
    <row r="133" spans="1:3">
      <c r="A133" s="480">
        <v>6.15</v>
      </c>
      <c r="B133" s="484" t="s">
        <v>709</v>
      </c>
      <c r="C133" s="486" t="s">
        <v>852</v>
      </c>
    </row>
    <row r="134" spans="1:3" ht="22.5">
      <c r="A134" s="480">
        <v>6.16</v>
      </c>
      <c r="B134" s="484" t="s">
        <v>710</v>
      </c>
      <c r="C134" s="486" t="s">
        <v>853</v>
      </c>
    </row>
    <row r="135" spans="1:3">
      <c r="A135" s="480">
        <v>6.17</v>
      </c>
      <c r="B135" s="486" t="s">
        <v>711</v>
      </c>
      <c r="C135" s="486" t="s">
        <v>854</v>
      </c>
    </row>
    <row r="136" spans="1:3" ht="22.5">
      <c r="A136" s="480">
        <v>6.18</v>
      </c>
      <c r="B136" s="484" t="s">
        <v>712</v>
      </c>
      <c r="C136" s="486" t="s">
        <v>855</v>
      </c>
    </row>
    <row r="137" spans="1:3">
      <c r="A137" s="480">
        <v>6.19</v>
      </c>
      <c r="B137" s="484" t="s">
        <v>713</v>
      </c>
      <c r="C137" s="486" t="s">
        <v>856</v>
      </c>
    </row>
    <row r="138" spans="1:3">
      <c r="A138" s="485">
        <v>6.2</v>
      </c>
      <c r="B138" s="484" t="s">
        <v>714</v>
      </c>
      <c r="C138" s="486" t="s">
        <v>857</v>
      </c>
    </row>
    <row r="139" spans="1:3">
      <c r="A139" s="480">
        <v>6.21</v>
      </c>
      <c r="B139" s="484" t="s">
        <v>715</v>
      </c>
      <c r="C139" s="486" t="s">
        <v>858</v>
      </c>
    </row>
    <row r="140" spans="1:3">
      <c r="A140" s="480">
        <v>6.22</v>
      </c>
      <c r="B140" s="484" t="s">
        <v>716</v>
      </c>
      <c r="C140" s="486" t="s">
        <v>859</v>
      </c>
    </row>
    <row r="141" spans="1:3" ht="22.5">
      <c r="A141" s="480">
        <v>6.23</v>
      </c>
      <c r="B141" s="484" t="s">
        <v>717</v>
      </c>
      <c r="C141" s="486" t="s">
        <v>860</v>
      </c>
    </row>
    <row r="142" spans="1:3" ht="22.5">
      <c r="A142" s="480">
        <v>6.24</v>
      </c>
      <c r="B142" s="481" t="s">
        <v>718</v>
      </c>
      <c r="C142" s="486" t="s">
        <v>861</v>
      </c>
    </row>
    <row r="143" spans="1:3">
      <c r="A143" s="480">
        <v>6.2500000000000098</v>
      </c>
      <c r="B143" s="481" t="s">
        <v>719</v>
      </c>
      <c r="C143" s="486" t="s">
        <v>862</v>
      </c>
    </row>
    <row r="144" spans="1:3" ht="22.5">
      <c r="A144" s="480">
        <v>6.2600000000000202</v>
      </c>
      <c r="B144" s="481" t="s">
        <v>863</v>
      </c>
      <c r="C144" s="710" t="s">
        <v>864</v>
      </c>
    </row>
    <row r="145" spans="1:3" ht="22.5">
      <c r="A145" s="480">
        <v>6.2700000000000298</v>
      </c>
      <c r="B145" s="481" t="s">
        <v>165</v>
      </c>
      <c r="C145" s="710" t="s">
        <v>952</v>
      </c>
    </row>
    <row r="146" spans="1:3">
      <c r="A146" s="480"/>
      <c r="B146" s="886" t="s">
        <v>865</v>
      </c>
      <c r="C146" s="887"/>
    </row>
    <row r="147" spans="1:3" s="488" customFormat="1">
      <c r="A147" s="487">
        <v>7.1</v>
      </c>
      <c r="B147" s="481" t="s">
        <v>866</v>
      </c>
      <c r="C147" s="897" t="s">
        <v>867</v>
      </c>
    </row>
    <row r="148" spans="1:3" s="488" customFormat="1">
      <c r="A148" s="487">
        <v>7.2</v>
      </c>
      <c r="B148" s="481" t="s">
        <v>868</v>
      </c>
      <c r="C148" s="898"/>
    </row>
    <row r="149" spans="1:3" s="488" customFormat="1">
      <c r="A149" s="487">
        <v>7.3</v>
      </c>
      <c r="B149" s="481" t="s">
        <v>869</v>
      </c>
      <c r="C149" s="898"/>
    </row>
    <row r="150" spans="1:3" s="488" customFormat="1">
      <c r="A150" s="487">
        <v>7.4</v>
      </c>
      <c r="B150" s="481" t="s">
        <v>870</v>
      </c>
      <c r="C150" s="898"/>
    </row>
    <row r="151" spans="1:3" s="488" customFormat="1">
      <c r="A151" s="487">
        <v>7.5</v>
      </c>
      <c r="B151" s="481" t="s">
        <v>871</v>
      </c>
      <c r="C151" s="898"/>
    </row>
    <row r="152" spans="1:3" s="488" customFormat="1">
      <c r="A152" s="487">
        <v>7.6</v>
      </c>
      <c r="B152" s="481" t="s">
        <v>945</v>
      </c>
      <c r="C152" s="899"/>
    </row>
    <row r="153" spans="1:3" s="488" customFormat="1" ht="22.5">
      <c r="A153" s="487">
        <v>7.7</v>
      </c>
      <c r="B153" s="481" t="s">
        <v>872</v>
      </c>
      <c r="C153" s="489" t="s">
        <v>873</v>
      </c>
    </row>
    <row r="154" spans="1:3" s="488" customFormat="1" ht="22.5">
      <c r="A154" s="487">
        <v>7.8</v>
      </c>
      <c r="B154" s="481" t="s">
        <v>874</v>
      </c>
      <c r="C154" s="489" t="s">
        <v>875</v>
      </c>
    </row>
    <row r="155" spans="1:3">
      <c r="A155" s="479"/>
      <c r="B155" s="886" t="s">
        <v>876</v>
      </c>
      <c r="C155" s="887"/>
    </row>
    <row r="156" spans="1:3">
      <c r="A156" s="487">
        <v>1</v>
      </c>
      <c r="B156" s="890" t="s">
        <v>1002</v>
      </c>
      <c r="C156" s="891"/>
    </row>
    <row r="157" spans="1:3" ht="24.95" customHeight="1">
      <c r="A157" s="487">
        <v>2</v>
      </c>
      <c r="B157" s="890" t="s">
        <v>953</v>
      </c>
      <c r="C157" s="891"/>
    </row>
    <row r="158" spans="1:3">
      <c r="A158" s="487">
        <v>3</v>
      </c>
      <c r="B158" s="890" t="s">
        <v>944</v>
      </c>
      <c r="C158" s="891"/>
    </row>
    <row r="159" spans="1:3">
      <c r="A159" s="479"/>
      <c r="B159" s="886" t="s">
        <v>877</v>
      </c>
      <c r="C159" s="887"/>
    </row>
    <row r="160" spans="1:3" ht="39" customHeight="1">
      <c r="A160" s="487">
        <v>1</v>
      </c>
      <c r="B160" s="893" t="s">
        <v>1003</v>
      </c>
      <c r="C160" s="894"/>
    </row>
    <row r="161" spans="1:3" ht="22.5">
      <c r="A161" s="487">
        <v>3</v>
      </c>
      <c r="B161" s="481" t="s">
        <v>683</v>
      </c>
      <c r="C161" s="489" t="s">
        <v>878</v>
      </c>
    </row>
    <row r="162" spans="1:3" ht="22.5">
      <c r="A162" s="487">
        <v>4</v>
      </c>
      <c r="B162" s="481" t="s">
        <v>684</v>
      </c>
      <c r="C162" s="489" t="s">
        <v>879</v>
      </c>
    </row>
    <row r="163" spans="1:3" ht="33.75">
      <c r="A163" s="487">
        <v>5</v>
      </c>
      <c r="B163" s="481" t="s">
        <v>685</v>
      </c>
      <c r="C163" s="489" t="s">
        <v>880</v>
      </c>
    </row>
    <row r="164" spans="1:3">
      <c r="A164" s="487">
        <v>6</v>
      </c>
      <c r="B164" s="481" t="s">
        <v>686</v>
      </c>
      <c r="C164" s="481" t="s">
        <v>881</v>
      </c>
    </row>
    <row r="165" spans="1:3">
      <c r="A165" s="479"/>
      <c r="B165" s="886" t="s">
        <v>882</v>
      </c>
      <c r="C165" s="887"/>
    </row>
    <row r="166" spans="1:3" ht="45">
      <c r="A166" s="487"/>
      <c r="B166" s="481" t="s">
        <v>883</v>
      </c>
      <c r="C166" s="490" t="s">
        <v>1004</v>
      </c>
    </row>
    <row r="167" spans="1:3">
      <c r="A167" s="487"/>
      <c r="B167" s="481" t="s">
        <v>685</v>
      </c>
      <c r="C167" s="489" t="s">
        <v>884</v>
      </c>
    </row>
    <row r="168" spans="1:3">
      <c r="A168" s="479"/>
      <c r="B168" s="886" t="s">
        <v>885</v>
      </c>
      <c r="C168" s="887"/>
    </row>
    <row r="169" spans="1:3" ht="26.45" customHeight="1">
      <c r="A169" s="479"/>
      <c r="B169" s="888" t="s">
        <v>1005</v>
      </c>
      <c r="C169" s="889"/>
    </row>
    <row r="170" spans="1:3">
      <c r="A170" s="479" t="s">
        <v>886</v>
      </c>
      <c r="B170" s="491" t="s">
        <v>743</v>
      </c>
      <c r="C170" s="492" t="s">
        <v>887</v>
      </c>
    </row>
    <row r="171" spans="1:3">
      <c r="A171" s="479" t="s">
        <v>538</v>
      </c>
      <c r="B171" s="493" t="s">
        <v>744</v>
      </c>
      <c r="C171" s="489" t="s">
        <v>888</v>
      </c>
    </row>
    <row r="172" spans="1:3" ht="22.5">
      <c r="A172" s="479" t="s">
        <v>545</v>
      </c>
      <c r="B172" s="492" t="s">
        <v>745</v>
      </c>
      <c r="C172" s="489" t="s">
        <v>889</v>
      </c>
    </row>
    <row r="173" spans="1:3">
      <c r="A173" s="479" t="s">
        <v>890</v>
      </c>
      <c r="B173" s="493" t="s">
        <v>746</v>
      </c>
      <c r="C173" s="493" t="s">
        <v>891</v>
      </c>
    </row>
    <row r="174" spans="1:3" ht="22.5">
      <c r="A174" s="479" t="s">
        <v>892</v>
      </c>
      <c r="B174" s="494" t="s">
        <v>747</v>
      </c>
      <c r="C174" s="494" t="s">
        <v>893</v>
      </c>
    </row>
    <row r="175" spans="1:3" ht="22.5">
      <c r="A175" s="479" t="s">
        <v>546</v>
      </c>
      <c r="B175" s="494" t="s">
        <v>748</v>
      </c>
      <c r="C175" s="494" t="s">
        <v>894</v>
      </c>
    </row>
    <row r="176" spans="1:3" ht="22.5">
      <c r="A176" s="479" t="s">
        <v>895</v>
      </c>
      <c r="B176" s="494" t="s">
        <v>749</v>
      </c>
      <c r="C176" s="494" t="s">
        <v>896</v>
      </c>
    </row>
    <row r="177" spans="1:3" ht="22.5">
      <c r="A177" s="479" t="s">
        <v>897</v>
      </c>
      <c r="B177" s="494" t="s">
        <v>750</v>
      </c>
      <c r="C177" s="494" t="s">
        <v>899</v>
      </c>
    </row>
    <row r="178" spans="1:3" ht="22.5">
      <c r="A178" s="479" t="s">
        <v>898</v>
      </c>
      <c r="B178" s="494" t="s">
        <v>751</v>
      </c>
      <c r="C178" s="494" t="s">
        <v>901</v>
      </c>
    </row>
    <row r="179" spans="1:3" ht="22.5">
      <c r="A179" s="479" t="s">
        <v>900</v>
      </c>
      <c r="B179" s="494" t="s">
        <v>752</v>
      </c>
      <c r="C179" s="495" t="s">
        <v>903</v>
      </c>
    </row>
    <row r="180" spans="1:3" ht="22.5">
      <c r="A180" s="479" t="s">
        <v>902</v>
      </c>
      <c r="B180" s="512" t="s">
        <v>753</v>
      </c>
      <c r="C180" s="495" t="s">
        <v>905</v>
      </c>
    </row>
    <row r="181" spans="1:3" ht="22.5">
      <c r="A181" s="479" t="s">
        <v>904</v>
      </c>
      <c r="B181" s="494" t="s">
        <v>754</v>
      </c>
      <c r="C181" s="496" t="s">
        <v>907</v>
      </c>
    </row>
    <row r="182" spans="1:3">
      <c r="A182" s="743" t="s">
        <v>906</v>
      </c>
      <c r="B182" s="497" t="s">
        <v>755</v>
      </c>
      <c r="C182" s="492" t="s">
        <v>908</v>
      </c>
    </row>
    <row r="183" spans="1:3" ht="22.5">
      <c r="A183" s="479"/>
      <c r="B183" s="498" t="s">
        <v>909</v>
      </c>
      <c r="C183" s="482" t="s">
        <v>910</v>
      </c>
    </row>
    <row r="184" spans="1:3" ht="22.5">
      <c r="A184" s="479"/>
      <c r="B184" s="498" t="s">
        <v>911</v>
      </c>
      <c r="C184" s="482" t="s">
        <v>912</v>
      </c>
    </row>
    <row r="185" spans="1:3" ht="22.5">
      <c r="A185" s="479"/>
      <c r="B185" s="498" t="s">
        <v>913</v>
      </c>
      <c r="C185" s="482" t="s">
        <v>914</v>
      </c>
    </row>
    <row r="186" spans="1:3">
      <c r="A186" s="479"/>
      <c r="B186" s="886" t="s">
        <v>915</v>
      </c>
      <c r="C186" s="887"/>
    </row>
    <row r="187" spans="1:3" ht="50.1" customHeight="1">
      <c r="A187" s="479"/>
      <c r="B187" s="890" t="s">
        <v>1006</v>
      </c>
      <c r="C187" s="891"/>
    </row>
    <row r="188" spans="1:3">
      <c r="A188" s="487">
        <v>1</v>
      </c>
      <c r="B188" s="486" t="s">
        <v>775</v>
      </c>
      <c r="C188" s="486" t="s">
        <v>775</v>
      </c>
    </row>
    <row r="189" spans="1:3" ht="33.75">
      <c r="A189" s="487">
        <v>2</v>
      </c>
      <c r="B189" s="486" t="s">
        <v>916</v>
      </c>
      <c r="C189" s="486" t="s">
        <v>917</v>
      </c>
    </row>
    <row r="190" spans="1:3">
      <c r="A190" s="487">
        <v>3</v>
      </c>
      <c r="B190" s="486" t="s">
        <v>777</v>
      </c>
      <c r="C190" s="486" t="s">
        <v>918</v>
      </c>
    </row>
    <row r="191" spans="1:3" ht="22.5">
      <c r="A191" s="487">
        <v>4</v>
      </c>
      <c r="B191" s="486" t="s">
        <v>778</v>
      </c>
      <c r="C191" s="486" t="s">
        <v>919</v>
      </c>
    </row>
    <row r="192" spans="1:3" ht="22.5">
      <c r="A192" s="487">
        <v>5</v>
      </c>
      <c r="B192" s="486" t="s">
        <v>779</v>
      </c>
      <c r="C192" s="486" t="s">
        <v>1007</v>
      </c>
    </row>
    <row r="193" spans="1:4" ht="45">
      <c r="A193" s="487">
        <v>6</v>
      </c>
      <c r="B193" s="486" t="s">
        <v>780</v>
      </c>
      <c r="C193" s="486" t="s">
        <v>920</v>
      </c>
    </row>
    <row r="194" spans="1:4">
      <c r="A194" s="479"/>
      <c r="B194" s="886" t="s">
        <v>921</v>
      </c>
      <c r="C194" s="887"/>
    </row>
    <row r="195" spans="1:4" ht="26.1" customHeight="1">
      <c r="A195" s="479"/>
      <c r="B195" s="884" t="s">
        <v>946</v>
      </c>
      <c r="C195" s="892"/>
    </row>
    <row r="196" spans="1:4" ht="22.5">
      <c r="A196" s="479">
        <v>1.1000000000000001</v>
      </c>
      <c r="B196" s="499" t="s">
        <v>790</v>
      </c>
      <c r="C196" s="711" t="s">
        <v>922</v>
      </c>
      <c r="D196" s="513"/>
    </row>
    <row r="197" spans="1:4" ht="12.75">
      <c r="A197" s="479" t="s">
        <v>252</v>
      </c>
      <c r="B197" s="500" t="s">
        <v>791</v>
      </c>
      <c r="C197" s="711" t="s">
        <v>923</v>
      </c>
      <c r="D197" s="514"/>
    </row>
    <row r="198" spans="1:4" ht="12.75">
      <c r="A198" s="479" t="s">
        <v>792</v>
      </c>
      <c r="B198" s="501" t="s">
        <v>793</v>
      </c>
      <c r="C198" s="882" t="s">
        <v>947</v>
      </c>
      <c r="D198" s="515"/>
    </row>
    <row r="199" spans="1:4" ht="12.75">
      <c r="A199" s="479" t="s">
        <v>794</v>
      </c>
      <c r="B199" s="501" t="s">
        <v>795</v>
      </c>
      <c r="C199" s="882"/>
      <c r="D199" s="515"/>
    </row>
    <row r="200" spans="1:4" ht="12.75">
      <c r="A200" s="479" t="s">
        <v>796</v>
      </c>
      <c r="B200" s="501" t="s">
        <v>797</v>
      </c>
      <c r="C200" s="882"/>
      <c r="D200" s="515"/>
    </row>
    <row r="201" spans="1:4" ht="12.75">
      <c r="A201" s="479" t="s">
        <v>798</v>
      </c>
      <c r="B201" s="501" t="s">
        <v>799</v>
      </c>
      <c r="C201" s="882"/>
      <c r="D201" s="515"/>
    </row>
    <row r="202" spans="1:4" ht="22.5">
      <c r="A202" s="479">
        <v>1.2</v>
      </c>
      <c r="B202" s="502" t="s">
        <v>800</v>
      </c>
      <c r="C202" s="503" t="s">
        <v>924</v>
      </c>
      <c r="D202" s="516"/>
    </row>
    <row r="203" spans="1:4" ht="22.5">
      <c r="A203" s="479" t="s">
        <v>802</v>
      </c>
      <c r="B203" s="504" t="s">
        <v>803</v>
      </c>
      <c r="C203" s="505" t="s">
        <v>925</v>
      </c>
      <c r="D203" s="517"/>
    </row>
    <row r="204" spans="1:4" ht="23.25">
      <c r="A204" s="479" t="s">
        <v>804</v>
      </c>
      <c r="B204" s="506" t="s">
        <v>805</v>
      </c>
      <c r="C204" s="505" t="s">
        <v>926</v>
      </c>
      <c r="D204" s="518"/>
    </row>
    <row r="205" spans="1:4" ht="12.75">
      <c r="A205" s="479" t="s">
        <v>806</v>
      </c>
      <c r="B205" s="507" t="s">
        <v>807</v>
      </c>
      <c r="C205" s="503" t="s">
        <v>927</v>
      </c>
      <c r="D205" s="517"/>
    </row>
    <row r="206" spans="1:4" ht="18" customHeight="1">
      <c r="A206" s="479" t="s">
        <v>808</v>
      </c>
      <c r="B206" s="510" t="s">
        <v>809</v>
      </c>
      <c r="C206" s="503" t="s">
        <v>928</v>
      </c>
      <c r="D206" s="518"/>
    </row>
    <row r="207" spans="1:4" ht="22.5">
      <c r="A207" s="479">
        <v>1.4</v>
      </c>
      <c r="B207" s="504" t="s">
        <v>942</v>
      </c>
      <c r="C207" s="508" t="s">
        <v>929</v>
      </c>
      <c r="D207" s="519"/>
    </row>
    <row r="208" spans="1:4" ht="12.75">
      <c r="A208" s="479">
        <v>1.5</v>
      </c>
      <c r="B208" s="504" t="s">
        <v>943</v>
      </c>
      <c r="C208" s="508" t="s">
        <v>929</v>
      </c>
      <c r="D208" s="519"/>
    </row>
    <row r="209" spans="1:3">
      <c r="A209" s="479"/>
      <c r="B209" s="883" t="s">
        <v>930</v>
      </c>
      <c r="C209" s="883"/>
    </row>
    <row r="210" spans="1:3" ht="24.6" customHeight="1">
      <c r="A210" s="479"/>
      <c r="B210" s="884" t="s">
        <v>931</v>
      </c>
      <c r="C210" s="884"/>
    </row>
    <row r="211" spans="1:3" ht="22.5">
      <c r="A211" s="487"/>
      <c r="B211" s="481" t="s">
        <v>683</v>
      </c>
      <c r="C211" s="489" t="s">
        <v>878</v>
      </c>
    </row>
    <row r="212" spans="1:3" ht="22.5">
      <c r="A212" s="487"/>
      <c r="B212" s="481" t="s">
        <v>684</v>
      </c>
      <c r="C212" s="489" t="s">
        <v>879</v>
      </c>
    </row>
    <row r="213" spans="1:3" ht="22.5">
      <c r="A213" s="479"/>
      <c r="B213" s="481" t="s">
        <v>685</v>
      </c>
      <c r="C213" s="489" t="s">
        <v>932</v>
      </c>
    </row>
    <row r="214" spans="1:3">
      <c r="A214" s="479"/>
      <c r="B214" s="883" t="s">
        <v>933</v>
      </c>
      <c r="C214" s="883"/>
    </row>
    <row r="215" spans="1:3" ht="39.6" customHeight="1">
      <c r="A215" s="487"/>
      <c r="B215" s="885" t="s">
        <v>948</v>
      </c>
      <c r="C215" s="885"/>
    </row>
    <row r="216" spans="1:3">
      <c r="B216" s="883" t="s">
        <v>1008</v>
      </c>
      <c r="C216" s="883"/>
    </row>
    <row r="217" spans="1:3" ht="25.5">
      <c r="A217" s="745">
        <v>1</v>
      </c>
      <c r="B217" s="755" t="s">
        <v>985</v>
      </c>
      <c r="C217" s="756" t="s">
        <v>1009</v>
      </c>
    </row>
    <row r="218" spans="1:3" ht="12.75">
      <c r="A218" s="745">
        <v>2</v>
      </c>
      <c r="B218" s="755" t="s">
        <v>986</v>
      </c>
      <c r="C218" s="756" t="s">
        <v>1010</v>
      </c>
    </row>
    <row r="219" spans="1:3" ht="25.5">
      <c r="A219" s="745">
        <v>3</v>
      </c>
      <c r="B219" s="755" t="s">
        <v>987</v>
      </c>
      <c r="C219" s="755" t="s">
        <v>1011</v>
      </c>
    </row>
    <row r="220" spans="1:3" ht="12.75">
      <c r="A220" s="745">
        <v>4</v>
      </c>
      <c r="B220" s="755" t="s">
        <v>988</v>
      </c>
      <c r="C220" s="755" t="s">
        <v>1012</v>
      </c>
    </row>
    <row r="221" spans="1:3" ht="25.5">
      <c r="A221" s="745">
        <v>5</v>
      </c>
      <c r="B221" s="755" t="s">
        <v>989</v>
      </c>
      <c r="C221" s="755" t="s">
        <v>1013</v>
      </c>
    </row>
    <row r="222" spans="1:3" ht="12.75">
      <c r="A222" s="745">
        <v>6</v>
      </c>
      <c r="B222" s="755" t="s">
        <v>990</v>
      </c>
      <c r="C222" s="755" t="s">
        <v>1014</v>
      </c>
    </row>
    <row r="223" spans="1:3" ht="25.5">
      <c r="A223" s="745">
        <v>7</v>
      </c>
      <c r="B223" s="755" t="s">
        <v>991</v>
      </c>
      <c r="C223" s="755" t="s">
        <v>1015</v>
      </c>
    </row>
    <row r="224" spans="1:3" ht="12.75">
      <c r="A224" s="745">
        <v>7.1</v>
      </c>
      <c r="B224" s="757" t="s">
        <v>992</v>
      </c>
      <c r="C224" s="755" t="s">
        <v>1016</v>
      </c>
    </row>
    <row r="225" spans="1:3" ht="25.5">
      <c r="A225" s="745">
        <v>7.2</v>
      </c>
      <c r="B225" s="757" t="s">
        <v>993</v>
      </c>
      <c r="C225" s="755" t="s">
        <v>1017</v>
      </c>
    </row>
    <row r="226" spans="1:3" ht="12.75">
      <c r="A226" s="745">
        <v>7.3</v>
      </c>
      <c r="B226" s="758" t="s">
        <v>994</v>
      </c>
      <c r="C226" s="755" t="s">
        <v>1018</v>
      </c>
    </row>
    <row r="227" spans="1:3" ht="12.75">
      <c r="A227" s="745">
        <v>8</v>
      </c>
      <c r="B227" s="755" t="s">
        <v>995</v>
      </c>
      <c r="C227" s="756" t="s">
        <v>1019</v>
      </c>
    </row>
    <row r="228" spans="1:3" ht="12.75">
      <c r="A228" s="745">
        <v>9</v>
      </c>
      <c r="B228" s="755" t="s">
        <v>996</v>
      </c>
      <c r="C228" s="756" t="s">
        <v>1020</v>
      </c>
    </row>
    <row r="229" spans="1:3" ht="25.5">
      <c r="A229" s="745">
        <v>10.1</v>
      </c>
      <c r="B229" s="759" t="s">
        <v>1021</v>
      </c>
      <c r="C229" s="756" t="s">
        <v>1022</v>
      </c>
    </row>
    <row r="230" spans="1:3" ht="12.75">
      <c r="A230" s="879"/>
      <c r="B230" s="760" t="s">
        <v>785</v>
      </c>
      <c r="C230" s="756" t="s">
        <v>1023</v>
      </c>
    </row>
    <row r="231" spans="1:3" ht="25.5">
      <c r="A231" s="880"/>
      <c r="B231" s="760" t="s">
        <v>979</v>
      </c>
      <c r="C231" s="756" t="s">
        <v>1024</v>
      </c>
    </row>
    <row r="232" spans="1:3" ht="12.75">
      <c r="A232" s="880"/>
      <c r="B232" s="760" t="s">
        <v>980</v>
      </c>
      <c r="C232" s="756" t="s">
        <v>1025</v>
      </c>
    </row>
    <row r="233" spans="1:3" ht="24">
      <c r="A233" s="880"/>
      <c r="B233" s="760" t="s">
        <v>981</v>
      </c>
      <c r="C233" s="761" t="s">
        <v>1026</v>
      </c>
    </row>
    <row r="234" spans="1:3" ht="40.5" customHeight="1">
      <c r="A234" s="880"/>
      <c r="B234" s="760" t="s">
        <v>982</v>
      </c>
      <c r="C234" s="756" t="s">
        <v>1027</v>
      </c>
    </row>
    <row r="235" spans="1:3" ht="24" customHeight="1">
      <c r="A235" s="880"/>
      <c r="B235" s="760" t="s">
        <v>983</v>
      </c>
      <c r="C235" s="756" t="s">
        <v>1028</v>
      </c>
    </row>
    <row r="236" spans="1:3" ht="25.5">
      <c r="A236" s="881"/>
      <c r="B236" s="760" t="s">
        <v>984</v>
      </c>
      <c r="C236" s="756" t="s">
        <v>1029</v>
      </c>
    </row>
  </sheetData>
  <mergeCells count="133">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C147:C152"/>
    <mergeCell ref="B155:C155"/>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954</v>
      </c>
      <c r="C1" s="17"/>
    </row>
    <row r="2" spans="1:8" ht="15.75">
      <c r="A2" s="527" t="s">
        <v>189</v>
      </c>
      <c r="B2" s="529">
        <f>'1. key ratios'!B2</f>
        <v>44651</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191837.75</v>
      </c>
      <c r="D8" s="591">
        <v>797.15</v>
      </c>
      <c r="E8" s="571">
        <f>C8+D8</f>
        <v>192634.9</v>
      </c>
      <c r="F8" s="592">
        <v>76473.600000000006</v>
      </c>
      <c r="G8" s="592">
        <v>0</v>
      </c>
      <c r="H8" s="573">
        <f>F8+G8</f>
        <v>76473.600000000006</v>
      </c>
    </row>
    <row r="9" spans="1:8">
      <c r="A9" s="586">
        <v>2</v>
      </c>
      <c r="B9" s="590" t="s">
        <v>98</v>
      </c>
      <c r="C9" s="593">
        <f>SUM(C10:C18)</f>
        <v>4697949.17</v>
      </c>
      <c r="D9" s="593">
        <f>SUM(D10:D18)</f>
        <v>253610.38</v>
      </c>
      <c r="E9" s="571">
        <f t="shared" ref="E9:E67" si="0">C9+D9</f>
        <v>4951559.55</v>
      </c>
      <c r="F9" s="593">
        <f>SUM(F10:F18)</f>
        <v>4073920.6300000004</v>
      </c>
      <c r="G9" s="593">
        <f>SUM(G10:G18)</f>
        <v>319164.15999999997</v>
      </c>
      <c r="H9" s="573">
        <f t="shared" ref="H9:H67" si="1">F9+G9</f>
        <v>4393084.79</v>
      </c>
    </row>
    <row r="10" spans="1:8">
      <c r="A10" s="586">
        <v>2.1</v>
      </c>
      <c r="B10" s="594" t="s">
        <v>99</v>
      </c>
      <c r="C10" s="592">
        <v>0</v>
      </c>
      <c r="D10" s="592">
        <v>60803.12</v>
      </c>
      <c r="E10" s="571">
        <f t="shared" si="0"/>
        <v>60803.12</v>
      </c>
      <c r="F10" s="592">
        <v>0</v>
      </c>
      <c r="G10" s="592">
        <v>51940.86</v>
      </c>
      <c r="H10" s="573">
        <f t="shared" si="1"/>
        <v>51940.86</v>
      </c>
    </row>
    <row r="11" spans="1:8">
      <c r="A11" s="586">
        <v>2.2000000000000002</v>
      </c>
      <c r="B11" s="594" t="s">
        <v>100</v>
      </c>
      <c r="C11" s="592">
        <v>4497653.49</v>
      </c>
      <c r="D11" s="592">
        <v>0</v>
      </c>
      <c r="E11" s="571">
        <f t="shared" si="0"/>
        <v>4497653.49</v>
      </c>
      <c r="F11" s="592">
        <v>3829406.93</v>
      </c>
      <c r="G11" s="592">
        <v>0</v>
      </c>
      <c r="H11" s="573">
        <f t="shared" si="1"/>
        <v>3829406.93</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200295.68000000002</v>
      </c>
      <c r="D17" s="592">
        <v>192807.26</v>
      </c>
      <c r="E17" s="571">
        <f t="shared" si="0"/>
        <v>393102.94000000006</v>
      </c>
      <c r="F17" s="592">
        <v>244513.70000000004</v>
      </c>
      <c r="G17" s="592">
        <v>267223.3</v>
      </c>
      <c r="H17" s="573">
        <f t="shared" si="1"/>
        <v>511737</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942199.05862387328</v>
      </c>
      <c r="D20" s="592">
        <v>74223.045617508003</v>
      </c>
      <c r="E20" s="571">
        <f t="shared" si="0"/>
        <v>1016422.1042413813</v>
      </c>
      <c r="F20" s="592">
        <v>588180.05876364</v>
      </c>
      <c r="G20" s="592">
        <v>119722.27813428611</v>
      </c>
      <c r="H20" s="573">
        <f t="shared" si="1"/>
        <v>707902.33689792617</v>
      </c>
    </row>
    <row r="21" spans="1:8">
      <c r="A21" s="586">
        <v>5</v>
      </c>
      <c r="B21" s="590" t="s">
        <v>110</v>
      </c>
      <c r="C21" s="592">
        <v>0</v>
      </c>
      <c r="D21" s="592"/>
      <c r="E21" s="571">
        <f t="shared" si="0"/>
        <v>0</v>
      </c>
      <c r="F21" s="592">
        <v>0</v>
      </c>
      <c r="G21" s="592"/>
      <c r="H21" s="573">
        <f>F21+G21</f>
        <v>0</v>
      </c>
    </row>
    <row r="22" spans="1:8">
      <c r="A22" s="586">
        <v>6</v>
      </c>
      <c r="B22" s="595" t="s">
        <v>111</v>
      </c>
      <c r="C22" s="593">
        <f>C8+C9+C19+C20+C21</f>
        <v>5831985.9786238736</v>
      </c>
      <c r="D22" s="593">
        <f>D8+D9+D19+D20+D21</f>
        <v>328630.57561750803</v>
      </c>
      <c r="E22" s="571">
        <f>C22+D22</f>
        <v>6160616.5542413816</v>
      </c>
      <c r="F22" s="593">
        <f>F8+F9+F19+F20+F21</f>
        <v>4738574.2887636404</v>
      </c>
      <c r="G22" s="593">
        <f>G8+G9+G19+G20+G21</f>
        <v>438886.43813428609</v>
      </c>
      <c r="H22" s="573">
        <f>F22+G22</f>
        <v>5177460.726897927</v>
      </c>
    </row>
    <row r="23" spans="1:8">
      <c r="A23" s="586"/>
      <c r="B23" s="587" t="s">
        <v>90</v>
      </c>
      <c r="C23" s="592"/>
      <c r="D23" s="592"/>
      <c r="E23" s="570"/>
      <c r="F23" s="592"/>
      <c r="G23" s="592"/>
      <c r="H23" s="596"/>
    </row>
    <row r="24" spans="1:8">
      <c r="A24" s="586">
        <v>7</v>
      </c>
      <c r="B24" s="590" t="s">
        <v>112</v>
      </c>
      <c r="C24" s="592">
        <v>139699.09</v>
      </c>
      <c r="D24" s="592">
        <v>0</v>
      </c>
      <c r="E24" s="571">
        <f t="shared" si="0"/>
        <v>139699.09</v>
      </c>
      <c r="F24" s="592">
        <v>107966.49</v>
      </c>
      <c r="G24" s="592">
        <v>0</v>
      </c>
      <c r="H24" s="573">
        <f t="shared" si="1"/>
        <v>107966.49</v>
      </c>
    </row>
    <row r="25" spans="1:8">
      <c r="A25" s="586">
        <v>8</v>
      </c>
      <c r="B25" s="590" t="s">
        <v>113</v>
      </c>
      <c r="C25" s="592">
        <v>151366.31461999999</v>
      </c>
      <c r="D25" s="592">
        <v>211071.24537999998</v>
      </c>
      <c r="E25" s="571">
        <f t="shared" si="0"/>
        <v>362437.55999999994</v>
      </c>
      <c r="F25" s="592">
        <v>174788.95142514582</v>
      </c>
      <c r="G25" s="592">
        <v>67962.135620000001</v>
      </c>
      <c r="H25" s="573">
        <f t="shared" si="1"/>
        <v>242751.0870451458</v>
      </c>
    </row>
    <row r="26" spans="1:8">
      <c r="A26" s="586">
        <v>9</v>
      </c>
      <c r="B26" s="590" t="s">
        <v>114</v>
      </c>
      <c r="C26" s="592">
        <v>25357.379999999997</v>
      </c>
      <c r="D26" s="592">
        <v>294637.57999999996</v>
      </c>
      <c r="E26" s="571">
        <f t="shared" si="0"/>
        <v>319994.95999999996</v>
      </c>
      <c r="F26" s="592">
        <v>9718.8100000000013</v>
      </c>
      <c r="G26" s="592">
        <v>333393.25</v>
      </c>
      <c r="H26" s="573">
        <f t="shared" si="1"/>
        <v>343112.06</v>
      </c>
    </row>
    <row r="27" spans="1:8">
      <c r="A27" s="586">
        <v>10</v>
      </c>
      <c r="B27" s="590" t="s">
        <v>115</v>
      </c>
      <c r="C27" s="592"/>
      <c r="D27" s="592"/>
      <c r="E27" s="571">
        <f t="shared" si="0"/>
        <v>0</v>
      </c>
      <c r="F27" s="592"/>
      <c r="G27" s="592"/>
      <c r="H27" s="573">
        <f t="shared" si="1"/>
        <v>0</v>
      </c>
    </row>
    <row r="28" spans="1:8">
      <c r="A28" s="586">
        <v>11</v>
      </c>
      <c r="B28" s="590" t="s">
        <v>116</v>
      </c>
      <c r="C28" s="592">
        <v>0</v>
      </c>
      <c r="D28" s="592">
        <v>665707.04999999993</v>
      </c>
      <c r="E28" s="571">
        <f t="shared" si="0"/>
        <v>665707.04999999993</v>
      </c>
      <c r="F28" s="592">
        <v>20732.54</v>
      </c>
      <c r="G28" s="592">
        <v>355683.97</v>
      </c>
      <c r="H28" s="573">
        <f t="shared" si="1"/>
        <v>376416.50999999995</v>
      </c>
    </row>
    <row r="29" spans="1:8">
      <c r="A29" s="586">
        <v>12</v>
      </c>
      <c r="B29" s="590" t="s">
        <v>117</v>
      </c>
      <c r="C29" s="592"/>
      <c r="D29" s="592"/>
      <c r="E29" s="571">
        <f t="shared" si="0"/>
        <v>0</v>
      </c>
      <c r="F29" s="592"/>
      <c r="G29" s="592"/>
      <c r="H29" s="573">
        <f t="shared" si="1"/>
        <v>0</v>
      </c>
    </row>
    <row r="30" spans="1:8">
      <c r="A30" s="586">
        <v>13</v>
      </c>
      <c r="B30" s="597" t="s">
        <v>118</v>
      </c>
      <c r="C30" s="593">
        <f>SUM(C24:C29)</f>
        <v>316422.78461999999</v>
      </c>
      <c r="D30" s="593">
        <f>SUM(D24:D29)</f>
        <v>1171415.8753799999</v>
      </c>
      <c r="E30" s="571">
        <f t="shared" si="0"/>
        <v>1487838.66</v>
      </c>
      <c r="F30" s="593">
        <f>SUM(F24:F29)</f>
        <v>313206.79142514581</v>
      </c>
      <c r="G30" s="593">
        <f>SUM(G24:G29)</f>
        <v>757039.35562000005</v>
      </c>
      <c r="H30" s="573">
        <f t="shared" si="1"/>
        <v>1070246.1470451457</v>
      </c>
    </row>
    <row r="31" spans="1:8">
      <c r="A31" s="586">
        <v>14</v>
      </c>
      <c r="B31" s="597" t="s">
        <v>119</v>
      </c>
      <c r="C31" s="593">
        <f>C22-C30</f>
        <v>5515563.1940038735</v>
      </c>
      <c r="D31" s="593">
        <f>D22-D30</f>
        <v>-842785.29976249184</v>
      </c>
      <c r="E31" s="571">
        <f t="shared" si="0"/>
        <v>4672777.8942413814</v>
      </c>
      <c r="F31" s="593">
        <f>F22-F30</f>
        <v>4425367.4973384943</v>
      </c>
      <c r="G31" s="593">
        <f>G22-G30</f>
        <v>-318152.91748571396</v>
      </c>
      <c r="H31" s="573">
        <f t="shared" si="1"/>
        <v>4107214.5798527803</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7882.4199999999837</v>
      </c>
      <c r="D34" s="601">
        <f>D35-D36</f>
        <v>0</v>
      </c>
      <c r="E34" s="571">
        <f t="shared" si="0"/>
        <v>7882.4199999999837</v>
      </c>
      <c r="F34" s="601">
        <f>F35-F36</f>
        <v>50319.6700000001</v>
      </c>
      <c r="G34" s="601">
        <f>G35-G36</f>
        <v>0</v>
      </c>
      <c r="H34" s="573">
        <f t="shared" si="1"/>
        <v>50319.6700000001</v>
      </c>
    </row>
    <row r="35" spans="1:8">
      <c r="A35" s="586">
        <v>15.1</v>
      </c>
      <c r="B35" s="594" t="s">
        <v>121</v>
      </c>
      <c r="C35" s="592">
        <v>325570.26</v>
      </c>
      <c r="D35" s="592"/>
      <c r="E35" s="571">
        <f t="shared" si="0"/>
        <v>325570.26</v>
      </c>
      <c r="F35" s="592">
        <v>281806.74000000005</v>
      </c>
      <c r="G35" s="592"/>
      <c r="H35" s="573">
        <f t="shared" si="1"/>
        <v>281806.74000000005</v>
      </c>
    </row>
    <row r="36" spans="1:8">
      <c r="A36" s="586">
        <v>15.2</v>
      </c>
      <c r="B36" s="594" t="s">
        <v>122</v>
      </c>
      <c r="C36" s="592">
        <v>317687.84000000003</v>
      </c>
      <c r="D36" s="592"/>
      <c r="E36" s="571">
        <f t="shared" si="0"/>
        <v>317687.84000000003</v>
      </c>
      <c r="F36" s="592">
        <v>231487.06999999995</v>
      </c>
      <c r="G36" s="592"/>
      <c r="H36" s="573">
        <f t="shared" si="1"/>
        <v>231487.06999999995</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496604.45999999996</v>
      </c>
      <c r="D40" s="592"/>
      <c r="E40" s="571">
        <f t="shared" si="0"/>
        <v>496604.45999999996</v>
      </c>
      <c r="F40" s="592">
        <v>564974.43999999994</v>
      </c>
      <c r="G40" s="592"/>
      <c r="H40" s="573">
        <f t="shared" si="1"/>
        <v>564974.43999999994</v>
      </c>
    </row>
    <row r="41" spans="1:8">
      <c r="A41" s="586">
        <v>20</v>
      </c>
      <c r="B41" s="590" t="s">
        <v>127</v>
      </c>
      <c r="C41" s="592">
        <v>-151378.20999999988</v>
      </c>
      <c r="D41" s="592"/>
      <c r="E41" s="571">
        <f t="shared" si="0"/>
        <v>-151378.20999999988</v>
      </c>
      <c r="F41" s="592">
        <v>-383234.83000000607</v>
      </c>
      <c r="G41" s="592"/>
      <c r="H41" s="573">
        <f t="shared" si="1"/>
        <v>-383234.83000000607</v>
      </c>
    </row>
    <row r="42" spans="1:8">
      <c r="A42" s="586">
        <v>21</v>
      </c>
      <c r="B42" s="590" t="s">
        <v>128</v>
      </c>
      <c r="C42" s="592">
        <v>0</v>
      </c>
      <c r="D42" s="592"/>
      <c r="E42" s="571">
        <f t="shared" si="0"/>
        <v>0</v>
      </c>
      <c r="F42" s="592">
        <v>0</v>
      </c>
      <c r="G42" s="592"/>
      <c r="H42" s="573">
        <f t="shared" si="1"/>
        <v>0</v>
      </c>
    </row>
    <row r="43" spans="1:8">
      <c r="A43" s="586">
        <v>22</v>
      </c>
      <c r="B43" s="590" t="s">
        <v>129</v>
      </c>
      <c r="C43" s="592">
        <v>667539.20000000007</v>
      </c>
      <c r="D43" s="592"/>
      <c r="E43" s="571">
        <f t="shared" si="0"/>
        <v>667539.20000000007</v>
      </c>
      <c r="F43" s="592">
        <v>542356.66999999993</v>
      </c>
      <c r="G43" s="592"/>
      <c r="H43" s="573">
        <f t="shared" si="1"/>
        <v>542356.66999999993</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1020647.8700000001</v>
      </c>
      <c r="D45" s="593">
        <f>D34+D37+D38+D39+D40+D41+D42+D43+D44</f>
        <v>0</v>
      </c>
      <c r="E45" s="571">
        <f t="shared" si="0"/>
        <v>1020647.8700000001</v>
      </c>
      <c r="F45" s="593">
        <f>F34+F37+F38+F39+F40+F41+F42+F43+F44</f>
        <v>774415.9499999939</v>
      </c>
      <c r="G45" s="593">
        <f>G34+G37+G38+G39+G40+G41+G42+G43+G44</f>
        <v>0</v>
      </c>
      <c r="H45" s="573">
        <f t="shared" si="1"/>
        <v>774415.9499999939</v>
      </c>
    </row>
    <row r="46" spans="1:8">
      <c r="A46" s="586"/>
      <c r="B46" s="587" t="s">
        <v>132</v>
      </c>
      <c r="C46" s="592"/>
      <c r="D46" s="592"/>
      <c r="E46" s="592"/>
      <c r="F46" s="592"/>
      <c r="G46" s="592"/>
      <c r="H46" s="602"/>
    </row>
    <row r="47" spans="1:8">
      <c r="A47" s="586">
        <v>25</v>
      </c>
      <c r="B47" s="590" t="s">
        <v>133</v>
      </c>
      <c r="C47" s="592">
        <v>0</v>
      </c>
      <c r="D47" s="592">
        <v>57205.47</v>
      </c>
      <c r="E47" s="571">
        <f t="shared" si="0"/>
        <v>57205.47</v>
      </c>
      <c r="F47" s="592">
        <v>0</v>
      </c>
      <c r="G47" s="592"/>
      <c r="H47" s="573">
        <f t="shared" si="1"/>
        <v>0</v>
      </c>
    </row>
    <row r="48" spans="1:8">
      <c r="A48" s="586">
        <v>26</v>
      </c>
      <c r="B48" s="590" t="s">
        <v>134</v>
      </c>
      <c r="C48" s="592">
        <v>14676.75</v>
      </c>
      <c r="D48" s="592">
        <v>0</v>
      </c>
      <c r="E48" s="571">
        <f t="shared" si="0"/>
        <v>14676.75</v>
      </c>
      <c r="F48" s="592">
        <v>26766.45</v>
      </c>
      <c r="G48" s="592">
        <v>0</v>
      </c>
      <c r="H48" s="573">
        <f t="shared" si="1"/>
        <v>26766.45</v>
      </c>
    </row>
    <row r="49" spans="1:9">
      <c r="A49" s="586">
        <v>27</v>
      </c>
      <c r="B49" s="590" t="s">
        <v>135</v>
      </c>
      <c r="C49" s="592">
        <v>995083.62</v>
      </c>
      <c r="D49" s="592"/>
      <c r="E49" s="571">
        <f t="shared" si="0"/>
        <v>995083.62</v>
      </c>
      <c r="F49" s="592">
        <v>1092960.67</v>
      </c>
      <c r="G49" s="592"/>
      <c r="H49" s="573">
        <f t="shared" si="1"/>
        <v>1092960.67</v>
      </c>
    </row>
    <row r="50" spans="1:9">
      <c r="A50" s="586">
        <v>28</v>
      </c>
      <c r="B50" s="590" t="s">
        <v>271</v>
      </c>
      <c r="C50" s="592">
        <v>6630.5700000000006</v>
      </c>
      <c r="D50" s="592">
        <v>0</v>
      </c>
      <c r="E50" s="571">
        <f t="shared" si="0"/>
        <v>6630.5700000000006</v>
      </c>
      <c r="F50" s="592">
        <v>3691.2799999999997</v>
      </c>
      <c r="G50" s="592">
        <v>0</v>
      </c>
      <c r="H50" s="573">
        <f t="shared" si="1"/>
        <v>3691.2799999999997</v>
      </c>
    </row>
    <row r="51" spans="1:9">
      <c r="A51" s="586">
        <v>29</v>
      </c>
      <c r="B51" s="590" t="s">
        <v>136</v>
      </c>
      <c r="C51" s="592">
        <v>294786.95</v>
      </c>
      <c r="D51" s="592">
        <v>0</v>
      </c>
      <c r="E51" s="571">
        <f t="shared" si="0"/>
        <v>294786.95</v>
      </c>
      <c r="F51" s="592">
        <v>171994.84</v>
      </c>
      <c r="G51" s="592">
        <v>0</v>
      </c>
      <c r="H51" s="573">
        <f t="shared" si="1"/>
        <v>171994.84</v>
      </c>
    </row>
    <row r="52" spans="1:9">
      <c r="A52" s="586">
        <v>30</v>
      </c>
      <c r="B52" s="590" t="s">
        <v>137</v>
      </c>
      <c r="C52" s="592">
        <v>504731.52</v>
      </c>
      <c r="D52" s="592"/>
      <c r="E52" s="571">
        <f t="shared" si="0"/>
        <v>504731.52</v>
      </c>
      <c r="F52" s="592">
        <v>511073.38</v>
      </c>
      <c r="G52" s="592"/>
      <c r="H52" s="573">
        <f t="shared" si="1"/>
        <v>511073.38</v>
      </c>
    </row>
    <row r="53" spans="1:9">
      <c r="A53" s="586">
        <v>31</v>
      </c>
      <c r="B53" s="597" t="s">
        <v>138</v>
      </c>
      <c r="C53" s="593">
        <f>C47+C48+C49+C50+C51+C52</f>
        <v>1815909.41</v>
      </c>
      <c r="D53" s="593">
        <f>D47+D48+D49+D50+D51+D52</f>
        <v>57205.47</v>
      </c>
      <c r="E53" s="571">
        <f t="shared" si="0"/>
        <v>1873114.88</v>
      </c>
      <c r="F53" s="593">
        <f>F47+F48+F49+F50+F51+F52</f>
        <v>1806486.62</v>
      </c>
      <c r="G53" s="593">
        <f>G47+G48+G49+G50+G51+G52</f>
        <v>0</v>
      </c>
      <c r="H53" s="573">
        <f t="shared" si="1"/>
        <v>1806486.62</v>
      </c>
    </row>
    <row r="54" spans="1:9">
      <c r="A54" s="586">
        <v>32</v>
      </c>
      <c r="B54" s="597" t="s">
        <v>139</v>
      </c>
      <c r="C54" s="593">
        <f>C45-C53</f>
        <v>-795261.5399999998</v>
      </c>
      <c r="D54" s="593">
        <f>D45-D53</f>
        <v>-57205.47</v>
      </c>
      <c r="E54" s="571">
        <f t="shared" si="0"/>
        <v>-852467.00999999978</v>
      </c>
      <c r="F54" s="593">
        <f>F45-F53</f>
        <v>-1032070.6700000062</v>
      </c>
      <c r="G54" s="593">
        <f>G45-G53</f>
        <v>0</v>
      </c>
      <c r="H54" s="573">
        <f t="shared" si="1"/>
        <v>-1032070.6700000062</v>
      </c>
    </row>
    <row r="55" spans="1:9">
      <c r="A55" s="586"/>
      <c r="B55" s="587"/>
      <c r="C55" s="598"/>
      <c r="D55" s="598"/>
      <c r="E55" s="598"/>
      <c r="F55" s="598"/>
      <c r="G55" s="598"/>
      <c r="H55" s="599"/>
    </row>
    <row r="56" spans="1:9">
      <c r="A56" s="586">
        <v>33</v>
      </c>
      <c r="B56" s="597" t="s">
        <v>140</v>
      </c>
      <c r="C56" s="593">
        <f>C31+C54</f>
        <v>4720301.6540038735</v>
      </c>
      <c r="D56" s="593">
        <f>D31+D54</f>
        <v>-899990.76976249181</v>
      </c>
      <c r="E56" s="571">
        <f t="shared" si="0"/>
        <v>3820310.8842413817</v>
      </c>
      <c r="F56" s="593">
        <f>F31+F54</f>
        <v>3393296.8273384878</v>
      </c>
      <c r="G56" s="593">
        <f>G31+G54</f>
        <v>-318152.91748571396</v>
      </c>
      <c r="H56" s="573">
        <f t="shared" si="1"/>
        <v>3075143.9098527739</v>
      </c>
    </row>
    <row r="57" spans="1:9">
      <c r="A57" s="586"/>
      <c r="B57" s="587"/>
      <c r="C57" s="598"/>
      <c r="D57" s="598"/>
      <c r="E57" s="598"/>
      <c r="F57" s="598"/>
      <c r="G57" s="598"/>
      <c r="H57" s="599"/>
    </row>
    <row r="58" spans="1:9">
      <c r="A58" s="586">
        <v>34</v>
      </c>
      <c r="B58" s="590" t="s">
        <v>141</v>
      </c>
      <c r="C58" s="592">
        <v>-1650324.83753863</v>
      </c>
      <c r="D58" s="592"/>
      <c r="E58" s="571">
        <f t="shared" si="0"/>
        <v>-1650324.83753863</v>
      </c>
      <c r="F58" s="592">
        <v>21888.94450293302</v>
      </c>
      <c r="G58" s="592"/>
      <c r="H58" s="573">
        <f t="shared" si="1"/>
        <v>21888.94450293302</v>
      </c>
    </row>
    <row r="59" spans="1:9" s="185" customFormat="1">
      <c r="A59" s="586">
        <v>35</v>
      </c>
      <c r="B59" s="600" t="s">
        <v>142</v>
      </c>
      <c r="C59" s="592">
        <v>265864.40887084824</v>
      </c>
      <c r="D59" s="592"/>
      <c r="E59" s="603">
        <f t="shared" si="0"/>
        <v>265864.40887084824</v>
      </c>
      <c r="F59" s="604">
        <v>6022.2036891067983</v>
      </c>
      <c r="G59" s="604"/>
      <c r="H59" s="605">
        <f t="shared" si="1"/>
        <v>6022.2036891067983</v>
      </c>
      <c r="I59" s="184"/>
    </row>
    <row r="60" spans="1:9">
      <c r="A60" s="586">
        <v>36</v>
      </c>
      <c r="B60" s="590" t="s">
        <v>143</v>
      </c>
      <c r="C60" s="592">
        <v>28926.975333439768</v>
      </c>
      <c r="D60" s="592"/>
      <c r="E60" s="571">
        <f t="shared" si="0"/>
        <v>28926.975333439768</v>
      </c>
      <c r="F60" s="592">
        <v>155075.34734000001</v>
      </c>
      <c r="G60" s="592"/>
      <c r="H60" s="573">
        <f t="shared" si="1"/>
        <v>155075.34734000001</v>
      </c>
    </row>
    <row r="61" spans="1:9">
      <c r="A61" s="586">
        <v>37</v>
      </c>
      <c r="B61" s="597" t="s">
        <v>144</v>
      </c>
      <c r="C61" s="593">
        <f>C58+C59+C60</f>
        <v>-1355533.4533343422</v>
      </c>
      <c r="D61" s="593">
        <f>D58+D59+D60</f>
        <v>0</v>
      </c>
      <c r="E61" s="571">
        <f t="shared" si="0"/>
        <v>-1355533.4533343422</v>
      </c>
      <c r="F61" s="593">
        <f>F58+F59+F60</f>
        <v>182986.49553203981</v>
      </c>
      <c r="G61" s="593">
        <f>G58+G59+G60</f>
        <v>0</v>
      </c>
      <c r="H61" s="573">
        <f t="shared" si="1"/>
        <v>182986.49553203981</v>
      </c>
    </row>
    <row r="62" spans="1:9">
      <c r="A62" s="586"/>
      <c r="B62" s="606"/>
      <c r="C62" s="592"/>
      <c r="D62" s="592"/>
      <c r="E62" s="592"/>
      <c r="F62" s="592"/>
      <c r="G62" s="592"/>
      <c r="H62" s="602"/>
    </row>
    <row r="63" spans="1:9">
      <c r="A63" s="586">
        <v>38</v>
      </c>
      <c r="B63" s="607" t="s">
        <v>272</v>
      </c>
      <c r="C63" s="593">
        <f>C56-C61</f>
        <v>6075835.1073382162</v>
      </c>
      <c r="D63" s="593">
        <f>D56-D61</f>
        <v>-899990.76976249181</v>
      </c>
      <c r="E63" s="571">
        <f t="shared" si="0"/>
        <v>5175844.3375757243</v>
      </c>
      <c r="F63" s="593">
        <f>F56-F61</f>
        <v>3210310.3318064478</v>
      </c>
      <c r="G63" s="593">
        <f>G56-G61</f>
        <v>-318152.91748571396</v>
      </c>
      <c r="H63" s="573">
        <f t="shared" si="1"/>
        <v>2892157.4143207339</v>
      </c>
    </row>
    <row r="64" spans="1:9">
      <c r="A64" s="582">
        <v>39</v>
      </c>
      <c r="B64" s="590" t="s">
        <v>145</v>
      </c>
      <c r="C64" s="608">
        <v>766624.46</v>
      </c>
      <c r="D64" s="608"/>
      <c r="E64" s="571">
        <f t="shared" si="0"/>
        <v>766624.46</v>
      </c>
      <c r="F64" s="608">
        <v>426630.54</v>
      </c>
      <c r="G64" s="608"/>
      <c r="H64" s="573">
        <f t="shared" si="1"/>
        <v>426630.54</v>
      </c>
    </row>
    <row r="65" spans="1:8">
      <c r="A65" s="586">
        <v>40</v>
      </c>
      <c r="B65" s="597" t="s">
        <v>146</v>
      </c>
      <c r="C65" s="593">
        <f>C63-C64</f>
        <v>5309210.6473382162</v>
      </c>
      <c r="D65" s="593">
        <f>D63-D64</f>
        <v>-899990.76976249181</v>
      </c>
      <c r="E65" s="571">
        <f t="shared" si="0"/>
        <v>4409219.8775757244</v>
      </c>
      <c r="F65" s="593">
        <f>F63-F64</f>
        <v>2783679.7918064478</v>
      </c>
      <c r="G65" s="593">
        <f>G63-G64</f>
        <v>-318152.91748571396</v>
      </c>
      <c r="H65" s="573">
        <f t="shared" si="1"/>
        <v>2465526.8743207338</v>
      </c>
    </row>
    <row r="66" spans="1:8">
      <c r="A66" s="582">
        <v>41</v>
      </c>
      <c r="B66" s="590" t="s">
        <v>147</v>
      </c>
      <c r="C66" s="608"/>
      <c r="D66" s="608"/>
      <c r="E66" s="571">
        <f t="shared" si="0"/>
        <v>0</v>
      </c>
      <c r="F66" s="608"/>
      <c r="G66" s="608"/>
      <c r="H66" s="573">
        <f t="shared" si="1"/>
        <v>0</v>
      </c>
    </row>
    <row r="67" spans="1:8" ht="15.75" thickBot="1">
      <c r="A67" s="108">
        <v>42</v>
      </c>
      <c r="B67" s="109" t="s">
        <v>148</v>
      </c>
      <c r="C67" s="609">
        <f>C65+C66</f>
        <v>5309210.6473382162</v>
      </c>
      <c r="D67" s="609">
        <f>D65+D66</f>
        <v>-899990.76976249181</v>
      </c>
      <c r="E67" s="610">
        <f t="shared" si="0"/>
        <v>4409219.8775757244</v>
      </c>
      <c r="F67" s="609">
        <f>F65+F66</f>
        <v>2783679.7918064478</v>
      </c>
      <c r="G67" s="609">
        <f>G65+G66</f>
        <v>-318152.91748571396</v>
      </c>
      <c r="H67" s="611">
        <f t="shared" si="1"/>
        <v>2465526.8743207338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954</v>
      </c>
    </row>
    <row r="2" spans="1:8" ht="15.75">
      <c r="A2" s="527" t="s">
        <v>189</v>
      </c>
      <c r="B2" s="529">
        <f>'1. key ratios'!B2</f>
        <v>44651</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25470188.66</v>
      </c>
      <c r="D7" s="601">
        <f>SUM(D8:D11)</f>
        <v>84442067.730000004</v>
      </c>
      <c r="E7" s="601">
        <f>C7+D7</f>
        <v>109912256.39</v>
      </c>
      <c r="F7" s="601">
        <f>SUM(F8:F11)</f>
        <v>26994893.149999999</v>
      </c>
      <c r="G7" s="601">
        <f>SUM(G8:G11)</f>
        <v>43739814.810000002</v>
      </c>
      <c r="H7" s="573">
        <f t="shared" ref="H7:H53" si="0">F7+G7</f>
        <v>70734707.960000008</v>
      </c>
    </row>
    <row r="8" spans="1:8" s="3" customFormat="1">
      <c r="A8" s="269">
        <v>1.1000000000000001</v>
      </c>
      <c r="B8" s="613" t="s">
        <v>276</v>
      </c>
      <c r="C8" s="614">
        <v>25431510.75</v>
      </c>
      <c r="D8" s="614">
        <v>84442067.730000004</v>
      </c>
      <c r="E8" s="601">
        <f t="shared" ref="E8:E53" si="1">C8+D8</f>
        <v>109873578.48</v>
      </c>
      <c r="F8" s="614">
        <v>26948275.719999999</v>
      </c>
      <c r="G8" s="614">
        <v>43722755.810000002</v>
      </c>
      <c r="H8" s="573">
        <f t="shared" si="0"/>
        <v>70671031.530000001</v>
      </c>
    </row>
    <row r="9" spans="1:8" s="3" customFormat="1">
      <c r="A9" s="269">
        <v>1.2</v>
      </c>
      <c r="B9" s="613" t="s">
        <v>277</v>
      </c>
      <c r="C9" s="614"/>
      <c r="D9" s="614"/>
      <c r="E9" s="601">
        <f t="shared" si="1"/>
        <v>0</v>
      </c>
      <c r="F9" s="614"/>
      <c r="G9" s="614"/>
      <c r="H9" s="573">
        <f t="shared" si="0"/>
        <v>0</v>
      </c>
    </row>
    <row r="10" spans="1:8" s="3" customFormat="1">
      <c r="A10" s="269">
        <v>1.3</v>
      </c>
      <c r="B10" s="613" t="s">
        <v>278</v>
      </c>
      <c r="C10" s="614">
        <v>38677.909999999996</v>
      </c>
      <c r="D10" s="614"/>
      <c r="E10" s="601">
        <f t="shared" si="1"/>
        <v>38677.909999999996</v>
      </c>
      <c r="F10" s="614">
        <v>46617.429999999993</v>
      </c>
      <c r="G10" s="614">
        <v>17059</v>
      </c>
      <c r="H10" s="573">
        <f t="shared" si="0"/>
        <v>63676.429999999993</v>
      </c>
    </row>
    <row r="11" spans="1:8" s="3" customFormat="1">
      <c r="A11" s="269">
        <v>1.4</v>
      </c>
      <c r="B11" s="613" t="s">
        <v>279</v>
      </c>
      <c r="C11" s="614"/>
      <c r="D11" s="614"/>
      <c r="E11" s="601">
        <f t="shared" si="1"/>
        <v>0</v>
      </c>
      <c r="F11" s="614"/>
      <c r="G11" s="614"/>
      <c r="H11" s="573">
        <f t="shared" si="0"/>
        <v>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0</v>
      </c>
      <c r="D13" s="601">
        <f>SUM(D14:D15)</f>
        <v>0</v>
      </c>
      <c r="E13" s="601">
        <f t="shared" si="1"/>
        <v>0</v>
      </c>
      <c r="F13" s="601">
        <f>SUM(F14:F15)</f>
        <v>2636000</v>
      </c>
      <c r="G13" s="601">
        <f>SUM(G14:G15)</f>
        <v>0</v>
      </c>
      <c r="H13" s="573">
        <f t="shared" si="0"/>
        <v>2636000</v>
      </c>
    </row>
    <row r="14" spans="1:8" s="3" customFormat="1">
      <c r="A14" s="269">
        <v>3.1</v>
      </c>
      <c r="B14" s="613" t="s">
        <v>282</v>
      </c>
      <c r="C14" s="614">
        <v>0</v>
      </c>
      <c r="D14" s="614"/>
      <c r="E14" s="601">
        <f t="shared" si="1"/>
        <v>0</v>
      </c>
      <c r="F14" s="614">
        <v>2636000</v>
      </c>
      <c r="G14" s="614"/>
      <c r="H14" s="573">
        <f t="shared" si="0"/>
        <v>2636000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62285024.449999996</v>
      </c>
      <c r="D16" s="601">
        <f>SUM(D17:D18)</f>
        <v>140587337.40523002</v>
      </c>
      <c r="E16" s="601">
        <f t="shared" si="1"/>
        <v>202872361.85523</v>
      </c>
      <c r="F16" s="601">
        <f>SUM(F17:F18)</f>
        <v>64160154.99000001</v>
      </c>
      <c r="G16" s="601">
        <f>SUM(G17:G18)</f>
        <v>76677496.975483999</v>
      </c>
      <c r="H16" s="573">
        <f t="shared" si="0"/>
        <v>140837651.96548402</v>
      </c>
    </row>
    <row r="17" spans="1:8" s="3" customFormat="1">
      <c r="A17" s="269">
        <v>4.0999999999999996</v>
      </c>
      <c r="B17" s="613" t="s">
        <v>285</v>
      </c>
      <c r="C17" s="614">
        <v>37391362.449999996</v>
      </c>
      <c r="D17" s="614">
        <v>90585614.160000011</v>
      </c>
      <c r="E17" s="601">
        <f t="shared" si="1"/>
        <v>127976976.61000001</v>
      </c>
      <c r="F17" s="614">
        <v>41015564.180000007</v>
      </c>
      <c r="G17" s="614">
        <v>62179300.109999999</v>
      </c>
      <c r="H17" s="573">
        <f t="shared" si="0"/>
        <v>103194864.29000001</v>
      </c>
    </row>
    <row r="18" spans="1:8" s="3" customFormat="1">
      <c r="A18" s="269">
        <v>4.2</v>
      </c>
      <c r="B18" s="613" t="s">
        <v>286</v>
      </c>
      <c r="C18" s="614">
        <v>24893662</v>
      </c>
      <c r="D18" s="614">
        <v>50001723.245230004</v>
      </c>
      <c r="E18" s="601">
        <f t="shared" si="1"/>
        <v>74895385.245230004</v>
      </c>
      <c r="F18" s="614">
        <v>23144590.809999999</v>
      </c>
      <c r="G18" s="614">
        <v>14498196.865484001</v>
      </c>
      <c r="H18" s="573">
        <f t="shared" si="0"/>
        <v>37642787.675484002</v>
      </c>
    </row>
    <row r="19" spans="1:8" s="3" customFormat="1" ht="25.5">
      <c r="A19" s="269">
        <v>5</v>
      </c>
      <c r="B19" s="612" t="s">
        <v>287</v>
      </c>
      <c r="C19" s="601">
        <f>C20+C21+C22+SUM(C28:C31)</f>
        <v>3334097.52</v>
      </c>
      <c r="D19" s="601">
        <f>D20+D21+D22+SUM(D28:D31)</f>
        <v>352938282.79289055</v>
      </c>
      <c r="E19" s="601">
        <f t="shared" si="1"/>
        <v>356272380.31289053</v>
      </c>
      <c r="F19" s="601">
        <f>F20+F21+F22+SUM(F28:F31)</f>
        <v>128726</v>
      </c>
      <c r="G19" s="601">
        <f>G20+G21+G22+SUM(G28:G31)</f>
        <v>295675010.18874228</v>
      </c>
      <c r="H19" s="573">
        <f t="shared" si="0"/>
        <v>295803736.18874228</v>
      </c>
    </row>
    <row r="20" spans="1:8" s="3" customFormat="1">
      <c r="A20" s="269">
        <v>5.0999999999999996</v>
      </c>
      <c r="B20" s="613" t="s">
        <v>288</v>
      </c>
      <c r="C20" s="614">
        <v>3334097.52</v>
      </c>
      <c r="D20" s="614">
        <v>4823749.0255530002</v>
      </c>
      <c r="E20" s="601">
        <f t="shared" si="1"/>
        <v>8157846.5455530006</v>
      </c>
      <c r="F20" s="614">
        <v>128726</v>
      </c>
      <c r="G20" s="614">
        <v>1515888.8691580002</v>
      </c>
      <c r="H20" s="573">
        <f t="shared" si="0"/>
        <v>1644614.8691580002</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293918073.2143296</v>
      </c>
      <c r="E22" s="601">
        <f t="shared" si="1"/>
        <v>293918073.2143296</v>
      </c>
      <c r="F22" s="615">
        <f>SUM(F23:F27)</f>
        <v>0</v>
      </c>
      <c r="G22" s="615">
        <f>SUM(G23:G27)</f>
        <v>230300700.87609798</v>
      </c>
      <c r="H22" s="573">
        <f t="shared" si="0"/>
        <v>230300700.87609798</v>
      </c>
    </row>
    <row r="23" spans="1:8" s="3" customFormat="1">
      <c r="A23" s="269" t="s">
        <v>291</v>
      </c>
      <c r="B23" s="616" t="s">
        <v>292</v>
      </c>
      <c r="C23" s="614"/>
      <c r="D23" s="614">
        <v>42900143.794960462</v>
      </c>
      <c r="E23" s="601">
        <f t="shared" si="1"/>
        <v>42900143.794960462</v>
      </c>
      <c r="F23" s="614"/>
      <c r="G23" s="614">
        <v>33614582.035110779</v>
      </c>
      <c r="H23" s="573">
        <f t="shared" si="0"/>
        <v>33614582.035110779</v>
      </c>
    </row>
    <row r="24" spans="1:8" s="3" customFormat="1">
      <c r="A24" s="269" t="s">
        <v>293</v>
      </c>
      <c r="B24" s="616" t="s">
        <v>294</v>
      </c>
      <c r="C24" s="614"/>
      <c r="D24" s="614">
        <v>212115844.50196335</v>
      </c>
      <c r="E24" s="601">
        <f t="shared" si="1"/>
        <v>212115844.50196335</v>
      </c>
      <c r="F24" s="614"/>
      <c r="G24" s="614">
        <v>166204232.08920905</v>
      </c>
      <c r="H24" s="573">
        <f t="shared" si="0"/>
        <v>166204232.08920905</v>
      </c>
    </row>
    <row r="25" spans="1:8" s="3" customFormat="1">
      <c r="A25" s="269" t="s">
        <v>295</v>
      </c>
      <c r="B25" s="617" t="s">
        <v>296</v>
      </c>
      <c r="C25" s="614"/>
      <c r="D25" s="614">
        <v>211698.69482784308</v>
      </c>
      <c r="E25" s="601">
        <f t="shared" si="1"/>
        <v>211698.69482784308</v>
      </c>
      <c r="F25" s="614"/>
      <c r="G25" s="614">
        <v>165877.37276657703</v>
      </c>
      <c r="H25" s="573">
        <f t="shared" si="0"/>
        <v>165877.37276657703</v>
      </c>
    </row>
    <row r="26" spans="1:8" s="3" customFormat="1">
      <c r="A26" s="269" t="s">
        <v>297</v>
      </c>
      <c r="B26" s="616" t="s">
        <v>298</v>
      </c>
      <c r="C26" s="614"/>
      <c r="D26" s="614">
        <v>38690386.222577929</v>
      </c>
      <c r="E26" s="601">
        <f t="shared" si="1"/>
        <v>38690386.222577929</v>
      </c>
      <c r="F26" s="614"/>
      <c r="G26" s="614">
        <v>30316009.379011557</v>
      </c>
      <c r="H26" s="573">
        <f t="shared" si="0"/>
        <v>30316009.379011557</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40377172.834375076</v>
      </c>
      <c r="E28" s="601">
        <f t="shared" si="1"/>
        <v>40377172.834375076</v>
      </c>
      <c r="F28" s="614"/>
      <c r="G28" s="614">
        <v>8694210.611893747</v>
      </c>
      <c r="H28" s="573">
        <f t="shared" si="0"/>
        <v>8694210.611893747</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13819287.718632879</v>
      </c>
      <c r="E31" s="601">
        <f t="shared" si="1"/>
        <v>13819287.718632879</v>
      </c>
      <c r="F31" s="614"/>
      <c r="G31" s="614">
        <v>55164209.831592523</v>
      </c>
      <c r="H31" s="573">
        <f t="shared" si="0"/>
        <v>55164209.831592523</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100497.18000000001</v>
      </c>
      <c r="D40" s="601">
        <f>SUM(D41:D44)</f>
        <v>10366.449999999999</v>
      </c>
      <c r="E40" s="601">
        <f t="shared" si="1"/>
        <v>110863.63</v>
      </c>
      <c r="F40" s="601">
        <f>SUM(F41:F44)</f>
        <v>99742.899999999936</v>
      </c>
      <c r="G40" s="601">
        <f>SUM(G41:G44)</f>
        <v>9080.9599999999991</v>
      </c>
      <c r="H40" s="573">
        <f t="shared" si="0"/>
        <v>108823.85999999993</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100497.18000000001</v>
      </c>
      <c r="D44" s="614">
        <v>10366.449999999999</v>
      </c>
      <c r="E44" s="601">
        <f t="shared" si="1"/>
        <v>110863.63</v>
      </c>
      <c r="F44" s="614">
        <v>99742.899999999936</v>
      </c>
      <c r="G44" s="614">
        <v>9080.9599999999991</v>
      </c>
      <c r="H44" s="573">
        <f t="shared" si="0"/>
        <v>108823.85999999993</v>
      </c>
    </row>
    <row r="45" spans="1:8" s="3" customFormat="1">
      <c r="A45" s="269">
        <v>8</v>
      </c>
      <c r="B45" s="612" t="s">
        <v>317</v>
      </c>
      <c r="C45" s="601">
        <f>SUM(C46:C52)</f>
        <v>3400</v>
      </c>
      <c r="D45" s="601">
        <f>SUM(D46:D52)</f>
        <v>73480.959999999992</v>
      </c>
      <c r="E45" s="601">
        <f t="shared" si="1"/>
        <v>76880.959999999992</v>
      </c>
      <c r="F45" s="601">
        <f>SUM(F46:F52)</f>
        <v>585074.4</v>
      </c>
      <c r="G45" s="601">
        <f>SUM(G46:G52)</f>
        <v>293306.7</v>
      </c>
      <c r="H45" s="573">
        <f t="shared" si="0"/>
        <v>878381.10000000009</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v>3400</v>
      </c>
      <c r="D47" s="614">
        <v>73480.959999999992</v>
      </c>
      <c r="E47" s="601">
        <f t="shared" si="1"/>
        <v>76880.959999999992</v>
      </c>
      <c r="F47" s="614">
        <v>585074.4</v>
      </c>
      <c r="G47" s="614">
        <v>234645.36000000002</v>
      </c>
      <c r="H47" s="573">
        <f t="shared" si="0"/>
        <v>819719.76</v>
      </c>
    </row>
    <row r="48" spans="1:8" s="3" customFormat="1">
      <c r="A48" s="269">
        <v>8.3000000000000007</v>
      </c>
      <c r="B48" s="613" t="s">
        <v>320</v>
      </c>
      <c r="C48" s="614"/>
      <c r="D48" s="614"/>
      <c r="E48" s="601">
        <f t="shared" si="1"/>
        <v>0</v>
      </c>
      <c r="F48" s="614"/>
      <c r="G48" s="614">
        <v>58661.340000000004</v>
      </c>
      <c r="H48" s="573">
        <f t="shared" si="0"/>
        <v>58661.340000000004</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954</v>
      </c>
      <c r="C1" s="17"/>
      <c r="D1" s="262"/>
    </row>
    <row r="2" spans="1:8" ht="15">
      <c r="A2" s="527" t="s">
        <v>189</v>
      </c>
      <c r="B2" s="529">
        <f>'1. key ratios'!B2</f>
        <v>44651</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1Q-2022</v>
      </c>
      <c r="D5" s="530" t="str">
        <f>IF(INT(MONTH($B$2))=3, "4"&amp;"Q"&amp;"-"&amp;YEAR($B$2)-1, IF(INT(MONTH($B$2))=6, "1"&amp;"Q"&amp;"-"&amp;YEAR($B$2), IF(INT(MONTH($B$2))=9, "2"&amp;"Q"&amp;"-"&amp;YEAR($B$2),IF(INT(MONTH($B$2))=12, "3"&amp;"Q"&amp;"-"&amp;YEAR($B$2), 0))))</f>
        <v>4Q-2021</v>
      </c>
      <c r="E5" s="530" t="str">
        <f>IF(INT(MONTH($B$2))=3, "3"&amp;"Q"&amp;"-"&amp;YEAR($B$2)-1, IF(INT(MONTH($B$2))=6, "4"&amp;"Q"&amp;"-"&amp;YEAR($B$2)-1, IF(INT(MONTH($B$2))=9, "1"&amp;"Q"&amp;"-"&amp;YEAR($B$2),IF(INT(MONTH($B$2))=12, "2"&amp;"Q"&amp;"-"&amp;YEAR($B$2), 0))))</f>
        <v>3Q-2021</v>
      </c>
      <c r="F5" s="530" t="str">
        <f>IF(INT(MONTH($B$2))=3, "2"&amp;"Q"&amp;"-"&amp;YEAR($B$2)-1, IF(INT(MONTH($B$2))=6, "3"&amp;"Q"&amp;"-"&amp;YEAR($B$2)-1, IF(INT(MONTH($B$2))=9, "4"&amp;"Q"&amp;"-"&amp;YEAR($B$2)-1,IF(INT(MONTH($B$2))=12, "1"&amp;"Q"&amp;"-"&amp;YEAR($B$2), 0))))</f>
        <v>2Q-2021</v>
      </c>
      <c r="G5" s="530" t="str">
        <f>IF(INT(MONTH($B$2))=3, "1"&amp;"Q"&amp;"-"&amp;YEAR($B$2)-1, IF(INT(MONTH($B$2))=6, "2"&amp;"Q"&amp;"-"&amp;YEAR($B$2)-1, IF(INT(MONTH($B$2))=9, "3"&amp;"Q"&amp;"-"&amp;YEAR($B$2)-1,IF(INT(MONTH($B$2))=12, "4"&amp;"Q"&amp;"-"&amp;YEAR($B$2)-1, 0))))</f>
        <v>1Q-2021</v>
      </c>
    </row>
    <row r="6" spans="1:8" ht="15" customHeight="1">
      <c r="A6" s="300">
        <v>1</v>
      </c>
      <c r="B6" s="354" t="s">
        <v>192</v>
      </c>
      <c r="C6" s="620">
        <f>C7+C9+C10</f>
        <v>404992363.25280714</v>
      </c>
      <c r="D6" s="620">
        <f>D7+D9+D10</f>
        <v>394562713.2258141</v>
      </c>
      <c r="E6" s="620">
        <f t="shared" ref="E6:G6" si="0">E7+E9+E10</f>
        <v>397919983.40389544</v>
      </c>
      <c r="F6" s="620">
        <f t="shared" si="0"/>
        <v>367280315.32480073</v>
      </c>
      <c r="G6" s="621">
        <f t="shared" si="0"/>
        <v>356753760.03299773</v>
      </c>
    </row>
    <row r="7" spans="1:8" ht="15" customHeight="1">
      <c r="A7" s="300">
        <v>1.1000000000000001</v>
      </c>
      <c r="B7" s="301" t="s">
        <v>605</v>
      </c>
      <c r="C7" s="622">
        <v>347402236.71780717</v>
      </c>
      <c r="D7" s="622">
        <v>338861305.43431413</v>
      </c>
      <c r="E7" s="622">
        <v>340438684.19689542</v>
      </c>
      <c r="F7" s="622">
        <v>308857744.80980074</v>
      </c>
      <c r="G7" s="623">
        <v>312081819.75799775</v>
      </c>
    </row>
    <row r="8" spans="1:8" ht="25.5">
      <c r="A8" s="300" t="s">
        <v>252</v>
      </c>
      <c r="B8" s="302" t="s">
        <v>403</v>
      </c>
      <c r="C8" s="622"/>
      <c r="D8" s="622"/>
      <c r="E8" s="622"/>
      <c r="F8" s="622"/>
      <c r="G8" s="623"/>
    </row>
    <row r="9" spans="1:8" ht="15" customHeight="1">
      <c r="A9" s="300">
        <v>1.2</v>
      </c>
      <c r="B9" s="301" t="s">
        <v>22</v>
      </c>
      <c r="C9" s="622">
        <v>57590126.534999996</v>
      </c>
      <c r="D9" s="622">
        <v>55701407.791499987</v>
      </c>
      <c r="E9" s="622">
        <v>57481299.20700001</v>
      </c>
      <c r="F9" s="622">
        <v>58422570.515000001</v>
      </c>
      <c r="G9" s="623">
        <v>44671940.274999999</v>
      </c>
    </row>
    <row r="10" spans="1:8" ht="15" customHeight="1">
      <c r="A10" s="300">
        <v>1.3</v>
      </c>
      <c r="B10" s="355" t="s">
        <v>77</v>
      </c>
      <c r="C10" s="622">
        <v>0</v>
      </c>
      <c r="D10" s="622">
        <v>0</v>
      </c>
      <c r="E10" s="622">
        <v>0</v>
      </c>
      <c r="F10" s="622">
        <v>0</v>
      </c>
      <c r="G10" s="623">
        <v>0</v>
      </c>
    </row>
    <row r="11" spans="1:8" ht="15" customHeight="1">
      <c r="A11" s="300">
        <v>2</v>
      </c>
      <c r="B11" s="354" t="s">
        <v>193</v>
      </c>
      <c r="C11" s="624">
        <v>3352602.258583161</v>
      </c>
      <c r="D11" s="624">
        <v>1579818.9339074499</v>
      </c>
      <c r="E11" s="624">
        <v>3375041.0049316972</v>
      </c>
      <c r="F11" s="624">
        <v>784603.3461370474</v>
      </c>
      <c r="G11" s="625">
        <v>3836489.7190561523</v>
      </c>
    </row>
    <row r="12" spans="1:8" ht="15" customHeight="1">
      <c r="A12" s="313">
        <v>3</v>
      </c>
      <c r="B12" s="356" t="s">
        <v>191</v>
      </c>
      <c r="C12" s="622">
        <v>33654529.196040712</v>
      </c>
      <c r="D12" s="622">
        <v>33654529.196040712</v>
      </c>
      <c r="E12" s="622">
        <v>26883909.351648834</v>
      </c>
      <c r="F12" s="622">
        <v>26883909.351648834</v>
      </c>
      <c r="G12" s="623">
        <v>26883909.351648834</v>
      </c>
    </row>
    <row r="13" spans="1:8" ht="15" customHeight="1" thickBot="1">
      <c r="A13" s="111">
        <v>4</v>
      </c>
      <c r="B13" s="357" t="s">
        <v>253</v>
      </c>
      <c r="C13" s="626">
        <f>C6+C11+C12</f>
        <v>441999494.70743102</v>
      </c>
      <c r="D13" s="626">
        <f>D6+D11+D12</f>
        <v>429797061.35576224</v>
      </c>
      <c r="E13" s="626">
        <f t="shared" ref="E13:G13" si="1">E6+E11+E12</f>
        <v>428178933.76047593</v>
      </c>
      <c r="F13" s="626">
        <f t="shared" si="1"/>
        <v>394948828.02258658</v>
      </c>
      <c r="G13" s="627">
        <f t="shared" si="1"/>
        <v>387474159.10370266</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954</v>
      </c>
    </row>
    <row r="2" spans="1:8" ht="15.75">
      <c r="A2" s="527" t="s">
        <v>189</v>
      </c>
      <c r="B2" s="529">
        <f>'1. key ratios'!B2</f>
        <v>44651</v>
      </c>
    </row>
    <row r="4" spans="1:8" ht="30.75" thickBot="1">
      <c r="A4" s="207" t="s">
        <v>410</v>
      </c>
      <c r="B4" s="44" t="s">
        <v>149</v>
      </c>
      <c r="C4" s="14"/>
    </row>
    <row r="5" spans="1:8" ht="15.75">
      <c r="A5" s="11"/>
      <c r="B5" s="349" t="s">
        <v>150</v>
      </c>
      <c r="C5" s="361" t="s">
        <v>619</v>
      </c>
    </row>
    <row r="6" spans="1:8">
      <c r="A6" s="15">
        <v>1</v>
      </c>
      <c r="B6" s="45" t="s">
        <v>955</v>
      </c>
      <c r="C6" s="358" t="s">
        <v>965</v>
      </c>
    </row>
    <row r="7" spans="1:8">
      <c r="A7" s="15">
        <v>2</v>
      </c>
      <c r="B7" s="45" t="s">
        <v>1031</v>
      </c>
      <c r="C7" s="358" t="s">
        <v>966</v>
      </c>
    </row>
    <row r="8" spans="1:8">
      <c r="A8" s="15">
        <v>3</v>
      </c>
      <c r="B8" s="45" t="s">
        <v>958</v>
      </c>
      <c r="C8" s="358" t="s">
        <v>967</v>
      </c>
    </row>
    <row r="9" spans="1:8">
      <c r="A9" s="15">
        <v>4</v>
      </c>
      <c r="B9" s="45" t="s">
        <v>959</v>
      </c>
      <c r="C9" s="358" t="s">
        <v>967</v>
      </c>
    </row>
    <row r="10" spans="1:8">
      <c r="A10" s="15">
        <v>5</v>
      </c>
      <c r="B10" s="45" t="s">
        <v>960</v>
      </c>
      <c r="C10" s="358" t="s">
        <v>966</v>
      </c>
    </row>
    <row r="11" spans="1:8">
      <c r="A11" s="15">
        <v>6</v>
      </c>
      <c r="B11" s="45" t="s">
        <v>961</v>
      </c>
      <c r="C11" s="358" t="s">
        <v>966</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620</v>
      </c>
    </row>
    <row r="18" spans="1:3" ht="15.75">
      <c r="A18" s="15">
        <v>1</v>
      </c>
      <c r="B18" s="28" t="s">
        <v>962</v>
      </c>
      <c r="C18" s="359" t="s">
        <v>968</v>
      </c>
    </row>
    <row r="19" spans="1:3" ht="15.75">
      <c r="A19" s="15">
        <v>2</v>
      </c>
      <c r="B19" s="28" t="s">
        <v>963</v>
      </c>
      <c r="C19" s="359" t="s">
        <v>969</v>
      </c>
    </row>
    <row r="20" spans="1:3" ht="15.75">
      <c r="A20" s="15">
        <v>3</v>
      </c>
      <c r="B20" s="28" t="s">
        <v>964</v>
      </c>
      <c r="C20" s="359" t="s">
        <v>970</v>
      </c>
    </row>
    <row r="21" spans="1:3" ht="15.75">
      <c r="A21" s="15">
        <v>4</v>
      </c>
      <c r="B21" s="28" t="s">
        <v>1033</v>
      </c>
      <c r="C21" s="359" t="s">
        <v>1034</v>
      </c>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971</v>
      </c>
      <c r="C30" s="630">
        <v>1</v>
      </c>
    </row>
    <row r="31" spans="1:3" ht="15.75" customHeight="1">
      <c r="A31" s="15"/>
      <c r="B31" s="45"/>
      <c r="C31" s="46"/>
    </row>
    <row r="32" spans="1:3" ht="29.25" customHeight="1">
      <c r="A32" s="15"/>
      <c r="B32" s="784" t="s">
        <v>273</v>
      </c>
      <c r="C32" s="785"/>
    </row>
    <row r="33" spans="1:3">
      <c r="A33" s="631">
        <v>1</v>
      </c>
      <c r="B33" s="629" t="s">
        <v>972</v>
      </c>
      <c r="C33" s="632">
        <v>0.37259999999999999</v>
      </c>
    </row>
    <row r="34" spans="1:3" ht="16.5" thickBot="1">
      <c r="A34" s="16">
        <v>2</v>
      </c>
      <c r="B34" s="47" t="s">
        <v>973</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954</v>
      </c>
    </row>
    <row r="2" spans="1:7" s="22" customFormat="1" ht="15.75" customHeight="1">
      <c r="A2" s="527" t="s">
        <v>189</v>
      </c>
      <c r="B2" s="529">
        <f>'1. key ratios'!B2</f>
        <v>44651</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2652323.5300000003</v>
      </c>
      <c r="D8" s="636"/>
      <c r="E8" s="634">
        <f>C8-D8</f>
        <v>2652323.5300000003</v>
      </c>
    </row>
    <row r="9" spans="1:7">
      <c r="A9" s="278">
        <v>2</v>
      </c>
      <c r="B9" s="279" t="s">
        <v>155</v>
      </c>
      <c r="C9" s="636">
        <f>'2. RC'!E8</f>
        <v>41491164.82</v>
      </c>
      <c r="D9" s="636"/>
      <c r="E9" s="634">
        <f t="shared" ref="E9:E20" si="0">C9-D9</f>
        <v>41491164.82</v>
      </c>
    </row>
    <row r="10" spans="1:7">
      <c r="A10" s="278">
        <v>3</v>
      </c>
      <c r="B10" s="279" t="s">
        <v>227</v>
      </c>
      <c r="C10" s="636">
        <f>'2. RC'!E9</f>
        <v>45463858.977926008</v>
      </c>
      <c r="D10" s="636"/>
      <c r="E10" s="634">
        <f t="shared" si="0"/>
        <v>45463858.977926008</v>
      </c>
    </row>
    <row r="11" spans="1:7">
      <c r="A11" s="278">
        <v>4</v>
      </c>
      <c r="B11" s="279" t="s">
        <v>185</v>
      </c>
      <c r="C11" s="636">
        <f>'2. RC'!E10</f>
        <v>0</v>
      </c>
      <c r="D11" s="636"/>
      <c r="E11" s="634">
        <f t="shared" si="0"/>
        <v>0</v>
      </c>
    </row>
    <row r="12" spans="1:7">
      <c r="A12" s="278">
        <v>5</v>
      </c>
      <c r="B12" s="279" t="s">
        <v>157</v>
      </c>
      <c r="C12" s="636">
        <f>'2. RC'!E11</f>
        <v>48942873.172849692</v>
      </c>
      <c r="D12" s="636"/>
      <c r="E12" s="634">
        <f t="shared" si="0"/>
        <v>48942873.172849692</v>
      </c>
    </row>
    <row r="13" spans="1:7">
      <c r="A13" s="278">
        <v>6.1</v>
      </c>
      <c r="B13" s="279" t="s">
        <v>158</v>
      </c>
      <c r="C13" s="637">
        <f>'2. RC'!E12</f>
        <v>245105134.35000002</v>
      </c>
      <c r="D13" s="636"/>
      <c r="E13" s="634">
        <f t="shared" si="0"/>
        <v>245105134.35000002</v>
      </c>
    </row>
    <row r="14" spans="1:7">
      <c r="A14" s="278">
        <v>6.2</v>
      </c>
      <c r="B14" s="280" t="s">
        <v>159</v>
      </c>
      <c r="C14" s="637">
        <f>'2. RC'!E13</f>
        <v>-9329300.928199999</v>
      </c>
      <c r="D14" s="636"/>
      <c r="E14" s="634">
        <f t="shared" si="0"/>
        <v>-9329300.928199999</v>
      </c>
    </row>
    <row r="15" spans="1:7">
      <c r="A15" s="278">
        <v>6</v>
      </c>
      <c r="B15" s="279" t="s">
        <v>226</v>
      </c>
      <c r="C15" s="636">
        <f>'2. RC'!E14</f>
        <v>235775833.42180002</v>
      </c>
      <c r="D15" s="636"/>
      <c r="E15" s="634">
        <f t="shared" si="0"/>
        <v>235775833.42180002</v>
      </c>
    </row>
    <row r="16" spans="1:7">
      <c r="A16" s="278">
        <v>7</v>
      </c>
      <c r="B16" s="279" t="s">
        <v>161</v>
      </c>
      <c r="C16" s="636">
        <f>'2. RC'!E15</f>
        <v>2369380.6785340011</v>
      </c>
      <c r="D16" s="636"/>
      <c r="E16" s="634">
        <f t="shared" si="0"/>
        <v>2369380.6785340011</v>
      </c>
    </row>
    <row r="17" spans="1:7">
      <c r="A17" s="278">
        <v>8</v>
      </c>
      <c r="B17" s="279" t="s">
        <v>162</v>
      </c>
      <c r="C17" s="636">
        <f>'2. RC'!E16</f>
        <v>735525.39</v>
      </c>
      <c r="D17" s="636"/>
      <c r="E17" s="634">
        <f t="shared" si="0"/>
        <v>735525.39</v>
      </c>
      <c r="F17" s="6"/>
      <c r="G17" s="6"/>
    </row>
    <row r="18" spans="1:7">
      <c r="A18" s="278">
        <v>9</v>
      </c>
      <c r="B18" s="279" t="s">
        <v>163</v>
      </c>
      <c r="C18" s="636">
        <f>'2. RC'!E17</f>
        <v>0</v>
      </c>
      <c r="D18" s="636"/>
      <c r="E18" s="634">
        <f t="shared" si="0"/>
        <v>0</v>
      </c>
      <c r="G18" s="6"/>
    </row>
    <row r="19" spans="1:7" ht="25.5">
      <c r="A19" s="278">
        <v>10</v>
      </c>
      <c r="B19" s="279" t="s">
        <v>164</v>
      </c>
      <c r="C19" s="636">
        <f>'2. RC'!E18</f>
        <v>7657278.6099999994</v>
      </c>
      <c r="D19" s="636">
        <v>184969.45999999996</v>
      </c>
      <c r="E19" s="634">
        <f t="shared" si="0"/>
        <v>7472309.1499999994</v>
      </c>
      <c r="G19" s="6"/>
    </row>
    <row r="20" spans="1:7">
      <c r="A20" s="278">
        <v>11</v>
      </c>
      <c r="B20" s="279" t="s">
        <v>165</v>
      </c>
      <c r="C20" s="636">
        <f>'2. RC'!E19</f>
        <v>3126089.8444901491</v>
      </c>
      <c r="D20" s="636"/>
      <c r="E20" s="634">
        <f t="shared" si="0"/>
        <v>3126089.8444901491</v>
      </c>
    </row>
    <row r="21" spans="1:7" ht="39" thickBot="1">
      <c r="A21" s="281"/>
      <c r="B21" s="282" t="s">
        <v>485</v>
      </c>
      <c r="C21" s="638">
        <f>SUM(C8:C12, C15:C20)</f>
        <v>388214328.44559991</v>
      </c>
      <c r="D21" s="638">
        <f>SUM(D8:D12, D15:D20)</f>
        <v>184969.45999999996</v>
      </c>
      <c r="E21" s="635">
        <f>SUM(E8:E12, E15:E20)</f>
        <v>388029358.98559988</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954</v>
      </c>
    </row>
    <row r="2" spans="1:6" s="22" customFormat="1" ht="15.75" customHeight="1">
      <c r="A2" s="527" t="s">
        <v>189</v>
      </c>
      <c r="B2" s="529">
        <f>'1. key ratios'!B2</f>
        <v>44651</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388029358.98559988</v>
      </c>
    </row>
    <row r="6" spans="1:6" s="160" customFormat="1">
      <c r="A6" s="102">
        <v>2.1</v>
      </c>
      <c r="B6" s="177" t="s">
        <v>267</v>
      </c>
      <c r="C6" s="640">
        <f>'4. Off-Balance'!E8+'4. Off-Balance'!E10</f>
        <v>109912256.39</v>
      </c>
    </row>
    <row r="7" spans="1:6" s="4" customFormat="1" ht="25.5" outlineLevel="1">
      <c r="A7" s="176">
        <v>2.2000000000000002</v>
      </c>
      <c r="B7" s="172" t="s">
        <v>268</v>
      </c>
      <c r="C7" s="641"/>
    </row>
    <row r="8" spans="1:6" s="4" customFormat="1" ht="26.25">
      <c r="A8" s="176">
        <v>3</v>
      </c>
      <c r="B8" s="173" t="s">
        <v>435</v>
      </c>
      <c r="C8" s="642">
        <f>SUM(C5:C7)</f>
        <v>497941615.37559986</v>
      </c>
    </row>
    <row r="9" spans="1:6" s="160" customFormat="1">
      <c r="A9" s="102">
        <v>4</v>
      </c>
      <c r="B9" s="180" t="s">
        <v>264</v>
      </c>
      <c r="C9" s="640">
        <v>5062404.5406600898</v>
      </c>
    </row>
    <row r="10" spans="1:6" s="4" customFormat="1" ht="25.5" outlineLevel="1">
      <c r="A10" s="176">
        <v>5.0999999999999996</v>
      </c>
      <c r="B10" s="172" t="s">
        <v>274</v>
      </c>
      <c r="C10" s="643">
        <v>-41198818.400000006</v>
      </c>
    </row>
    <row r="11" spans="1:6" s="4" customFormat="1" ht="25.5" outlineLevel="1">
      <c r="A11" s="176">
        <v>5.2</v>
      </c>
      <c r="B11" s="172" t="s">
        <v>275</v>
      </c>
      <c r="C11" s="641"/>
    </row>
    <row r="12" spans="1:6" s="4" customFormat="1">
      <c r="A12" s="176">
        <v>6</v>
      </c>
      <c r="B12" s="178" t="s">
        <v>607</v>
      </c>
      <c r="C12" s="641">
        <v>0</v>
      </c>
    </row>
    <row r="13" spans="1:6" s="4" customFormat="1" ht="15.75" thickBot="1">
      <c r="A13" s="179">
        <v>7</v>
      </c>
      <c r="B13" s="174" t="s">
        <v>265</v>
      </c>
      <c r="C13" s="644">
        <f>SUM(C8:C12)</f>
        <v>461805201.51625991</v>
      </c>
    </row>
    <row r="15" spans="1:6">
      <c r="B15" s="24"/>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DecMBbgrobPE2nKy0wqpO2rmnoGpd7VZcFULhprkrbI=</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GXM3WemLV+ZdvaWc4lUfqVL7kgwrK+Gyv++nYhWx/qU=</DigestValue>
    </Reference>
  </SignedInfo>
  <SignatureValue>MUTPWYTH2HZICY4IHuvCGMyEMsLkwa6F57Pp24hNu44SQsgSfbIUf4Q4eciE9o75/uT6g9/jUgWa
vC3P1X8y5VvI2ZJrwyIRXU65/6lw403OLXMD6+vO+eCyI7qjPPoyMj6Ud/DY0TWhJcB7D0nS0R29
25F8qcpq3Hu3FqgM8fzOqTvcgs2KxNlHoUjXOEZVtRSqXTkkQYKcP+hXwj3UDHnYDlUZQr6vD2BL
F/NdCE7tPCPjrh3J/EO1XIoMgK0PONZLbLTFN7AbvAEXbIl5L00vR6eeVsSPANSQ+zalWK536li0
tXQ4JMrh5k3o2Kyk9c9ZK4tmMDZVw7jq1ugLmA==</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4csAOZE8dioGbLtwmJ8z2dpP2Q6DwEg+ddy5Z8eMXeo=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qFjrd6QbZPyn2+wpTBkmmMjZ9/gIkaNi9wUQ+Zk8jvU=</DigestValue>
      </Reference>
      <Reference URI="/xl/styles.xml?ContentType=application/vnd.openxmlformats-officedocument.spreadsheetml.styles+xml">
        <DigestMethod Algorithm="http://www.w3.org/2001/04/xmlenc#sha256"/>
        <DigestValue>SpRBo0QK11q/RQfKeYTll8WU91fTivQ5Yb+UlXyl9Bo=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zq5JXSfJIyBy7pBnWiYt3No4rc24aX7nF9Q68r1RKa0=</DigestValue>
      </Reference>
      <Reference URI="/xl/worksheets/sheet10.xml?ContentType=application/vnd.openxmlformats-officedocument.spreadsheetml.worksheet+xml">
        <DigestMethod Algorithm="http://www.w3.org/2001/04/xmlenc#sha256"/>
        <DigestValue>begp//AOV/hElNninBc2oQ6o4aNqIBUTd6oYFnWnQeY=</DigestValue>
      </Reference>
      <Reference URI="/xl/worksheets/sheet11.xml?ContentType=application/vnd.openxmlformats-officedocument.spreadsheetml.worksheet+xml">
        <DigestMethod Algorithm="http://www.w3.org/2001/04/xmlenc#sha256"/>
        <DigestValue>R6n8k9nVdpD151PskdlVZHpLZy5Bj0Xqi03N65+COmo=</DigestValue>
      </Reference>
      <Reference URI="/xl/worksheets/sheet12.xml?ContentType=application/vnd.openxmlformats-officedocument.spreadsheetml.worksheet+xml">
        <DigestMethod Algorithm="http://www.w3.org/2001/04/xmlenc#sha256"/>
        <DigestValue>827EY3yZsjPeDiYSd2Gz713cvTCluTnLQtv+DkuE6OM=</DigestValue>
      </Reference>
      <Reference URI="/xl/worksheets/sheet13.xml?ContentType=application/vnd.openxmlformats-officedocument.spreadsheetml.worksheet+xml">
        <DigestMethod Algorithm="http://www.w3.org/2001/04/xmlenc#sha256"/>
        <DigestValue>5/TivKnVxgq89K2zIVmNbek30TV2s/kucDtkpMCLnQw=</DigestValue>
      </Reference>
      <Reference URI="/xl/worksheets/sheet14.xml?ContentType=application/vnd.openxmlformats-officedocument.spreadsheetml.worksheet+xml">
        <DigestMethod Algorithm="http://www.w3.org/2001/04/xmlenc#sha256"/>
        <DigestValue>yP3Xf9pO3UFodPojMTG4RyKNJTRVAce3LJb516CU3yI=</DigestValue>
      </Reference>
      <Reference URI="/xl/worksheets/sheet15.xml?ContentType=application/vnd.openxmlformats-officedocument.spreadsheetml.worksheet+xml">
        <DigestMethod Algorithm="http://www.w3.org/2001/04/xmlenc#sha256"/>
        <DigestValue>TotHyGdrHdEumWR1TMBkeuH3W8tUo+ziqtipWeYxYkI=</DigestValue>
      </Reference>
      <Reference URI="/xl/worksheets/sheet16.xml?ContentType=application/vnd.openxmlformats-officedocument.spreadsheetml.worksheet+xml">
        <DigestMethod Algorithm="http://www.w3.org/2001/04/xmlenc#sha256"/>
        <DigestValue>VVJCEHLHM/+9nKtTzUvti9Ql+aTnF9Swwah153BBVxA=</DigestValue>
      </Reference>
      <Reference URI="/xl/worksheets/sheet17.xml?ContentType=application/vnd.openxmlformats-officedocument.spreadsheetml.worksheet+xml">
        <DigestMethod Algorithm="http://www.w3.org/2001/04/xmlenc#sha256"/>
        <DigestValue>EBUmdXXDbcrBe2R28bLawO9bED9ue6iVmqhfuAAWJn0=</DigestValue>
      </Reference>
      <Reference URI="/xl/worksheets/sheet18.xml?ContentType=application/vnd.openxmlformats-officedocument.spreadsheetml.worksheet+xml">
        <DigestMethod Algorithm="http://www.w3.org/2001/04/xmlenc#sha256"/>
        <DigestValue>dCUkbsheWnXfe5Xtham9paakMpA6ozbRbLRIHCHgT58=</DigestValue>
      </Reference>
      <Reference URI="/xl/worksheets/sheet19.xml?ContentType=application/vnd.openxmlformats-officedocument.spreadsheetml.worksheet+xml">
        <DigestMethod Algorithm="http://www.w3.org/2001/04/xmlenc#sha256"/>
        <DigestValue>JgDsXWb3kSStdAdVbSXhKIs1g/kw3rmEvyZ97tuGgzM=</DigestValue>
      </Reference>
      <Reference URI="/xl/worksheets/sheet2.xml?ContentType=application/vnd.openxmlformats-officedocument.spreadsheetml.worksheet+xml">
        <DigestMethod Algorithm="http://www.w3.org/2001/04/xmlenc#sha256"/>
        <DigestValue>pie6HilKd5g3baC0pocnQY0imTQvgohP9YAZ6EhGCts=</DigestValue>
      </Reference>
      <Reference URI="/xl/worksheets/sheet20.xml?ContentType=application/vnd.openxmlformats-officedocument.spreadsheetml.worksheet+xml">
        <DigestMethod Algorithm="http://www.w3.org/2001/04/xmlenc#sha256"/>
        <DigestValue>4rNKFiR++NWpIHzQniudHylR1qk5n+7Ebw1KFfKudIY=</DigestValue>
      </Reference>
      <Reference URI="/xl/worksheets/sheet21.xml?ContentType=application/vnd.openxmlformats-officedocument.spreadsheetml.worksheet+xml">
        <DigestMethod Algorithm="http://www.w3.org/2001/04/xmlenc#sha256"/>
        <DigestValue>Ghflxf6gQ61RjOBDDevX8Vmeu9bJLHF8NyxPV0h1PJg=</DigestValue>
      </Reference>
      <Reference URI="/xl/worksheets/sheet22.xml?ContentType=application/vnd.openxmlformats-officedocument.spreadsheetml.worksheet+xml">
        <DigestMethod Algorithm="http://www.w3.org/2001/04/xmlenc#sha256"/>
        <DigestValue>XzSWZjoNqSeSe47sjzIhIPMbYmT9XZK0844KLNGxspk=</DigestValue>
      </Reference>
      <Reference URI="/xl/worksheets/sheet23.xml?ContentType=application/vnd.openxmlformats-officedocument.spreadsheetml.worksheet+xml">
        <DigestMethod Algorithm="http://www.w3.org/2001/04/xmlenc#sha256"/>
        <DigestValue>DjdcVPIOaSov6Mmwvnae/kyZZ9ZAIXVfWSEk8U7HyH8=</DigestValue>
      </Reference>
      <Reference URI="/xl/worksheets/sheet24.xml?ContentType=application/vnd.openxmlformats-officedocument.spreadsheetml.worksheet+xml">
        <DigestMethod Algorithm="http://www.w3.org/2001/04/xmlenc#sha256"/>
        <DigestValue>n8EZlJTqXwMT2WsPzyKBZ0ruUtNw22/5Wl6HVBg9HXY=</DigestValue>
      </Reference>
      <Reference URI="/xl/worksheets/sheet25.xml?ContentType=application/vnd.openxmlformats-officedocument.spreadsheetml.worksheet+xml">
        <DigestMethod Algorithm="http://www.w3.org/2001/04/xmlenc#sha256"/>
        <DigestValue>ZmoduWxxsJiG6ObQ+7tTni5UiRdTAt7IqeYku8DBfzw=</DigestValue>
      </Reference>
      <Reference URI="/xl/worksheets/sheet26.xml?ContentType=application/vnd.openxmlformats-officedocument.spreadsheetml.worksheet+xml">
        <DigestMethod Algorithm="http://www.w3.org/2001/04/xmlenc#sha256"/>
        <DigestValue>1EBvA8lbUBPPQt7UwUHxiC7uBlEg0DweedgPbzZVNAE=</DigestValue>
      </Reference>
      <Reference URI="/xl/worksheets/sheet27.xml?ContentType=application/vnd.openxmlformats-officedocument.spreadsheetml.worksheet+xml">
        <DigestMethod Algorithm="http://www.w3.org/2001/04/xmlenc#sha256"/>
        <DigestValue>K3Q6hpC8U7hRFA4Ll0T4a/5fQMP5LchlBJmUwpHJpoY=</DigestValue>
      </Reference>
      <Reference URI="/xl/worksheets/sheet28.xml?ContentType=application/vnd.openxmlformats-officedocument.spreadsheetml.worksheet+xml">
        <DigestMethod Algorithm="http://www.w3.org/2001/04/xmlenc#sha256"/>
        <DigestValue>7eNrNjdi4k0Dyn1gEOQQYkZn6Cg5Fu20l97Esaa6bW4=</DigestValue>
      </Reference>
      <Reference URI="/xl/worksheets/sheet29.xml?ContentType=application/vnd.openxmlformats-officedocument.spreadsheetml.worksheet+xml">
        <DigestMethod Algorithm="http://www.w3.org/2001/04/xmlenc#sha256"/>
        <DigestValue>r2f5epBYjM+wrZde5PhZONQ5X+eg3OQK+6OyrSK9+DQ=</DigestValue>
      </Reference>
      <Reference URI="/xl/worksheets/sheet3.xml?ContentType=application/vnd.openxmlformats-officedocument.spreadsheetml.worksheet+xml">
        <DigestMethod Algorithm="http://www.w3.org/2001/04/xmlenc#sha256"/>
        <DigestValue>Tq2bIS1T8fmboVIAma5715Fq71grb44zu8WBW+AcEs8=</DigestValue>
      </Reference>
      <Reference URI="/xl/worksheets/sheet30.xml?ContentType=application/vnd.openxmlformats-officedocument.spreadsheetml.worksheet+xml">
        <DigestMethod Algorithm="http://www.w3.org/2001/04/xmlenc#sha256"/>
        <DigestValue>mLa/klwmd1xIGElw4pFp/ZHg0xS0L9p9/2lU7Cmfkns=</DigestValue>
      </Reference>
      <Reference URI="/xl/worksheets/sheet4.xml?ContentType=application/vnd.openxmlformats-officedocument.spreadsheetml.worksheet+xml">
        <DigestMethod Algorithm="http://www.w3.org/2001/04/xmlenc#sha256"/>
        <DigestValue>NU6KVladPeV7yv7djxwLQ45zPsoO4YlRDzQcNGkEBUU=</DigestValue>
      </Reference>
      <Reference URI="/xl/worksheets/sheet5.xml?ContentType=application/vnd.openxmlformats-officedocument.spreadsheetml.worksheet+xml">
        <DigestMethod Algorithm="http://www.w3.org/2001/04/xmlenc#sha256"/>
        <DigestValue>NzADfEC14dd2ufKPIkGC7r1OPCkA2CbnV3IS45xSIcU=</DigestValue>
      </Reference>
      <Reference URI="/xl/worksheets/sheet6.xml?ContentType=application/vnd.openxmlformats-officedocument.spreadsheetml.worksheet+xml">
        <DigestMethod Algorithm="http://www.w3.org/2001/04/xmlenc#sha256"/>
        <DigestValue>9RrZGDyqsI5Gqbqml7AbgoQ9oGyM+hgHtrdjnvG6bGM=</DigestValue>
      </Reference>
      <Reference URI="/xl/worksheets/sheet7.xml?ContentType=application/vnd.openxmlformats-officedocument.spreadsheetml.worksheet+xml">
        <DigestMethod Algorithm="http://www.w3.org/2001/04/xmlenc#sha256"/>
        <DigestValue>cP4HdcA06cTuO9HJUqRljf5+Ln6G1tNuA2wO0jWZX0Q=</DigestValue>
      </Reference>
      <Reference URI="/xl/worksheets/sheet8.xml?ContentType=application/vnd.openxmlformats-officedocument.spreadsheetml.worksheet+xml">
        <DigestMethod Algorithm="http://www.w3.org/2001/04/xmlenc#sha256"/>
        <DigestValue>UXFTGsHSiIfEBo98z1Sq3q3vK+1XUJ+TwVyOmzNPhcc=</DigestValue>
      </Reference>
      <Reference URI="/xl/worksheets/sheet9.xml?ContentType=application/vnd.openxmlformats-officedocument.spreadsheetml.worksheet+xml">
        <DigestMethod Algorithm="http://www.w3.org/2001/04/xmlenc#sha256"/>
        <DigestValue>eXoZsFjRQ/VxuqQGPJGTIyjc/IYSLW99FWkxOaVPuEo=</DigestValue>
      </Reference>
    </Manifest>
    <SignatureProperties>
      <SignatureProperty Id="idSignatureTime" Target="#idPackageSignature">
        <mdssi:SignatureTime xmlns:mdssi="http://schemas.openxmlformats.org/package/2006/digital-signature">
          <mdssi:Format>YYYY-MM-DDThh:mm:ssTZD</mdssi:Format>
          <mdssi:Value>2022-05-02T13:57:41Z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2022-05-02T13:57:41Z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5f281wTshXSQ9WUGV2xTEQ2PM+uy7qh2cdRoKVXI6Rs=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qk9SqSFT2Qeylo9Q1G2AYEkNz0HXukjeFKEHsuv9NTk=</DigestValue>
    </Reference>
  </SignedInfo>
  <SignatureValue>u0bLifa3Rm2ys7tR8Pal+jwDIsezV5aKO4eRqj1gEcOgcpgAFZ6peFeXluYrBW7BUxZJVv7OrvLj
xsb90Ymt7HdCuxjclkfgt+H3m0nd6qntZmnK4wQYgRp6L/MIVXkbSKSQScnoXjNTgo2qHzMmDuj8
zW4NjTfnJjRmiI9aHPakoVEgNC/t6lbhrKoPyJNR7jdt60TC+xcOVhk6pi0+YERlz0jMZtjAyikv
bb6stYQAb4XUZXe+wSbV8IuubcYuCHK3diKv/RzSV1oe0CrtzYreVLI1hjo4vhL8GDKsb/K8qW9g
hc0tzIvziucPTntdp79My/MdNI18LBABbLk9hg==</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4csAOZE8dioGbLtwmJ8z2dpP2Q6DwEg+ddy5Z8eMXeo=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qFjrd6QbZPyn2+wpTBkmmMjZ9/gIkaNi9wUQ+Zk8jvU=</DigestValue>
      </Reference>
      <Reference URI="/xl/styles.xml?ContentType=application/vnd.openxmlformats-officedocument.spreadsheetml.styles+xml">
        <DigestMethod Algorithm="http://www.w3.org/2001/04/xmlenc#sha256"/>
        <DigestValue>SpRBo0QK11q/RQfKeYTll8WU91fTivQ5Yb+UlXyl9Bo=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f7Pi8qsHfbPBhA3oZEiZms9tqf1fuhXlmL8DdzeQ+lg=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zq5JXSfJIyBy7pBnWiYt3No4rc24aX7nF9Q68r1RKa0=</DigestValue>
      </Reference>
      <Reference URI="/xl/worksheets/sheet10.xml?ContentType=application/vnd.openxmlformats-officedocument.spreadsheetml.worksheet+xml">
        <DigestMethod Algorithm="http://www.w3.org/2001/04/xmlenc#sha256"/>
        <DigestValue>begp//AOV/hElNninBc2oQ6o4aNqIBUTd6oYFnWnQeY=</DigestValue>
      </Reference>
      <Reference URI="/xl/worksheets/sheet11.xml?ContentType=application/vnd.openxmlformats-officedocument.spreadsheetml.worksheet+xml">
        <DigestMethod Algorithm="http://www.w3.org/2001/04/xmlenc#sha256"/>
        <DigestValue>R6n8k9nVdpD151PskdlVZHpLZy5Bj0Xqi03N65+COmo=</DigestValue>
      </Reference>
      <Reference URI="/xl/worksheets/sheet12.xml?ContentType=application/vnd.openxmlformats-officedocument.spreadsheetml.worksheet+xml">
        <DigestMethod Algorithm="http://www.w3.org/2001/04/xmlenc#sha256"/>
        <DigestValue>827EY3yZsjPeDiYSd2Gz713cvTCluTnLQtv+DkuE6OM=</DigestValue>
      </Reference>
      <Reference URI="/xl/worksheets/sheet13.xml?ContentType=application/vnd.openxmlformats-officedocument.spreadsheetml.worksheet+xml">
        <DigestMethod Algorithm="http://www.w3.org/2001/04/xmlenc#sha256"/>
        <DigestValue>5/TivKnVxgq89K2zIVmNbek30TV2s/kucDtkpMCLnQw=</DigestValue>
      </Reference>
      <Reference URI="/xl/worksheets/sheet14.xml?ContentType=application/vnd.openxmlformats-officedocument.spreadsheetml.worksheet+xml">
        <DigestMethod Algorithm="http://www.w3.org/2001/04/xmlenc#sha256"/>
        <DigestValue>yP3Xf9pO3UFodPojMTG4RyKNJTRVAce3LJb516CU3yI=</DigestValue>
      </Reference>
      <Reference URI="/xl/worksheets/sheet15.xml?ContentType=application/vnd.openxmlformats-officedocument.spreadsheetml.worksheet+xml">
        <DigestMethod Algorithm="http://www.w3.org/2001/04/xmlenc#sha256"/>
        <DigestValue>TotHyGdrHdEumWR1TMBkeuH3W8tUo+ziqtipWeYxYkI=</DigestValue>
      </Reference>
      <Reference URI="/xl/worksheets/sheet16.xml?ContentType=application/vnd.openxmlformats-officedocument.spreadsheetml.worksheet+xml">
        <DigestMethod Algorithm="http://www.w3.org/2001/04/xmlenc#sha256"/>
        <DigestValue>VVJCEHLHM/+9nKtTzUvti9Ql+aTnF9Swwah153BBVxA=</DigestValue>
      </Reference>
      <Reference URI="/xl/worksheets/sheet17.xml?ContentType=application/vnd.openxmlformats-officedocument.spreadsheetml.worksheet+xml">
        <DigestMethod Algorithm="http://www.w3.org/2001/04/xmlenc#sha256"/>
        <DigestValue>EBUmdXXDbcrBe2R28bLawO9bED9ue6iVmqhfuAAWJn0=</DigestValue>
      </Reference>
      <Reference URI="/xl/worksheets/sheet18.xml?ContentType=application/vnd.openxmlformats-officedocument.spreadsheetml.worksheet+xml">
        <DigestMethod Algorithm="http://www.w3.org/2001/04/xmlenc#sha256"/>
        <DigestValue>dCUkbsheWnXfe5Xtham9paakMpA6ozbRbLRIHCHgT58=</DigestValue>
      </Reference>
      <Reference URI="/xl/worksheets/sheet19.xml?ContentType=application/vnd.openxmlformats-officedocument.spreadsheetml.worksheet+xml">
        <DigestMethod Algorithm="http://www.w3.org/2001/04/xmlenc#sha256"/>
        <DigestValue>JgDsXWb3kSStdAdVbSXhKIs1g/kw3rmEvyZ97tuGgzM=</DigestValue>
      </Reference>
      <Reference URI="/xl/worksheets/sheet2.xml?ContentType=application/vnd.openxmlformats-officedocument.spreadsheetml.worksheet+xml">
        <DigestMethod Algorithm="http://www.w3.org/2001/04/xmlenc#sha256"/>
        <DigestValue>pie6HilKd5g3baC0pocnQY0imTQvgohP9YAZ6EhGCts=</DigestValue>
      </Reference>
      <Reference URI="/xl/worksheets/sheet20.xml?ContentType=application/vnd.openxmlformats-officedocument.spreadsheetml.worksheet+xml">
        <DigestMethod Algorithm="http://www.w3.org/2001/04/xmlenc#sha256"/>
        <DigestValue>4rNKFiR++NWpIHzQniudHylR1qk5n+7Ebw1KFfKudIY=</DigestValue>
      </Reference>
      <Reference URI="/xl/worksheets/sheet21.xml?ContentType=application/vnd.openxmlformats-officedocument.spreadsheetml.worksheet+xml">
        <DigestMethod Algorithm="http://www.w3.org/2001/04/xmlenc#sha256"/>
        <DigestValue>Ghflxf6gQ61RjOBDDevX8Vmeu9bJLHF8NyxPV0h1PJg=</DigestValue>
      </Reference>
      <Reference URI="/xl/worksheets/sheet22.xml?ContentType=application/vnd.openxmlformats-officedocument.spreadsheetml.worksheet+xml">
        <DigestMethod Algorithm="http://www.w3.org/2001/04/xmlenc#sha256"/>
        <DigestValue>XzSWZjoNqSeSe47sjzIhIPMbYmT9XZK0844KLNGxspk=</DigestValue>
      </Reference>
      <Reference URI="/xl/worksheets/sheet23.xml?ContentType=application/vnd.openxmlformats-officedocument.spreadsheetml.worksheet+xml">
        <DigestMethod Algorithm="http://www.w3.org/2001/04/xmlenc#sha256"/>
        <DigestValue>DjdcVPIOaSov6Mmwvnae/kyZZ9ZAIXVfWSEk8U7HyH8=</DigestValue>
      </Reference>
      <Reference URI="/xl/worksheets/sheet24.xml?ContentType=application/vnd.openxmlformats-officedocument.spreadsheetml.worksheet+xml">
        <DigestMethod Algorithm="http://www.w3.org/2001/04/xmlenc#sha256"/>
        <DigestValue>n8EZlJTqXwMT2WsPzyKBZ0ruUtNw22/5Wl6HVBg9HXY=</DigestValue>
      </Reference>
      <Reference URI="/xl/worksheets/sheet25.xml?ContentType=application/vnd.openxmlformats-officedocument.spreadsheetml.worksheet+xml">
        <DigestMethod Algorithm="http://www.w3.org/2001/04/xmlenc#sha256"/>
        <DigestValue>ZmoduWxxsJiG6ObQ+7tTni5UiRdTAt7IqeYku8DBfzw=</DigestValue>
      </Reference>
      <Reference URI="/xl/worksheets/sheet26.xml?ContentType=application/vnd.openxmlformats-officedocument.spreadsheetml.worksheet+xml">
        <DigestMethod Algorithm="http://www.w3.org/2001/04/xmlenc#sha256"/>
        <DigestValue>1EBvA8lbUBPPQt7UwUHxiC7uBlEg0DweedgPbzZVNAE=</DigestValue>
      </Reference>
      <Reference URI="/xl/worksheets/sheet27.xml?ContentType=application/vnd.openxmlformats-officedocument.spreadsheetml.worksheet+xml">
        <DigestMethod Algorithm="http://www.w3.org/2001/04/xmlenc#sha256"/>
        <DigestValue>K3Q6hpC8U7hRFA4Ll0T4a/5fQMP5LchlBJmUwpHJpoY=</DigestValue>
      </Reference>
      <Reference URI="/xl/worksheets/sheet28.xml?ContentType=application/vnd.openxmlformats-officedocument.spreadsheetml.worksheet+xml">
        <DigestMethod Algorithm="http://www.w3.org/2001/04/xmlenc#sha256"/>
        <DigestValue>7eNrNjdi4k0Dyn1gEOQQYkZn6Cg5Fu20l97Esaa6bW4=</DigestValue>
      </Reference>
      <Reference URI="/xl/worksheets/sheet29.xml?ContentType=application/vnd.openxmlformats-officedocument.spreadsheetml.worksheet+xml">
        <DigestMethod Algorithm="http://www.w3.org/2001/04/xmlenc#sha256"/>
        <DigestValue>r2f5epBYjM+wrZde5PhZONQ5X+eg3OQK+6OyrSK9+DQ=</DigestValue>
      </Reference>
      <Reference URI="/xl/worksheets/sheet3.xml?ContentType=application/vnd.openxmlformats-officedocument.spreadsheetml.worksheet+xml">
        <DigestMethod Algorithm="http://www.w3.org/2001/04/xmlenc#sha256"/>
        <DigestValue>Tq2bIS1T8fmboVIAma5715Fq71grb44zu8WBW+AcEs8=</DigestValue>
      </Reference>
      <Reference URI="/xl/worksheets/sheet30.xml?ContentType=application/vnd.openxmlformats-officedocument.spreadsheetml.worksheet+xml">
        <DigestMethod Algorithm="http://www.w3.org/2001/04/xmlenc#sha256"/>
        <DigestValue>mLa/klwmd1xIGElw4pFp/ZHg0xS0L9p9/2lU7Cmfkns=</DigestValue>
      </Reference>
      <Reference URI="/xl/worksheets/sheet4.xml?ContentType=application/vnd.openxmlformats-officedocument.spreadsheetml.worksheet+xml">
        <DigestMethod Algorithm="http://www.w3.org/2001/04/xmlenc#sha256"/>
        <DigestValue>NU6KVladPeV7yv7djxwLQ45zPsoO4YlRDzQcNGkEBUU=</DigestValue>
      </Reference>
      <Reference URI="/xl/worksheets/sheet5.xml?ContentType=application/vnd.openxmlformats-officedocument.spreadsheetml.worksheet+xml">
        <DigestMethod Algorithm="http://www.w3.org/2001/04/xmlenc#sha256"/>
        <DigestValue>NzADfEC14dd2ufKPIkGC7r1OPCkA2CbnV3IS45xSIcU=</DigestValue>
      </Reference>
      <Reference URI="/xl/worksheets/sheet6.xml?ContentType=application/vnd.openxmlformats-officedocument.spreadsheetml.worksheet+xml">
        <DigestMethod Algorithm="http://www.w3.org/2001/04/xmlenc#sha256"/>
        <DigestValue>9RrZGDyqsI5Gqbqml7AbgoQ9oGyM+hgHtrdjnvG6bGM=</DigestValue>
      </Reference>
      <Reference URI="/xl/worksheets/sheet7.xml?ContentType=application/vnd.openxmlformats-officedocument.spreadsheetml.worksheet+xml">
        <DigestMethod Algorithm="http://www.w3.org/2001/04/xmlenc#sha256"/>
        <DigestValue>cP4HdcA06cTuO9HJUqRljf5+Ln6G1tNuA2wO0jWZX0Q=</DigestValue>
      </Reference>
      <Reference URI="/xl/worksheets/sheet8.xml?ContentType=application/vnd.openxmlformats-officedocument.spreadsheetml.worksheet+xml">
        <DigestMethod Algorithm="http://www.w3.org/2001/04/xmlenc#sha256"/>
        <DigestValue>UXFTGsHSiIfEBo98z1Sq3q3vK+1XUJ+TwVyOmzNPhcc=</DigestValue>
      </Reference>
      <Reference URI="/xl/worksheets/sheet9.xml?ContentType=application/vnd.openxmlformats-officedocument.spreadsheetml.worksheet+xml">
        <DigestMethod Algorithm="http://www.w3.org/2001/04/xmlenc#sha256"/>
        <DigestValue>eXoZsFjRQ/VxuqQGPJGTIyjc/IYSLW99FWkxOaVPuEo=</DigestValue>
      </Reference>
    </Manifest>
    <SignatureProperties>
      <SignatureProperty Id="idSignatureTime" Target="#idPackageSignature">
        <mdssi:SignatureTime xmlns:mdssi="http://schemas.openxmlformats.org/package/2006/digital-signature">
          <mdssi:Format>YYYY-MM-DDThh:mm:ssTZD</mdssi:Format>
          <mdssi:Value>2022-05-02T13:58:19Z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2022-05-02T13:58:19Z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2022-05-02T13:56:53Z</dcterms:modified>
</cp:coreProperties>
</file>