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27.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8.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5" tabRatio="768" activeTab="1"/>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2"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I13" i="91" l="1"/>
  <c r="O13" i="91"/>
  <c r="O19" i="91" s="1"/>
  <c r="N13" i="91"/>
  <c r="N19" i="91" s="1"/>
  <c r="M13" i="91"/>
  <c r="M19" i="91" s="1"/>
  <c r="L13" i="91"/>
  <c r="L19" i="91" s="1"/>
  <c r="K13" i="91"/>
  <c r="K19" i="91" s="1"/>
  <c r="J13" i="91"/>
  <c r="J19" i="91" s="1"/>
  <c r="H13" i="91"/>
  <c r="H19" i="91" s="1"/>
  <c r="G13" i="91"/>
  <c r="G19" i="91" s="1"/>
  <c r="F13" i="91"/>
  <c r="F19" i="91" s="1"/>
  <c r="E13" i="91"/>
  <c r="E19" i="91" s="1"/>
  <c r="D13" i="91"/>
  <c r="D19" i="91" s="1"/>
  <c r="B2" i="91"/>
  <c r="C13" i="91" l="1"/>
  <c r="C19" i="91"/>
  <c r="I19" i="91"/>
  <c r="B2" i="89" l="1"/>
  <c r="N33" i="88"/>
  <c r="M33" i="88"/>
  <c r="L33" i="88"/>
  <c r="K33" i="88"/>
  <c r="J33" i="88"/>
  <c r="I33" i="88"/>
  <c r="H33" i="88"/>
  <c r="G33" i="88"/>
  <c r="F33" i="88"/>
  <c r="E33" i="88"/>
  <c r="D33" i="88"/>
  <c r="C33" i="88"/>
  <c r="B2" i="88"/>
  <c r="B2" i="87"/>
  <c r="U22" i="86"/>
  <c r="L22" i="86"/>
  <c r="G22" i="86"/>
  <c r="E22" i="86"/>
  <c r="D22" i="86"/>
  <c r="C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B2" i="86"/>
  <c r="C10" i="85"/>
  <c r="C19" i="85" s="1"/>
  <c r="B2" i="85"/>
  <c r="D12" i="84"/>
  <c r="C12" i="84"/>
  <c r="D7" i="84"/>
  <c r="C7" i="84"/>
  <c r="B2" i="84"/>
  <c r="H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B2" i="83"/>
  <c r="I23" i="82"/>
  <c r="I22" i="82"/>
  <c r="H21" i="82"/>
  <c r="F21" i="82"/>
  <c r="E21" i="82"/>
  <c r="D21" i="82"/>
  <c r="C21" i="82"/>
  <c r="I20" i="82"/>
  <c r="I19" i="82"/>
  <c r="I18" i="82"/>
  <c r="I17" i="82"/>
  <c r="I16" i="82"/>
  <c r="I15" i="82"/>
  <c r="I14" i="82"/>
  <c r="I13" i="82"/>
  <c r="I12" i="82"/>
  <c r="I11" i="82"/>
  <c r="I10" i="82"/>
  <c r="I9" i="82"/>
  <c r="I8" i="82"/>
  <c r="I7" i="82"/>
  <c r="B2" i="82"/>
  <c r="G22" i="81"/>
  <c r="F22" i="81"/>
  <c r="E22" i="81"/>
  <c r="D22" i="81"/>
  <c r="C22" i="81"/>
  <c r="H21" i="81"/>
  <c r="H20" i="81"/>
  <c r="H19" i="81"/>
  <c r="H18" i="81"/>
  <c r="H17" i="81"/>
  <c r="H16" i="81"/>
  <c r="H15" i="81"/>
  <c r="H14" i="81"/>
  <c r="H13" i="81"/>
  <c r="H12" i="81"/>
  <c r="H11" i="81"/>
  <c r="H10" i="81"/>
  <c r="H9" i="81"/>
  <c r="H8" i="81"/>
  <c r="B2" i="81"/>
  <c r="B2" i="80"/>
  <c r="I34" i="83" l="1"/>
  <c r="C19" i="84"/>
  <c r="D19" i="84"/>
  <c r="I21" i="82"/>
  <c r="H22" i="81"/>
  <c r="C29" i="79"/>
  <c r="B2" i="79"/>
  <c r="B2" i="37"/>
  <c r="J23" i="36"/>
  <c r="I23" i="36"/>
  <c r="G23" i="36"/>
  <c r="F23" i="36"/>
  <c r="H23" i="36" s="1"/>
  <c r="J21" i="36"/>
  <c r="I21" i="36"/>
  <c r="K21" i="36" s="1"/>
  <c r="G21" i="36"/>
  <c r="F21" i="36"/>
  <c r="H21" i="36" s="1"/>
  <c r="D21" i="36"/>
  <c r="C21" i="36"/>
  <c r="K20" i="36"/>
  <c r="H20" i="36"/>
  <c r="E20" i="36"/>
  <c r="K19" i="36"/>
  <c r="H19" i="36"/>
  <c r="E19" i="36"/>
  <c r="K18" i="36"/>
  <c r="H18" i="36"/>
  <c r="E18" i="36"/>
  <c r="J16" i="36"/>
  <c r="J24" i="36" s="1"/>
  <c r="I16" i="36"/>
  <c r="G16" i="36"/>
  <c r="F16" i="36"/>
  <c r="D16" i="36"/>
  <c r="C16" i="36"/>
  <c r="K15" i="36"/>
  <c r="H15" i="36"/>
  <c r="E15" i="36"/>
  <c r="K14" i="36"/>
  <c r="H14" i="36"/>
  <c r="E14" i="36"/>
  <c r="K13" i="36"/>
  <c r="H13" i="36"/>
  <c r="E13" i="36"/>
  <c r="K12" i="36"/>
  <c r="H12" i="36"/>
  <c r="E12" i="36"/>
  <c r="K11" i="36"/>
  <c r="H11" i="36"/>
  <c r="E11" i="36"/>
  <c r="K10" i="36"/>
  <c r="H10" i="36"/>
  <c r="E10" i="36"/>
  <c r="K8" i="36"/>
  <c r="H8" i="36"/>
  <c r="B2" i="36"/>
  <c r="E21" i="74"/>
  <c r="E20" i="74"/>
  <c r="E19" i="74"/>
  <c r="E18" i="74"/>
  <c r="E17" i="74"/>
  <c r="E16" i="74"/>
  <c r="E15" i="74"/>
  <c r="E14" i="74"/>
  <c r="E13" i="74"/>
  <c r="E12" i="74"/>
  <c r="E11" i="74"/>
  <c r="E10" i="74"/>
  <c r="E9" i="74"/>
  <c r="E8" i="74"/>
  <c r="D13" i="74"/>
  <c r="C21" i="74"/>
  <c r="C20" i="74"/>
  <c r="C19" i="74"/>
  <c r="C18" i="74"/>
  <c r="C17" i="74"/>
  <c r="C16" i="74"/>
  <c r="C15" i="74"/>
  <c r="C14" i="74"/>
  <c r="C13" i="74"/>
  <c r="C12" i="74"/>
  <c r="C11" i="74"/>
  <c r="C10" i="74"/>
  <c r="C9" i="74"/>
  <c r="C8" i="74"/>
  <c r="B2"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B2" i="64"/>
  <c r="R22" i="35"/>
  <c r="Q22" i="35"/>
  <c r="P22" i="35"/>
  <c r="O22" i="35"/>
  <c r="N22" i="35"/>
  <c r="M22" i="35"/>
  <c r="L22" i="35"/>
  <c r="K22" i="35"/>
  <c r="J22" i="35"/>
  <c r="I22" i="35"/>
  <c r="H22" i="35"/>
  <c r="G22" i="35"/>
  <c r="F22" i="35"/>
  <c r="E22" i="35"/>
  <c r="D22" i="35"/>
  <c r="C22" i="35"/>
  <c r="S21" i="35"/>
  <c r="F21" i="74" s="1"/>
  <c r="S20" i="35"/>
  <c r="F20" i="74" s="1"/>
  <c r="S19" i="35"/>
  <c r="F19" i="74" s="1"/>
  <c r="S18" i="35"/>
  <c r="F18" i="74" s="1"/>
  <c r="S17" i="35"/>
  <c r="F17" i="74" s="1"/>
  <c r="S16" i="35"/>
  <c r="F16" i="74" s="1"/>
  <c r="G16" i="74" s="1"/>
  <c r="H16" i="74" s="1"/>
  <c r="S15" i="35"/>
  <c r="F15" i="74" s="1"/>
  <c r="S14" i="35"/>
  <c r="F14" i="74" s="1"/>
  <c r="S13" i="35"/>
  <c r="F13" i="74" s="1"/>
  <c r="S12" i="35"/>
  <c r="F12" i="74" s="1"/>
  <c r="S11" i="35"/>
  <c r="F11" i="74" s="1"/>
  <c r="S10" i="35"/>
  <c r="F10" i="74" s="1"/>
  <c r="S9" i="35"/>
  <c r="F9" i="74" s="1"/>
  <c r="S8" i="35"/>
  <c r="F8" i="74" s="1"/>
  <c r="G8" i="74" s="1"/>
  <c r="H8" i="74" s="1"/>
  <c r="B2" i="35"/>
  <c r="C36" i="69"/>
  <c r="G14" i="74" l="1"/>
  <c r="H14" i="74" s="1"/>
  <c r="E21" i="36"/>
  <c r="G12" i="74"/>
  <c r="H12" i="74" s="1"/>
  <c r="G20" i="74"/>
  <c r="H20" i="74" s="1"/>
  <c r="K16" i="36"/>
  <c r="F24" i="36"/>
  <c r="F25" i="36" s="1"/>
  <c r="E16" i="36"/>
  <c r="C22" i="74"/>
  <c r="J25" i="36"/>
  <c r="K23" i="36"/>
  <c r="I24" i="36"/>
  <c r="K24" i="36" s="1"/>
  <c r="K25" i="36" s="1"/>
  <c r="G24" i="36"/>
  <c r="H16" i="36"/>
  <c r="G21" i="74"/>
  <c r="H21" i="74" s="1"/>
  <c r="G15" i="74"/>
  <c r="H15" i="74" s="1"/>
  <c r="G9" i="74"/>
  <c r="H9" i="74" s="1"/>
  <c r="G17" i="74"/>
  <c r="H17" i="74" s="1"/>
  <c r="G10" i="74"/>
  <c r="H10" i="74" s="1"/>
  <c r="G18" i="74"/>
  <c r="H18" i="74" s="1"/>
  <c r="G13" i="74"/>
  <c r="H13" i="74" s="1"/>
  <c r="V21" i="64"/>
  <c r="G11" i="74"/>
  <c r="H11" i="74" s="1"/>
  <c r="G19" i="74"/>
  <c r="H19" i="74" s="1"/>
  <c r="S22" i="35"/>
  <c r="H24" i="36" l="1"/>
  <c r="H25" i="36" s="1"/>
  <c r="G25" i="36"/>
  <c r="I25" i="36"/>
  <c r="C14" i="69"/>
  <c r="B2" i="69"/>
  <c r="B2" i="77"/>
  <c r="C46" i="28"/>
  <c r="C15" i="28"/>
  <c r="B2" i="28"/>
  <c r="B2" i="73"/>
  <c r="B2" i="72"/>
  <c r="B2" i="52"/>
  <c r="G6" i="71"/>
  <c r="G13" i="71" s="1"/>
  <c r="F6" i="71"/>
  <c r="F13" i="71" s="1"/>
  <c r="E6" i="71"/>
  <c r="E13" i="71" s="1"/>
  <c r="D6" i="71"/>
  <c r="D13" i="71" s="1"/>
  <c r="C6" i="71"/>
  <c r="C13" i="71" s="1"/>
  <c r="B2" i="71"/>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E32" i="75" s="1"/>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H18" i="75"/>
  <c r="E18" i="75"/>
  <c r="H17" i="75"/>
  <c r="E17" i="75"/>
  <c r="G16" i="75"/>
  <c r="F16" i="75"/>
  <c r="D16" i="75"/>
  <c r="C16" i="75"/>
  <c r="H15" i="75"/>
  <c r="E15" i="75"/>
  <c r="H14" i="75"/>
  <c r="E14" i="75"/>
  <c r="G13" i="75"/>
  <c r="F13" i="75"/>
  <c r="H13" i="75" s="1"/>
  <c r="D13" i="75"/>
  <c r="C13" i="75"/>
  <c r="E13" i="75" s="1"/>
  <c r="H12" i="75"/>
  <c r="E12" i="75"/>
  <c r="H11" i="75"/>
  <c r="E11" i="75"/>
  <c r="H10" i="75"/>
  <c r="E10" i="75"/>
  <c r="H9" i="75"/>
  <c r="E9" i="75"/>
  <c r="H8" i="75"/>
  <c r="E8" i="75"/>
  <c r="G7" i="75"/>
  <c r="F7" i="75"/>
  <c r="D7" i="75"/>
  <c r="C7" i="75"/>
  <c r="E7" i="75" s="1"/>
  <c r="D14" i="74" s="1"/>
  <c r="B2" i="75"/>
  <c r="B2" i="53"/>
  <c r="G14" i="62"/>
  <c r="F14" i="62"/>
  <c r="D14" i="62"/>
  <c r="C14" i="62"/>
  <c r="B2" i="62"/>
  <c r="C6" i="73" l="1"/>
  <c r="C28" i="79" s="1"/>
  <c r="E40" i="75"/>
  <c r="E22" i="75"/>
  <c r="H7" i="75"/>
  <c r="H40" i="75"/>
  <c r="H22" i="75"/>
  <c r="H16" i="75"/>
  <c r="E16" i="75"/>
  <c r="C23" i="69"/>
  <c r="H45" i="75"/>
  <c r="H32" i="75"/>
  <c r="E45" i="75"/>
  <c r="F19" i="75"/>
  <c r="H19" i="75" s="1"/>
  <c r="C19" i="75"/>
  <c r="E19" i="75" s="1"/>
  <c r="G33" i="80" l="1"/>
  <c r="F33" i="80"/>
  <c r="E33" i="80"/>
  <c r="D33" i="80"/>
  <c r="C33" i="80"/>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G39" i="80" l="1"/>
  <c r="C5" i="6"/>
  <c r="G5" i="6"/>
  <c r="F5" i="6"/>
  <c r="E5" i="6"/>
  <c r="D5" i="6"/>
  <c r="G5" i="71"/>
  <c r="F5" i="71"/>
  <c r="E5" i="71"/>
  <c r="D5" i="71"/>
  <c r="C5" i="71"/>
  <c r="C12" i="79" l="1"/>
  <c r="C21" i="77" l="1"/>
  <c r="D16" i="77"/>
  <c r="D17" i="77"/>
  <c r="D15" i="77"/>
  <c r="D12" i="77"/>
  <c r="D13" i="77"/>
  <c r="D11" i="77"/>
  <c r="D8" i="77"/>
  <c r="D9" i="77"/>
  <c r="D7" i="77"/>
  <c r="C20" i="77"/>
  <c r="C19" i="77"/>
  <c r="D21" i="77" l="1"/>
  <c r="D19" i="77"/>
  <c r="D20" i="77"/>
  <c r="C30" i="79"/>
  <c r="C26" i="79"/>
  <c r="C18" i="79"/>
  <c r="C8" i="79"/>
  <c r="C36" i="79" l="1"/>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D21" i="72" l="1"/>
  <c r="G22" i="74" l="1"/>
  <c r="F22" i="74"/>
  <c r="G61" i="53" l="1"/>
  <c r="F61" i="53"/>
  <c r="D61" i="53"/>
  <c r="C61" i="53"/>
  <c r="G53" i="53"/>
  <c r="F53" i="53"/>
  <c r="D53" i="53"/>
  <c r="C53" i="53"/>
  <c r="G34" i="53"/>
  <c r="G45" i="53" s="1"/>
  <c r="F34" i="53"/>
  <c r="F45" i="53" s="1"/>
  <c r="D34" i="53"/>
  <c r="D45" i="53" s="1"/>
  <c r="C34" i="53"/>
  <c r="C45" i="53" s="1"/>
  <c r="D54" i="53" l="1"/>
  <c r="F54" i="53"/>
  <c r="C54" i="53"/>
  <c r="G54" i="53"/>
  <c r="G30" i="53"/>
  <c r="F30" i="53"/>
  <c r="D30" i="53"/>
  <c r="C30" i="53"/>
  <c r="G9" i="53"/>
  <c r="G22" i="53" s="1"/>
  <c r="F9" i="53"/>
  <c r="F22" i="53" s="1"/>
  <c r="D9" i="53"/>
  <c r="D22" i="53" s="1"/>
  <c r="C9" i="53"/>
  <c r="C22" i="53" s="1"/>
  <c r="D31" i="62"/>
  <c r="D41" i="62" s="1"/>
  <c r="C31" i="62"/>
  <c r="C41" i="62" s="1"/>
  <c r="C20" i="62"/>
  <c r="D31" i="53" l="1"/>
  <c r="D56" i="53" s="1"/>
  <c r="D63" i="53" s="1"/>
  <c r="D65" i="53" s="1"/>
  <c r="D67" i="53" s="1"/>
  <c r="G31" i="53"/>
  <c r="G56" i="53" s="1"/>
  <c r="G63" i="53" s="1"/>
  <c r="G65" i="53" s="1"/>
  <c r="G67" i="53" s="1"/>
  <c r="C31" i="53"/>
  <c r="C56" i="53" s="1"/>
  <c r="C63" i="53" s="1"/>
  <c r="C65" i="53" s="1"/>
  <c r="C67" i="53" s="1"/>
  <c r="E22" i="53"/>
  <c r="F31" i="53"/>
  <c r="F56" i="53" s="1"/>
  <c r="F63" i="53" s="1"/>
  <c r="F65" i="53" s="1"/>
  <c r="F67" i="53" s="1"/>
  <c r="H22" i="53"/>
  <c r="G31" i="62"/>
  <c r="G41" i="62" s="1"/>
  <c r="F31" i="62"/>
  <c r="F41" i="62" s="1"/>
  <c r="F20" i="62"/>
  <c r="G20" i="62"/>
  <c r="D20" i="62"/>
  <c r="E41" i="62" l="1"/>
  <c r="E31" i="62"/>
  <c r="D22" i="74"/>
  <c r="E22" i="74"/>
  <c r="H22" i="74" s="1"/>
  <c r="C43" i="28" l="1"/>
  <c r="C31" i="28" l="1"/>
  <c r="C30" i="28" s="1"/>
  <c r="C47" i="28" l="1"/>
  <c r="C52" i="28" s="1"/>
  <c r="C35" i="28"/>
  <c r="C41" i="28" s="1"/>
  <c r="C12" i="28"/>
  <c r="H21" i="53" l="1"/>
  <c r="H67" i="53"/>
  <c r="H66" i="53"/>
  <c r="H65" i="53"/>
  <c r="H64" i="53"/>
  <c r="H63" i="53"/>
  <c r="H61" i="53"/>
  <c r="H60" i="53"/>
  <c r="H59" i="53"/>
  <c r="H58" i="53"/>
  <c r="H56" i="53"/>
  <c r="H54" i="53"/>
  <c r="H53" i="53"/>
  <c r="H52" i="53"/>
  <c r="H51" i="53"/>
  <c r="H50" i="53"/>
  <c r="H49" i="53"/>
  <c r="H48" i="53"/>
  <c r="H47" i="53"/>
  <c r="H45" i="53"/>
  <c r="H44" i="53"/>
  <c r="H43" i="53"/>
  <c r="H42" i="53"/>
  <c r="H41" i="53"/>
  <c r="H40" i="53"/>
  <c r="H39" i="53"/>
  <c r="H38" i="53"/>
  <c r="H37" i="53"/>
  <c r="H36" i="53"/>
  <c r="H35" i="53"/>
  <c r="H34" i="53"/>
  <c r="H31" i="53"/>
  <c r="H30" i="53"/>
  <c r="H29" i="53"/>
  <c r="H28" i="53"/>
  <c r="H27" i="53"/>
  <c r="H26" i="53"/>
  <c r="H25" i="53"/>
  <c r="H24" i="53"/>
  <c r="H20" i="53"/>
  <c r="H19" i="53"/>
  <c r="H18" i="53"/>
  <c r="H17" i="53"/>
  <c r="H16" i="53"/>
  <c r="H15" i="53"/>
  <c r="H14" i="53"/>
  <c r="H13" i="53"/>
  <c r="H12" i="53"/>
  <c r="H11" i="53"/>
  <c r="H10" i="53"/>
  <c r="H9" i="53"/>
  <c r="H8" i="53"/>
  <c r="E24" i="53"/>
  <c r="E25" i="53"/>
  <c r="E26" i="53"/>
  <c r="E27" i="53"/>
  <c r="E28" i="53"/>
  <c r="E29" i="53"/>
  <c r="E30" i="53"/>
  <c r="E31" i="53"/>
  <c r="E34" i="53"/>
  <c r="E35" i="53"/>
  <c r="E36" i="53"/>
  <c r="E37" i="53"/>
  <c r="E38" i="53"/>
  <c r="E39" i="53"/>
  <c r="E40" i="53"/>
  <c r="E41" i="53"/>
  <c r="E42" i="53"/>
  <c r="E43" i="53"/>
  <c r="E44" i="53"/>
  <c r="E45" i="53"/>
  <c r="E47" i="53"/>
  <c r="E48" i="53"/>
  <c r="E49" i="53"/>
  <c r="E50" i="53"/>
  <c r="E51" i="53"/>
  <c r="E52" i="53"/>
  <c r="E53" i="53"/>
  <c r="E54" i="53"/>
  <c r="E56" i="53"/>
  <c r="E58" i="53"/>
  <c r="E59" i="53"/>
  <c r="E60" i="53"/>
  <c r="E61" i="53"/>
  <c r="E63" i="53"/>
  <c r="E64" i="53"/>
  <c r="E65" i="53"/>
  <c r="E66" i="53"/>
  <c r="E67" i="53"/>
  <c r="E9" i="53"/>
  <c r="E10" i="53"/>
  <c r="E11" i="53"/>
  <c r="E12" i="53"/>
  <c r="E13" i="53"/>
  <c r="E14" i="53"/>
  <c r="E15" i="53"/>
  <c r="E16" i="53"/>
  <c r="E17" i="53"/>
  <c r="E18" i="53"/>
  <c r="E19" i="53"/>
  <c r="E20" i="53"/>
  <c r="E21" i="53"/>
  <c r="E8" i="53"/>
  <c r="H41" i="62"/>
  <c r="H8" i="62"/>
  <c r="H9" i="62"/>
  <c r="H10" i="62"/>
  <c r="H11" i="62"/>
  <c r="H12" i="62"/>
  <c r="H13" i="62"/>
  <c r="H14"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C7" i="28" s="1"/>
  <c r="C38" i="69" s="1"/>
  <c r="E34" i="62"/>
  <c r="E35" i="62"/>
  <c r="E36" i="62"/>
  <c r="E37" i="62"/>
  <c r="E38" i="62"/>
  <c r="C11" i="28" s="1"/>
  <c r="C43" i="69" s="1"/>
  <c r="E39" i="62"/>
  <c r="E40" i="62"/>
  <c r="E23" i="62"/>
  <c r="C27" i="69" s="1"/>
  <c r="E24" i="62"/>
  <c r="C28" i="69" s="1"/>
  <c r="E25" i="62"/>
  <c r="C29" i="69" s="1"/>
  <c r="E26" i="62"/>
  <c r="C30" i="69" s="1"/>
  <c r="E27" i="62"/>
  <c r="C31" i="69" s="1"/>
  <c r="E28" i="62"/>
  <c r="C32" i="69" s="1"/>
  <c r="E29" i="62"/>
  <c r="C33" i="69" s="1"/>
  <c r="E30" i="62"/>
  <c r="C35" i="69" s="1"/>
  <c r="E22" i="62"/>
  <c r="C26" i="69" s="1"/>
  <c r="E8" i="62"/>
  <c r="E9" i="62"/>
  <c r="E10" i="62"/>
  <c r="E11" i="62"/>
  <c r="E12" i="62"/>
  <c r="E13" i="62"/>
  <c r="E14" i="62"/>
  <c r="C15" i="72" s="1"/>
  <c r="E15" i="72" s="1"/>
  <c r="E15" i="62"/>
  <c r="E16" i="62"/>
  <c r="E17" i="62"/>
  <c r="E18" i="62"/>
  <c r="E19" i="62"/>
  <c r="E20" i="62"/>
  <c r="E7" i="62"/>
  <c r="C37" i="69" l="1"/>
  <c r="C6" i="28"/>
  <c r="C28" i="28" s="1"/>
  <c r="C35" i="79" s="1"/>
  <c r="C38" i="79" s="1"/>
  <c r="C24" i="69"/>
  <c r="C20" i="72"/>
  <c r="E20" i="72" s="1"/>
  <c r="C19" i="72"/>
  <c r="E19" i="72" s="1"/>
  <c r="C22" i="69"/>
  <c r="C17" i="69"/>
  <c r="C17" i="72"/>
  <c r="E17" i="72" s="1"/>
  <c r="C16" i="72"/>
  <c r="E16" i="72" s="1"/>
  <c r="C16" i="69"/>
  <c r="C18" i="72"/>
  <c r="E18" i="72" s="1"/>
  <c r="C18" i="69"/>
  <c r="C11" i="69"/>
  <c r="C13" i="72"/>
  <c r="E13" i="72" s="1"/>
  <c r="C12" i="72"/>
  <c r="E12" i="72" s="1"/>
  <c r="C10" i="69"/>
  <c r="C11" i="72"/>
  <c r="E11" i="72" s="1"/>
  <c r="C9" i="69"/>
  <c r="C7" i="69"/>
  <c r="C9" i="72"/>
  <c r="E9" i="72" s="1"/>
  <c r="C8" i="72"/>
  <c r="C6" i="69"/>
  <c r="C14" i="72"/>
  <c r="E14" i="72" s="1"/>
  <c r="C12" i="69"/>
  <c r="C10" i="72"/>
  <c r="E10" i="72" s="1"/>
  <c r="C8" i="69"/>
  <c r="C45" i="69"/>
  <c r="E8" i="72" l="1"/>
  <c r="E21" i="72" s="1"/>
  <c r="C5" i="73" s="1"/>
  <c r="C8" i="73" s="1"/>
  <c r="C13" i="73" s="1"/>
  <c r="C21" i="72"/>
  <c r="C15" i="69"/>
  <c r="C25" i="69" s="1"/>
</calcChain>
</file>

<file path=xl/sharedStrings.xml><?xml version="1.0" encoding="utf-8"?>
<sst xmlns="http://schemas.openxmlformats.org/spreadsheetml/2006/main" count="1594" uniqueCount="1035">
  <si>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</si>
  <si>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</si>
  <si>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</si>
  <si>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</si>
  <si>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</si>
  <si>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</si>
  <si>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</si>
  <si>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</si>
  <si>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</si>
  <si>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</si>
  <si>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</si>
  <si>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</si>
  <si>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</si>
  <si>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</si>
  <si>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</si>
  <si>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</si>
  <si>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</si>
  <si>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</si>
  <si>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</si>
  <si>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</si>
  <si>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</si>
  <si>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</si>
  <si>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</si>
  <si>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</si>
  <si>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</si>
  <si>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</si>
  <si>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</si>
  <si>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</si>
  <si>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</si>
  <si>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</si>
  <si>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</si>
  <si>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</si>
  <si>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</si>
  <si>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</si>
  <si>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</si>
  <si>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</si>
  <si>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</si>
  <si>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</si>
  <si>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</si>
  <si>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</si>
  <si>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</si>
  <si>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</si>
  <si>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</si>
  <si>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</si>
  <si>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</si>
  <si>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</si>
  <si>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</si>
  <si>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</si>
  <si>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</si>
  <si>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</si>
  <si>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</si>
  <si>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</si>
  <si>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</si>
  <si>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</si>
  <si>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</si>
  <si>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</si>
  <si>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</si>
  <si>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</si>
  <si>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</si>
  <si>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</si>
  <si>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</si>
  <si>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</si>
  <si>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</si>
  <si>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</si>
  <si>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</si>
  <si>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</si>
  <si>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</si>
  <si>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</si>
  <si>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</si>
  <si>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</si>
  <si>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</si>
  <si>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</si>
  <si>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</si>
  <si>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</si>
  <si>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</si>
  <si>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</si>
  <si>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</si>
  <si>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</si>
  <si>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</si>
  <si>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</si>
  <si>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</si>
  <si>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</si>
  <si>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</si>
  <si>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</si>
  <si>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</si>
  <si>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</si>
  <si>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</si>
  <si>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</si>
  <si>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</si>
  <si>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</si>
  <si>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</si>
  <si>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</si>
  <si>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</si>
  <si>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</si>
  <si>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</si>
  <si>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</si>
  <si>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</si>
  <si>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</si>
  <si>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</si>
  <si>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</si>
  <si>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</si>
  <si>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</si>
  <si>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</si>
  <si>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</si>
  <si>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</si>
  <si>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</si>
  <si>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</si>
  <si>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</si>
  <si>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</si>
  <si>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</si>
  <si>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</si>
  <si>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</si>
  <si>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</si>
  <si>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</si>
  <si>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</si>
  <si>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</si>
  <si>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</si>
  <si>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</si>
  <si>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</si>
  <si>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</si>
  <si>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</si>
  <si>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</si>
  <si>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</si>
  <si>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</si>
  <si>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</si>
  <si>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</si>
  <si>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</si>
  <si>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</si>
  <si>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</si>
  <si>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</si>
  <si>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</si>
  <si>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</si>
  <si>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</si>
  <si>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</si>
  <si>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</si>
  <si>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</si>
  <si>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</si>
  <si>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</si>
  <si>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</si>
  <si>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</si>
  <si>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</si>
  <si>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</si>
  <si>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</si>
  <si>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</si>
  <si>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</si>
  <si>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</si>
  <si>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</si>
  <si>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</si>
  <si>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</si>
  <si>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</si>
  <si>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</si>
  <si>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</si>
  <si>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</si>
  <si>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</si>
  <si>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</si>
  <si>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</si>
  <si>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</si>
  <si>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</si>
  <si>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</si>
  <si>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</si>
  <si>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</si>
  <si>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</si>
  <si>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</si>
  <si>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</si>
  <si>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</si>
  <si>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</si>
  <si>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</si>
  <si>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</si>
  <si>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</si>
  <si>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</si>
  <si>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</si>
  <si>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</si>
  <si>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</si>
  <si>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</si>
  <si>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</si>
  <si>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</si>
  <si>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</si>
  <si>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</si>
  <si>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</si>
  <si>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</si>
  <si>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</si>
  <si>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</si>
  <si>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</si>
  <si>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</si>
  <si>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</si>
  <si>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</si>
  <si>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</si>
  <si>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</si>
  <si>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</si>
  <si>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</si>
  <si>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</si>
  <si>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</si>
  <si>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</si>
  <si>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</si>
  <si>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</si>
  <si>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</si>
  <si>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</si>
  <si>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</si>
  <si>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</si>
  <si>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</si>
  <si>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</si>
  <si>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</si>
  <si>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</si>
  <si>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</si>
  <si>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</si>
  <si>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</si>
  <si>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</si>
  <si>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</si>
  <si>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</si>
  <si>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</si>
  <si>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</si>
  <si>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</si>
  <si>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</si>
  <si>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</si>
  <si>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</si>
  <si>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</si>
  <si>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</si>
  <si>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</si>
  <si>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</si>
  <si>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</si>
  <si>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</si>
  <si>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</si>
  <si>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</si>
  <si>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</si>
  <si>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</si>
  <si>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</si>
  <si>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</si>
  <si>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</si>
  <si>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</si>
  <si>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</si>
  <si>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</si>
  <si>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</si>
  <si>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</si>
  <si>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</si>
  <si>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</si>
  <si>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</si>
  <si>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</si>
  <si>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</si>
  <si>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</si>
  <si>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</si>
  <si>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</si>
  <si>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</si>
  <si>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</si>
  <si>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</si>
  <si>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</si>
  <si>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</si>
  <si>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</si>
  <si>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</si>
  <si>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</si>
  <si>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</si>
  <si>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</si>
  <si>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</si>
  <si>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</si>
  <si>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</si>
  <si>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</si>
  <si>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</si>
  <si>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</si>
  <si>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</si>
  <si>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</si>
  <si>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</si>
  <si>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</si>
  <si>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</si>
  <si>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</si>
  <si>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</si>
  <si>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</si>
  <si>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</si>
  <si>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</si>
  <si>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</si>
  <si>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</si>
  <si>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</si>
  <si>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</si>
  <si>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</si>
  <si>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</si>
  <si>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</si>
  <si>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</si>
  <si>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</si>
  <si>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</si>
  <si>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</si>
  <si>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</si>
  <si>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</si>
  <si>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</si>
  <si>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</si>
  <si>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</si>
  <si>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</si>
  <si>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</si>
  <si>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</si>
  <si>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</si>
  <si>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</si>
  <si>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</si>
  <si>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</si>
  <si>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</si>
  <si>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</si>
  <si>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</si>
  <si>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</si>
  <si>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</si>
  <si>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</si>
  <si>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</si>
  <si>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</si>
  <si>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</si>
  <si>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</si>
  <si>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</si>
  <si>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</si>
  <si>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</si>
  <si>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</si>
  <si>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</si>
  <si>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</si>
  <si>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</si>
  <si>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</si>
  <si>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</si>
  <si>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</si>
  <si>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</si>
  <si>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</si>
  <si>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</si>
  <si>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</si>
  <si>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</si>
  <si>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</si>
  <si>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</si>
  <si>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</si>
  <si>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</si>
  <si>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</si>
  <si>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</si>
  <si>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</si>
  <si>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</si>
  <si>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</si>
  <si>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</si>
  <si>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</si>
  <si>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</si>
  <si>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</si>
  <si>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</si>
  <si>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</si>
  <si>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</si>
  <si>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</si>
  <si>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</si>
  <si>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</si>
  <si>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</si>
  <si>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</si>
  <si>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</si>
  <si>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</si>
  <si>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</si>
  <si>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</si>
  <si>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</si>
  <si>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</si>
  <si>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</si>
  <si>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</si>
  <si>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</si>
  <si>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</si>
  <si>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</si>
  <si>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</si>
  <si>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</si>
  <si>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</si>
  <si>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</si>
  <si>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</si>
  <si>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</si>
  <si>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</si>
  <si>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</si>
  <si>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</si>
  <si>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</si>
  <si>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</si>
  <si>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</si>
  <si>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</si>
  <si>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</si>
  <si>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</si>
  <si>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</si>
  <si>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</si>
  <si>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</si>
  <si>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</si>
  <si>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</si>
  <si>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</si>
  <si>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</si>
  <si>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</si>
  <si>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</si>
  <si>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</si>
  <si>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</si>
  <si>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</si>
  <si>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</si>
  <si>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</si>
  <si>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</si>
  <si>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</si>
  <si>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</si>
  <si>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</si>
  <si>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</si>
  <si>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</si>
  <si>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</si>
  <si>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</si>
  <si>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</si>
  <si>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</si>
  <si>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</si>
  <si>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</si>
  <si>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</si>
  <si>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</si>
  <si>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</si>
  <si>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</si>
  <si>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</si>
  <si>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</si>
  <si>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</si>
  <si>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</si>
  <si>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</si>
  <si>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</si>
  <si>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</si>
  <si>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</si>
  <si>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</si>
  <si>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</si>
  <si>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</si>
  <si>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</si>
  <si>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</si>
  <si>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</si>
  <si>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</si>
  <si>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</si>
  <si>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</si>
  <si>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</si>
  <si>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</si>
  <si>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</si>
  <si>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</si>
  <si>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</si>
  <si>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</si>
  <si>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</si>
  <si>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</si>
  <si>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</si>
  <si>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</si>
  <si>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</si>
  <si>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</si>
  <si>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</si>
  <si>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</si>
  <si>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</si>
  <si>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</si>
  <si>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</si>
  <si>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</si>
  <si>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</si>
  <si>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</si>
  <si>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</si>
  <si>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</si>
  <si>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</si>
  <si>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</si>
  <si>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</si>
  <si>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</si>
  <si>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</si>
  <si>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</si>
  <si>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</si>
  <si>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</si>
  <si>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</si>
  <si>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</si>
  <si>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</si>
  <si>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</si>
  <si>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</si>
  <si>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</si>
  <si>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</si>
  <si>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</si>
  <si>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</si>
  <si>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</si>
  <si>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</si>
  <si>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</si>
  <si>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</si>
  <si>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</si>
  <si>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</si>
  <si>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</si>
  <si>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</si>
  <si>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</si>
  <si>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</si>
  <si>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</si>
  <si>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</si>
  <si>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</si>
  <si>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</si>
  <si>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</si>
  <si>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</si>
  <si>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</si>
  <si>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</si>
  <si>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</si>
  <si>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</si>
  <si>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</si>
  <si>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</si>
  <si>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</si>
  <si>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</si>
  <si>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</si>
  <si>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</si>
  <si>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</si>
  <si>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</si>
  <si>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</si>
  <si>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</si>
  <si>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</si>
  <si>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</si>
  <si>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</si>
  <si>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</si>
  <si>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</si>
  <si>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</si>
  <si>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</si>
  <si>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</si>
  <si>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</si>
  <si>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</si>
  <si>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</si>
  <si>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</si>
  <si>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</si>
  <si>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</si>
  <si>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</si>
  <si>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</si>
  <si>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</si>
  <si>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</si>
  <si>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</si>
  <si>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</si>
  <si>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</si>
  <si>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</si>
  <si>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</si>
  <si>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</si>
  <si>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</si>
  <si>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</si>
  <si>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</si>
  <si>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</si>
  <si>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</si>
  <si>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</si>
  <si>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</si>
  <si>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</si>
  <si>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</si>
  <si>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</si>
  <si>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</si>
  <si>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</si>
  <si>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</si>
  <si>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</si>
  <si>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</si>
  <si>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</si>
  <si>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</si>
  <si>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</si>
  <si>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</si>
  <si>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</si>
  <si>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</si>
  <si>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</si>
  <si>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</si>
  <si>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</si>
  <si>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</si>
  <si>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</si>
  <si>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</si>
  <si>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</si>
  <si>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</si>
  <si>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</si>
  <si>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</si>
  <si>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</si>
  <si>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</si>
  <si>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</si>
  <si>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</si>
  <si>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</si>
  <si>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</si>
  <si>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</si>
  <si>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</si>
  <si>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</si>
  <si>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</si>
  <si>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</si>
  <si>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</si>
  <si>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</si>
  <si>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</si>
  <si>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</si>
  <si>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</si>
  <si>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</si>
  <si>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</si>
  <si>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</si>
  <si>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</si>
  <si>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</si>
  <si>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</si>
  <si>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</si>
  <si>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</si>
  <si>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</si>
  <si>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</si>
  <si>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</si>
  <si>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</si>
  <si>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</si>
  <si>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</si>
  <si>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</si>
  <si>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</si>
  <si>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</si>
  <si>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</si>
  <si>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</si>
  <si>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</si>
  <si>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</si>
  <si>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</si>
  <si>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</si>
  <si>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</si>
  <si>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</si>
  <si>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</si>
  <si>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</si>
  <si>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</si>
  <si>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</si>
  <si>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</si>
  <si>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</si>
  <si>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</si>
  <si>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</si>
  <si>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</si>
  <si>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</si>
  <si>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</si>
  <si>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</si>
  <si>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</si>
  <si>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</si>
  <si>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</si>
  <si>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</si>
  <si>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</si>
  <si>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</si>
  <si>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</si>
  <si>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</si>
  <si>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</si>
  <si>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</si>
  <si>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</si>
  <si>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</si>
  <si>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</si>
  <si>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</si>
  <si>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</si>
  <si>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</si>
  <si>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</si>
  <si>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</si>
  <si>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</si>
  <si>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</si>
  <si>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</si>
  <si>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</si>
  <si>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</si>
  <si>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</si>
  <si>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</si>
  <si>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</si>
  <si>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</si>
  <si>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</si>
  <si>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</si>
  <si>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</si>
  <si>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</si>
  <si>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</si>
  <si>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</si>
  <si>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</si>
  <si>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</si>
  <si>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</si>
  <si>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</si>
  <si>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</si>
  <si>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</si>
  <si>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</si>
  <si>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</si>
  <si>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</si>
  <si>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</si>
  <si>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</si>
  <si>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</si>
  <si>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</si>
  <si>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</si>
  <si>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</si>
  <si>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</si>
  <si>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</si>
  <si>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</si>
  <si>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</si>
  <si>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</si>
  <si>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</si>
  <si>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</si>
  <si>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</si>
  <si>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</si>
  <si>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</si>
  <si>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</si>
  <si>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</si>
  <si>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</si>
  <si>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</si>
  <si>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</si>
  <si>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</si>
  <si>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</si>
  <si>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</si>
  <si>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</si>
  <si>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</si>
  <si>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</si>
  <si>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</si>
  <si>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</si>
  <si>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</si>
  <si>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</si>
  <si>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</si>
  <si>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</si>
  <si>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</si>
  <si>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</si>
  <si>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</si>
  <si>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</si>
  <si>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</si>
  <si>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</si>
  <si>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</si>
  <si>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</si>
  <si>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</si>
  <si>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</si>
  <si>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</si>
  <si>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</si>
  <si>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</si>
  <si>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</si>
  <si>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</si>
  <si>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</si>
  <si>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</si>
  <si>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</si>
  <si>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</si>
  <si>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</si>
  <si>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</si>
  <si>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</si>
  <si>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</si>
  <si>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</si>
  <si>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</si>
  <si>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</si>
  <si>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</si>
  <si>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</si>
  <si>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</si>
  <si>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</si>
  <si>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</si>
  <si>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</si>
  <si>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</si>
  <si>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</si>
  <si>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</si>
  <si>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</si>
  <si>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</si>
  <si>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</si>
  <si>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</si>
  <si>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</si>
  <si>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</si>
  <si>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</si>
  <si>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</si>
  <si>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</si>
  <si>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</si>
  <si>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</si>
  <si>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</si>
  <si>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</si>
  <si>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</si>
  <si>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</si>
  <si>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</si>
  <si>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</si>
  <si>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</si>
  <si>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</si>
  <si>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</si>
  <si>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</si>
  <si>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</si>
  <si>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</si>
  <si>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</si>
  <si>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</si>
  <si>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</si>
  <si>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</si>
  <si>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</si>
  <si>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</si>
  <si>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</si>
  <si>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</si>
  <si>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</si>
  <si>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</si>
  <si>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</si>
  <si>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</si>
  <si>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</si>
  <si>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</si>
  <si>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</si>
  <si>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</si>
  <si>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</si>
  <si>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</si>
  <si>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</si>
  <si>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</si>
  <si>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</si>
  <si>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</si>
  <si>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</si>
  <si>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</si>
  <si>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</si>
  <si>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</si>
  <si>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</si>
  <si>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</si>
  <si>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</si>
  <si>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</si>
  <si>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</si>
  <si>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</si>
  <si>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</si>
  <si>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</si>
  <si>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</si>
  <si>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</si>
  <si>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</si>
  <si>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</si>
  <si>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</si>
  <si>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</si>
  <si>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</si>
  <si>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</si>
  <si>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</si>
  <si>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</si>
  <si>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</si>
  <si>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</si>
  <si>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</si>
  <si>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</si>
  <si>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</si>
  <si>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</si>
  <si>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</si>
  <si>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</si>
  <si>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</si>
  <si>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</si>
  <si>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</si>
  <si>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</si>
  <si>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</si>
  <si>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</si>
  <si>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</si>
  <si>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</si>
  <si>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</si>
  <si>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</si>
  <si>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</si>
  <si>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</si>
  <si>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</si>
  <si>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</si>
  <si>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</si>
  <si>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</si>
  <si>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</si>
  <si>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</si>
  <si>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</si>
  <si>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</si>
  <si>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</si>
  <si>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</si>
  <si>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</si>
  <si>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</si>
  <si>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</si>
  <si>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</si>
  <si>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</si>
  <si>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</si>
  <si>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</si>
  <si>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</si>
  <si>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</si>
  <si>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</si>
  <si>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</si>
  <si>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</si>
  <si>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</si>
  <si>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</si>
  <si>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</si>
  <si>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</si>
  <si>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</si>
  <si>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</si>
  <si>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</si>
  <si>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</si>
  <si>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</si>
  <si>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</si>
  <si>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</si>
  <si>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</si>
  <si>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</si>
  <si>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</si>
  <si>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</si>
  <si>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</si>
  <si>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</si>
  <si>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</si>
  <si>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</si>
  <si>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</si>
  <si>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</si>
  <si>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</si>
  <si>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</si>
  <si>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</si>
  <si>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</si>
  <si>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</si>
  <si>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</si>
  <si>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</si>
  <si>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</si>
  <si>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</si>
  <si>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</si>
  <si>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</si>
  <si>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</si>
  <si>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</si>
  <si>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</si>
  <si>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</si>
  <si>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</si>
  <si>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</si>
  <si>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</si>
  <si>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</si>
  <si>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</si>
  <si>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</si>
  <si>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</si>
  <si>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</si>
  <si>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</si>
  <si>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</si>
  <si>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</si>
  <si>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</si>
  <si>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</si>
  <si>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</si>
  <si>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</si>
  <si>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</si>
  <si>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</si>
  <si>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</si>
  <si>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</si>
  <si>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</si>
  <si>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</si>
  <si>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</si>
  <si>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</si>
  <si>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</si>
  <si>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</si>
  <si>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</si>
  <si>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</si>
  <si>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</si>
  <si>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</si>
  <si>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</si>
  <si>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</si>
  <si>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</si>
  <si>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</si>
  <si>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</si>
  <si>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</si>
  <si>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</si>
  <si>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</si>
  <si>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</si>
  <si>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</si>
  <si>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</si>
  <si>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</si>
  <si>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</si>
  <si>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</si>
  <si>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</si>
  <si>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</si>
  <si>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</si>
  <si>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</si>
  <si>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</si>
  <si>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</si>
  <si>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</si>
  <si>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</si>
  <si>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</si>
  <si>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</si>
  <si>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</si>
  <si>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</si>
  <si>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</si>
  <si>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</si>
  <si>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</si>
  <si>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</si>
  <si>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</si>
  <si>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</si>
  <si>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</si>
  <si>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</si>
  <si>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</si>
  <si>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</si>
  <si>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</si>
  <si>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</si>
  <si>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</si>
  <si>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</si>
  <si>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</si>
  <si>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</si>
  <si>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</si>
  <si>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</si>
  <si>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</si>
  <si>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</si>
  <si>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</si>
  <si>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</si>
  <si>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</si>
  <si>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</si>
  <si>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</si>
  <si>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</si>
  <si>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</si>
  <si>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</si>
  <si>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</si>
  <si>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</si>
  <si>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</si>
  <si>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</si>
  <si>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</si>
  <si>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</si>
  <si>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</si>
  <si>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</si>
  <si>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</si>
  <si>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</si>
  <si>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</si>
  <si>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</si>
  <si>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</si>
  <si>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</si>
  <si>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</si>
  <si>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</si>
  <si>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</si>
  <si>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</si>
  <si>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</si>
  <si>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</si>
  <si>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</si>
  <si>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</si>
  <si>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</si>
  <si>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</si>
  <si>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</si>
  <si>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</si>
  <si>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</si>
  <si>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</si>
  <si>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</si>
  <si>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</si>
  <si>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სს იშბანკი საქართველო</t>
  </si>
  <si>
    <t>ოზან გური</t>
  </si>
  <si>
    <t>www.isbank.ge</t>
  </si>
  <si>
    <t>ნათია ჯანელიძე</t>
  </si>
  <si>
    <t>ჰუსეინ სერდარ იუჯელ</t>
  </si>
  <si>
    <t>ოზან გურ</t>
  </si>
  <si>
    <t>ჰაკან ქურალ</t>
  </si>
  <si>
    <t>უჩა სარალიძე</t>
  </si>
  <si>
    <t>არადამოუკიდებელი თავმჯდომარე</t>
  </si>
  <si>
    <t>არადამოუკიდებელ წევრი</t>
  </si>
  <si>
    <t>დამოუკიდებელი წევრი</t>
  </si>
  <si>
    <t>გენერალური დირექტორი</t>
  </si>
  <si>
    <t>გენერალური დირექტორის მოადგილე</t>
  </si>
  <si>
    <t>ფინანსური დირექტორი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</si>
  <si>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</si>
  <si>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</si>
  <si>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</si>
  <si>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ცხრილი 9 (Capital), N37</t>
  </si>
  <si>
    <t>ცხრილი 9 (Capital), N2</t>
  </si>
  <si>
    <t>ცხრილი 9 (Capital), N6</t>
  </si>
  <si>
    <t>ცხრილი 26</t>
  </si>
  <si>
    <t>საცალო პროდუქტები</t>
  </si>
  <si>
    <t>შესაძლო დანაკარგების რეზერვი</t>
  </si>
  <si>
    <t xml:space="preserve">სესხების რაოდენობა </t>
  </si>
  <si>
    <t>საშუალო შეწონილი ნომინალური საპროცენტო განაკვეთი კვარტლის შიგნით გაცემულ სესხებზე</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</si>
  <si>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</si>
  <si>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(მთლიანი ღირებულებაზე)</t>
  </si>
  <si>
    <t>სესხების საშუალო შეწონილი ვადიანობა დარჩენილი ვადის მიხედვით (თვეებში)</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</si>
  <si>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</si>
  <si>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</si>
  <si>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</si>
  <si>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</si>
  <si>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</si>
  <si>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</si>
  <si>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</si>
  <si>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</si>
  <si>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</si>
  <si>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</si>
  <si>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</si>
  <si>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</si>
  <si>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</si>
  <si>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</si>
  <si>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</si>
  <si>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განმარტებები გვერდებისთვის  "17-26"</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</si>
  <si>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</si>
  <si>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</si>
  <si>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</si>
  <si>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</si>
  <si>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</si>
  <si>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</si>
  <si>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</si>
  <si>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</si>
  <si>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</si>
  <si>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</si>
  <si>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</si>
  <si>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</si>
  <si>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</si>
  <si>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</si>
  <si>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</si>
  <si>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</si>
  <si>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</si>
  <si>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</si>
  <si>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</si>
  <si>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</si>
  <si>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</si>
  <si>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</si>
  <si>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მთლიანი ღირებულება, ანგარიშგების თარიღისთვის. (არ შედის დარიცხული პროცენტი, ჯარიმა).</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</si>
  <si>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</si>
  <si>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პორტფელში არსებული სესხების რაოდენობა.</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</si>
  <si>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</si>
  <si>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</si>
  <si>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</si>
  <si>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</si>
  <si>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ზოგადი და ხარისხობრივი ინფორმაცია საცალო პროდუქტებზე</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</si>
  <si>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</si>
  <si>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ვასილ აფხაზავა</t>
  </si>
  <si>
    <t>რისკების დირექტორი</t>
  </si>
  <si>
    <t>ოლგუნ თუფან ქურბანოღლუ</t>
  </si>
  <si>
    <t>ოზან უიარე</t>
  </si>
  <si>
    <t>სერმინ ნაზიმე სარაჩ სოსანოღლუ</t>
  </si>
  <si>
    <t>თამარ სანიკიძე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</si>
</sst>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0">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11"/>
      <color theme="1"/>
      <name val="Sylfaen"/>
      <family val="1"/>
    </font>
    <font>
      <b/>
      <u/>
      <sz val="10"/>
      <color indexed="12"/>
      <name val="Arial"/>
      <family val="2"/>
    </font>
    <font>
      <b/>
      <sz val="10"/>
      <color theme="1"/>
      <name val="Lucida Bright"/>
      <family val="1"/>
    </font>
    <font>
      <b/>
      <sz val="10"/>
      <name val="Arial"/>
      <family val="2"/>
      <charset val="162"/>
    </font>
    <font>
      <sz val="10"/>
      <color theme="1"/>
      <name val="Arial"/>
      <family val="2"/>
    </font>
    <font>
      <sz val="10"/>
      <color rgb="FF333333"/>
      <name val="Arial"/>
      <family val="2"/>
    </font>
    <font>
      <sz val="10"/>
      <name val="Arial"/>
      <family val="2"/>
      <charset val="162"/>
    </font>
    <font>
      <b/>
      <i/>
      <sz val="10"/>
      <name val="Sylfaen"/>
      <family val="1"/>
      <charset val="162"/>
    </font>
    <font>
      <b/>
      <sz val="10"/>
      <color theme="1"/>
      <name val="Arial"/>
      <family val="2"/>
    </font>
    <font>
      <i/>
      <sz val="10"/>
      <color theme="1"/>
      <name val="Arial"/>
      <family val="2"/>
    </font>
    <font>
      <b/>
      <sz val="10"/>
      <color theme="1"/>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s>
  <fills count="84">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14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9" fontId="40"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9" fillId="9" borderId="36"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0" fontId="38"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168" fontId="40" fillId="64" borderId="43" applyNumberFormat="0" applyAlignment="0" applyProtection="0"/>
    <xf numFmtId="169" fontId="40" fillId="64" borderId="43" applyNumberFormat="0" applyAlignment="0" applyProtection="0"/>
    <xf numFmtId="168" fontId="40" fillId="64" borderId="43" applyNumberFormat="0" applyAlignment="0" applyProtection="0"/>
    <xf numFmtId="0" fontId="38" fillId="64" borderId="43" applyNumberFormat="0" applyAlignment="0" applyProtection="0"/>
    <xf numFmtId="0" fontId="41"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0" fontId="42" fillId="10" borderId="39"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169" fontId="43" fillId="65" borderId="44" applyNumberFormat="0" applyAlignment="0" applyProtection="0"/>
    <xf numFmtId="168" fontId="43" fillId="65" borderId="44" applyNumberFormat="0" applyAlignment="0" applyProtection="0"/>
    <xf numFmtId="0" fontId="41"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45">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33" applyNumberFormat="0" applyAlignment="0" applyProtection="0">
      <alignment horizontal="left" vertical="center"/>
    </xf>
    <xf numFmtId="0" fontId="54" fillId="0" borderId="33" applyNumberFormat="0" applyAlignment="0" applyProtection="0">
      <alignment horizontal="left" vertical="center"/>
    </xf>
    <xf numFmtId="168" fontId="54" fillId="0" borderId="33"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6" applyNumberFormat="0" applyFill="0" applyAlignment="0" applyProtection="0"/>
    <xf numFmtId="169" fontId="55" fillId="0" borderId="46" applyNumberFormat="0" applyFill="0" applyAlignment="0" applyProtection="0"/>
    <xf numFmtId="0"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168" fontId="55" fillId="0" borderId="46" applyNumberFormat="0" applyFill="0" applyAlignment="0" applyProtection="0"/>
    <xf numFmtId="169" fontId="55" fillId="0" borderId="46" applyNumberFormat="0" applyFill="0" applyAlignment="0" applyProtection="0"/>
    <xf numFmtId="168" fontId="55" fillId="0" borderId="46" applyNumberFormat="0" applyFill="0" applyAlignment="0" applyProtection="0"/>
    <xf numFmtId="0" fontId="55" fillId="0" borderId="46" applyNumberFormat="0" applyFill="0" applyAlignment="0" applyProtection="0"/>
    <xf numFmtId="0" fontId="56" fillId="0" borderId="47" applyNumberFormat="0" applyFill="0" applyAlignment="0" applyProtection="0"/>
    <xf numFmtId="169" fontId="56" fillId="0" borderId="47" applyNumberFormat="0" applyFill="0" applyAlignment="0" applyProtection="0"/>
    <xf numFmtId="0"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168" fontId="56" fillId="0" borderId="47" applyNumberFormat="0" applyFill="0" applyAlignment="0" applyProtection="0"/>
    <xf numFmtId="169" fontId="56" fillId="0" borderId="47" applyNumberFormat="0" applyFill="0" applyAlignment="0" applyProtection="0"/>
    <xf numFmtId="168" fontId="56" fillId="0" borderId="47"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169"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168" fontId="57" fillId="0" borderId="48" applyNumberFormat="0" applyFill="0" applyAlignment="0" applyProtection="0"/>
    <xf numFmtId="169" fontId="57" fillId="0" borderId="48" applyNumberFormat="0" applyFill="0" applyAlignment="0" applyProtection="0"/>
    <xf numFmtId="168" fontId="57" fillId="0" borderId="48"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9" fontId="68"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7" fillId="8" borderId="36"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0" fontId="66"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168" fontId="68" fillId="43" borderId="43" applyNumberFormat="0" applyAlignment="0" applyProtection="0"/>
    <xf numFmtId="169" fontId="68" fillId="43" borderId="43" applyNumberFormat="0" applyAlignment="0" applyProtection="0"/>
    <xf numFmtId="168" fontId="68" fillId="43" borderId="43" applyNumberFormat="0" applyAlignment="0" applyProtection="0"/>
    <xf numFmtId="0" fontId="66" fillId="43" borderId="43"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9"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0" fontId="69" fillId="0" borderId="49"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0" fontId="70" fillId="0" borderId="38"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168" fontId="71" fillId="0" borderId="49" applyNumberFormat="0" applyFill="0" applyAlignment="0" applyProtection="0"/>
    <xf numFmtId="169" fontId="71" fillId="0" borderId="49" applyNumberFormat="0" applyFill="0" applyAlignment="0" applyProtection="0"/>
    <xf numFmtId="168" fontId="71" fillId="0" borderId="49" applyNumberFormat="0" applyFill="0" applyAlignment="0" applyProtection="0"/>
    <xf numFmtId="0" fontId="69"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50"/>
    <xf numFmtId="169" fontId="26" fillId="0" borderId="50"/>
    <xf numFmtId="168" fontId="26"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168" fontId="2" fillId="0" borderId="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169"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0" borderId="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8" fillId="11" borderId="40"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7"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9" fontId="85"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4" fillId="9" borderId="37"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0" fontId="83"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168" fontId="85" fillId="64" borderId="52" applyNumberFormat="0" applyAlignment="0" applyProtection="0"/>
    <xf numFmtId="169" fontId="85" fillId="64" borderId="52" applyNumberFormat="0" applyAlignment="0" applyProtection="0"/>
    <xf numFmtId="168" fontId="85" fillId="64" borderId="52" applyNumberFormat="0" applyAlignment="0" applyProtection="0"/>
    <xf numFmtId="0" fontId="83" fillId="64" borderId="5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9" fontId="94"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6" fillId="0" borderId="41"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0" fontId="47"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168" fontId="94" fillId="0" borderId="53" applyNumberFormat="0" applyFill="0" applyAlignment="0" applyProtection="0"/>
    <xf numFmtId="169" fontId="94" fillId="0" borderId="53" applyNumberFormat="0" applyFill="0" applyAlignment="0" applyProtection="0"/>
    <xf numFmtId="168" fontId="94" fillId="0" borderId="53" applyNumberFormat="0" applyFill="0" applyAlignment="0" applyProtection="0"/>
    <xf numFmtId="0" fontId="47" fillId="0" borderId="53" applyNumberFormat="0" applyFill="0" applyAlignment="0" applyProtection="0"/>
    <xf numFmtId="0" fontId="25" fillId="0" borderId="54"/>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168" fontId="94" fillId="0" borderId="112" applyNumberFormat="0" applyFill="0" applyAlignment="0" applyProtection="0"/>
    <xf numFmtId="169" fontId="94"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9"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68" fontId="94"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0" fontId="47" fillId="0" borderId="112" applyNumberFormat="0" applyFill="0" applyAlignment="0" applyProtection="0"/>
    <xf numFmtId="188" fontId="2" fillId="70" borderId="106" applyFont="0">
      <alignment horizontal="right" vertical="center"/>
    </xf>
    <xf numFmtId="3" fontId="2" fillId="70" borderId="106" applyFont="0">
      <alignment horizontal="right" vertical="center"/>
    </xf>
    <xf numFmtId="0" fontId="83"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168" fontId="85" fillId="64" borderId="111" applyNumberFormat="0" applyAlignment="0" applyProtection="0"/>
    <xf numFmtId="169" fontId="85"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9"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168" fontId="85"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0" fontId="83" fillId="64" borderId="111" applyNumberFormat="0" applyAlignment="0" applyProtection="0"/>
    <xf numFmtId="3" fontId="2" fillId="75" borderId="106" applyFont="0">
      <alignment horizontal="right" vertical="center"/>
      <protection locked="0"/>
    </xf>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0" fontId="27" fillId="74" borderId="110" applyNumberFormat="0" applyFont="0" applyAlignment="0" applyProtection="0"/>
    <xf numFmtId="3" fontId="2" fillId="72" borderId="106" applyFont="0">
      <alignment horizontal="right" vertical="center"/>
      <protection locked="0"/>
    </xf>
    <xf numFmtId="0" fontId="66"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168" fontId="68" fillId="43" borderId="109" applyNumberFormat="0" applyAlignment="0" applyProtection="0"/>
    <xf numFmtId="169" fontId="68"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9"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168" fontId="68"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66" fillId="43" borderId="109" applyNumberFormat="0" applyAlignment="0" applyProtection="0"/>
    <xf numFmtId="0" fontId="2" fillId="71" borderId="107" applyNumberFormat="0" applyFont="0" applyBorder="0" applyProtection="0">
      <alignment horizontal="left" vertical="center"/>
    </xf>
    <xf numFmtId="9" fontId="2" fillId="71" borderId="106" applyFont="0" applyProtection="0">
      <alignment horizontal="right" vertical="center"/>
    </xf>
    <xf numFmtId="3" fontId="2" fillId="71" borderId="106" applyFont="0" applyProtection="0">
      <alignment horizontal="right" vertical="center"/>
    </xf>
    <xf numFmtId="0" fontId="62" fillId="70" borderId="107" applyFont="0" applyBorder="0">
      <alignment horizontal="center" wrapText="1"/>
    </xf>
    <xf numFmtId="168" fontId="54" fillId="0" borderId="104">
      <alignment horizontal="left" vertical="center"/>
    </xf>
    <xf numFmtId="0" fontId="54" fillId="0" borderId="104">
      <alignment horizontal="left" vertical="center"/>
    </xf>
    <xf numFmtId="0" fontId="54" fillId="0" borderId="104">
      <alignment horizontal="left" vertical="center"/>
    </xf>
    <xf numFmtId="0" fontId="2" fillId="69" borderId="106" applyNumberFormat="0" applyFont="0" applyBorder="0" applyProtection="0">
      <alignment horizontal="center" vertical="center"/>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6" fillId="0" borderId="106" applyNumberFormat="0" applyAlignment="0">
      <alignment horizontal="right"/>
      <protection locked="0"/>
    </xf>
    <xf numFmtId="0" fontId="38"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168" fontId="40" fillId="64" borderId="109" applyNumberFormat="0" applyAlignment="0" applyProtection="0"/>
    <xf numFmtId="169" fontId="40"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9"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168" fontId="40"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38" fillId="64" borderId="109"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cellStyleXfs>
  <cellXfs count="938">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3" fillId="0" borderId="35" xfId="0" applyFont="1" applyBorder="1" applyAlignment="1">
      <alignment wrapText="1"/>
    </xf>
    <xf numFmtId="0" fontId="23"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3" fillId="0" borderId="13" xfId="0" applyFont="1" applyBorder="1" applyAlignment="1">
      <alignment wrapText="1"/>
    </xf>
    <xf numFmtId="0" fontId="18" fillId="0" borderId="13" xfId="0" applyFont="1" applyBorder="1" applyAlignment="1">
      <alignment horizontal="right" wrapText="1"/>
    </xf>
    <xf numFmtId="0" fontId="22" fillId="36" borderId="16" xfId="0" applyFont="1" applyFill="1" applyBorder="1" applyAlignment="1">
      <alignment wrapText="1"/>
    </xf>
    <xf numFmtId="0" fontId="4" fillId="0" borderId="22"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9" xfId="0" applyFont="1" applyBorder="1"/>
    <xf numFmtId="0" fontId="21" fillId="0" borderId="25" xfId="0" applyFont="1" applyBorder="1" applyAlignment="1">
      <alignment horizontal="center"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3" fillId="0" borderId="22" xfId="0" applyFont="1" applyBorder="1" applyAlignment="1">
      <alignment horizontal="center"/>
    </xf>
    <xf numFmtId="167" fontId="23" fillId="0" borderId="68" xfId="0" applyNumberFormat="1" applyFont="1" applyBorder="1" applyAlignment="1">
      <alignment horizontal="center"/>
    </xf>
    <xf numFmtId="167" fontId="23" fillId="0" borderId="66" xfId="0" applyNumberFormat="1" applyFont="1" applyBorder="1" applyAlignment="1">
      <alignment horizontal="center"/>
    </xf>
    <xf numFmtId="167" fontId="18" fillId="0" borderId="66" xfId="0" applyNumberFormat="1" applyFont="1" applyBorder="1" applyAlignment="1">
      <alignment horizontal="center"/>
    </xf>
    <xf numFmtId="167" fontId="23" fillId="0" borderId="69" xfId="0" applyNumberFormat="1" applyFont="1" applyBorder="1" applyAlignment="1">
      <alignment horizontal="center"/>
    </xf>
    <xf numFmtId="167" fontId="22" fillId="36" borderId="61" xfId="0" applyNumberFormat="1" applyFont="1" applyFill="1" applyBorder="1" applyAlignment="1">
      <alignment horizontal="center"/>
    </xf>
    <xf numFmtId="167" fontId="23" fillId="0" borderId="65" xfId="0" applyNumberFormat="1" applyFont="1" applyBorder="1" applyAlignment="1">
      <alignment horizontal="center"/>
    </xf>
    <xf numFmtId="0" fontId="23" fillId="0" borderId="25" xfId="0" applyFont="1" applyBorder="1" applyAlignment="1">
      <alignment horizontal="center"/>
    </xf>
    <xf numFmtId="0" fontId="22" fillId="36" borderId="62" xfId="0" applyFont="1" applyFill="1" applyBorder="1" applyAlignment="1">
      <alignment wrapText="1"/>
    </xf>
    <xf numFmtId="167" fontId="22"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5"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83" xfId="0" applyNumberFormat="1" applyFont="1" applyFill="1" applyBorder="1" applyAlignment="1">
      <alignment horizontal="right" vertical="center"/>
    </xf>
    <xf numFmtId="49" fontId="105" fillId="0" borderId="86" xfId="0" applyNumberFormat="1" applyFont="1" applyFill="1" applyBorder="1" applyAlignment="1">
      <alignment horizontal="right" vertical="center"/>
    </xf>
    <xf numFmtId="49" fontId="105" fillId="0" borderId="9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9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7" fillId="77" borderId="66"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23" fillId="0" borderId="34" xfId="0" applyNumberFormat="1" applyFont="1" applyBorder="1" applyAlignment="1">
      <alignment vertical="center"/>
    </xf>
    <xf numFmtId="193" fontId="23" fillId="0" borderId="14" xfId="0" applyNumberFormat="1" applyFont="1" applyBorder="1" applyAlignment="1">
      <alignment vertical="center"/>
    </xf>
    <xf numFmtId="193" fontId="18" fillId="0" borderId="14" xfId="0" applyNumberFormat="1" applyFont="1" applyBorder="1" applyAlignment="1">
      <alignment vertical="center"/>
    </xf>
    <xf numFmtId="193" fontId="23" fillId="0" borderId="15" xfId="0" applyNumberFormat="1" applyFont="1" applyBorder="1" applyAlignment="1">
      <alignment vertical="center"/>
    </xf>
    <xf numFmtId="193" fontId="22" fillId="36" borderId="17" xfId="0" applyNumberFormat="1" applyFont="1" applyFill="1" applyBorder="1" applyAlignment="1">
      <alignment vertical="center"/>
    </xf>
    <xf numFmtId="193" fontId="23" fillId="0" borderId="18" xfId="0" applyNumberFormat="1" applyFont="1" applyBorder="1" applyAlignment="1">
      <alignment vertical="center"/>
    </xf>
    <xf numFmtId="193" fontId="18" fillId="0" borderId="15" xfId="0" applyNumberFormat="1" applyFont="1" applyBorder="1" applyAlignment="1">
      <alignment vertical="center"/>
    </xf>
    <xf numFmtId="193" fontId="22" fillId="36" borderId="63"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3" fillId="0" borderId="0" xfId="0" applyNumberFormat="1" applyFont="1"/>
    <xf numFmtId="0" fontId="4" fillId="0" borderId="29" xfId="0" applyFont="1" applyBorder="1" applyAlignment="1">
      <alignment horizontal="center" vertical="center"/>
    </xf>
    <xf numFmtId="0" fontId="4" fillId="0" borderId="29"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6" fillId="37" borderId="0" xfId="20" applyBorder="1"/>
    <xf numFmtId="169" fontId="26" fillId="37" borderId="99" xfId="20" applyBorder="1"/>
    <xf numFmtId="0" fontId="4" fillId="0" borderId="7" xfId="0" applyFont="1" applyFill="1" applyBorder="1" applyAlignment="1">
      <alignment vertical="center"/>
    </xf>
    <xf numFmtId="0" fontId="4" fillId="0" borderId="106" xfId="0" applyFont="1" applyFill="1" applyBorder="1" applyAlignment="1">
      <alignment vertical="center"/>
    </xf>
    <xf numFmtId="0" fontId="4" fillId="0" borderId="107" xfId="0" applyFont="1" applyFill="1" applyBorder="1" applyAlignment="1">
      <alignment vertical="center"/>
    </xf>
    <xf numFmtId="0" fontId="6" fillId="0" borderId="106" xfId="0" applyFont="1" applyFill="1" applyBorder="1" applyAlignment="1">
      <alignment vertical="center"/>
    </xf>
    <xf numFmtId="0" fontId="4" fillId="0" borderId="20" xfId="0" applyFont="1" applyFill="1" applyBorder="1" applyAlignment="1">
      <alignment vertical="center"/>
    </xf>
    <xf numFmtId="0" fontId="4" fillId="0" borderId="101" xfId="0" applyFont="1" applyFill="1" applyBorder="1" applyAlignment="1">
      <alignment vertical="center"/>
    </xf>
    <xf numFmtId="0" fontId="4" fillId="0" borderId="103" xfId="0" applyFont="1" applyFill="1" applyBorder="1" applyAlignment="1">
      <alignment vertical="center"/>
    </xf>
    <xf numFmtId="0" fontId="4" fillId="0" borderId="19"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6" xfId="0" applyFont="1" applyFill="1" applyBorder="1" applyAlignment="1">
      <alignment horizontal="center" vertical="center"/>
    </xf>
    <xf numFmtId="169" fontId="26" fillId="37" borderId="33" xfId="20" applyBorder="1"/>
    <xf numFmtId="169" fontId="26" fillId="37" borderId="118" xfId="20" applyBorder="1"/>
    <xf numFmtId="169" fontId="26" fillId="37" borderId="108" xfId="20" applyBorder="1"/>
    <xf numFmtId="169" fontId="26"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04" xfId="0" applyFont="1" applyFill="1" applyBorder="1" applyAlignment="1">
      <alignment vertical="center"/>
    </xf>
    <xf numFmtId="0" fontId="14" fillId="3" borderId="119" xfId="0" applyFont="1" applyFill="1" applyBorder="1" applyAlignment="1">
      <alignment horizontal="left"/>
    </xf>
    <xf numFmtId="0" fontId="14" fillId="3" borderId="120" xfId="0" applyFont="1" applyFill="1" applyBorder="1" applyAlignment="1">
      <alignment horizontal="left"/>
    </xf>
    <xf numFmtId="0" fontId="4" fillId="0" borderId="0" xfId="0" applyFont="1"/>
    <xf numFmtId="0" fontId="4" fillId="0" borderId="0" xfId="0" applyFont="1" applyFill="1"/>
    <xf numFmtId="0" fontId="4" fillId="0" borderId="106" xfId="0" applyFont="1" applyFill="1" applyBorder="1" applyAlignment="1">
      <alignment horizontal="center" vertical="center" wrapText="1"/>
    </xf>
    <xf numFmtId="0" fontId="105" fillId="0" borderId="93" xfId="0" applyFont="1" applyFill="1" applyBorder="1" applyAlignment="1">
      <alignment horizontal="right" vertical="center"/>
    </xf>
    <xf numFmtId="0" fontId="4" fillId="0" borderId="121" xfId="0" applyFont="1" applyFill="1" applyBorder="1" applyAlignment="1">
      <alignment horizontal="center" vertical="center" wrapText="1"/>
    </xf>
    <xf numFmtId="0" fontId="6" fillId="3" borderId="122" xfId="0" applyFont="1" applyFill="1" applyBorder="1" applyAlignment="1">
      <alignment vertical="center"/>
    </xf>
    <xf numFmtId="0" fontId="4" fillId="3" borderId="24" xfId="0" applyFont="1" applyFill="1" applyBorder="1" applyAlignment="1">
      <alignment vertical="center"/>
    </xf>
    <xf numFmtId="0" fontId="4" fillId="0" borderId="123" xfId="0" applyFont="1" applyFill="1" applyBorder="1" applyAlignment="1">
      <alignment horizontal="center" vertical="center"/>
    </xf>
    <xf numFmtId="0" fontId="6" fillId="0" borderId="26" xfId="0" applyFont="1" applyFill="1" applyBorder="1" applyAlignment="1">
      <alignment vertical="center"/>
    </xf>
    <xf numFmtId="169" fontId="26"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3" xfId="0" applyBorder="1"/>
    <xf numFmtId="0" fontId="0" fillId="0" borderId="123" xfId="0" applyBorder="1" applyAlignment="1">
      <alignment horizontal="center"/>
    </xf>
    <xf numFmtId="0" fontId="4" fillId="0" borderId="105" xfId="0" applyFont="1" applyBorder="1" applyAlignment="1">
      <alignment vertical="center" wrapText="1"/>
    </xf>
    <xf numFmtId="0" fontId="14" fillId="0" borderId="105" xfId="0" applyFont="1" applyBorder="1" applyAlignment="1">
      <alignment vertical="center" wrapText="1"/>
    </xf>
    <xf numFmtId="0" fontId="0" fillId="0" borderId="25" xfId="0" applyBorder="1"/>
    <xf numFmtId="0" fontId="6" fillId="36" borderId="124"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3" xfId="0" applyFont="1" applyFill="1" applyBorder="1" applyAlignment="1">
      <alignment horizontal="left" vertical="center" wrapText="1"/>
    </xf>
    <xf numFmtId="0" fontId="6" fillId="36" borderId="106" xfId="0" applyFont="1" applyFill="1" applyBorder="1" applyAlignment="1">
      <alignment horizontal="left" vertical="center" wrapText="1"/>
    </xf>
    <xf numFmtId="0" fontId="6" fillId="36" borderId="121" xfId="0" applyFont="1" applyFill="1" applyBorder="1" applyAlignment="1">
      <alignment horizontal="left" vertical="center" wrapText="1"/>
    </xf>
    <xf numFmtId="0" fontId="4" fillId="0" borderId="123" xfId="0" applyFont="1" applyFill="1" applyBorder="1" applyAlignment="1">
      <alignment horizontal="right" vertical="center" wrapText="1"/>
    </xf>
    <xf numFmtId="0" fontId="4" fillId="0" borderId="106" xfId="0" applyFont="1" applyFill="1" applyBorder="1" applyAlignment="1">
      <alignment horizontal="left" vertical="center" wrapText="1"/>
    </xf>
    <xf numFmtId="0" fontId="108" fillId="0" borderId="123" xfId="0" applyFont="1" applyFill="1" applyBorder="1" applyAlignment="1">
      <alignment horizontal="right" vertical="center" wrapText="1"/>
    </xf>
    <xf numFmtId="0" fontId="108" fillId="0" borderId="106" xfId="0" applyFont="1" applyFill="1" applyBorder="1" applyAlignment="1">
      <alignment horizontal="left" vertical="center" wrapText="1"/>
    </xf>
    <xf numFmtId="0" fontId="6" fillId="0" borderId="123"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5" xfId="5" applyNumberFormat="1" applyFont="1" applyFill="1" applyBorder="1" applyAlignment="1" applyProtection="1">
      <alignment horizontal="left" vertical="center"/>
      <protection locked="0"/>
    </xf>
    <xf numFmtId="0" fontId="110" fillId="0" borderId="26" xfId="9" applyFont="1" applyFill="1" applyBorder="1" applyAlignment="1" applyProtection="1">
      <alignment horizontal="left" vertical="center" wrapText="1"/>
      <protection locked="0"/>
    </xf>
    <xf numFmtId="0" fontId="21" fillId="0" borderId="123" xfId="0" applyFont="1" applyBorder="1" applyAlignment="1">
      <alignment horizontal="center" vertical="center" wrapText="1"/>
    </xf>
    <xf numFmtId="14" fontId="7" fillId="3" borderId="106" xfId="8" quotePrefix="1" applyNumberFormat="1" applyFont="1" applyFill="1" applyBorder="1" applyAlignment="1" applyProtection="1">
      <alignment horizontal="left" vertical="center" wrapText="1" indent="2"/>
      <protection locked="0"/>
    </xf>
    <xf numFmtId="14" fontId="7" fillId="3" borderId="106" xfId="8" quotePrefix="1" applyNumberFormat="1" applyFont="1" applyFill="1" applyBorder="1" applyAlignment="1" applyProtection="1">
      <alignment horizontal="left" vertical="center" wrapText="1" indent="3"/>
      <protection locked="0"/>
    </xf>
    <xf numFmtId="0" fontId="11" fillId="0" borderId="106" xfId="17" applyFill="1" applyBorder="1" applyAlignment="1" applyProtection="1"/>
    <xf numFmtId="49" fontId="108" fillId="0" borderId="123" xfId="0" applyNumberFormat="1" applyFont="1" applyFill="1" applyBorder="1" applyAlignment="1">
      <alignment horizontal="right" vertical="center" wrapText="1"/>
    </xf>
    <xf numFmtId="0" fontId="7" fillId="3" borderId="106" xfId="20960" applyFont="1" applyFill="1" applyBorder="1" applyAlignment="1" applyProtection="1"/>
    <xf numFmtId="0" fontId="102" fillId="0" borderId="106" xfId="20960" applyFont="1" applyFill="1" applyBorder="1" applyAlignment="1" applyProtection="1">
      <alignment horizontal="center" vertical="center"/>
    </xf>
    <xf numFmtId="0" fontId="4" fillId="0" borderId="106" xfId="0" applyFont="1" applyBorder="1"/>
    <xf numFmtId="0" fontId="11" fillId="0" borderId="106" xfId="17" applyFill="1" applyBorder="1" applyAlignment="1" applyProtection="1">
      <alignment horizontal="left" vertical="center" wrapText="1"/>
    </xf>
    <xf numFmtId="49" fontId="108" fillId="0" borderId="106" xfId="0" applyNumberFormat="1" applyFont="1" applyFill="1" applyBorder="1" applyAlignment="1">
      <alignment horizontal="right" vertical="center" wrapText="1"/>
    </xf>
    <xf numFmtId="0" fontId="11" fillId="0" borderId="106" xfId="17" applyFill="1" applyBorder="1" applyAlignment="1" applyProtection="1">
      <alignment horizontal="left" vertical="center"/>
    </xf>
    <xf numFmtId="0" fontId="11" fillId="0" borderId="106" xfId="17" applyBorder="1" applyAlignment="1" applyProtection="1"/>
    <xf numFmtId="0" fontId="4" fillId="0" borderId="106" xfId="0" applyFont="1" applyFill="1" applyBorder="1"/>
    <xf numFmtId="0" fontId="21" fillId="0" borderId="123" xfId="0" applyFont="1" applyFill="1" applyBorder="1" applyAlignment="1">
      <alignment horizontal="center" vertical="center" wrapText="1"/>
    </xf>
    <xf numFmtId="0" fontId="111" fillId="79" borderId="107" xfId="21412" applyFont="1" applyFill="1" applyBorder="1" applyAlignment="1" applyProtection="1">
      <alignment vertical="center" wrapText="1"/>
      <protection locked="0"/>
    </xf>
    <xf numFmtId="0" fontId="112" fillId="70" borderId="101" xfId="21412" applyFont="1" applyFill="1" applyBorder="1" applyAlignment="1" applyProtection="1">
      <alignment horizontal="center" vertical="center"/>
      <protection locked="0"/>
    </xf>
    <xf numFmtId="0" fontId="111"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vertical="center"/>
      <protection locked="0"/>
    </xf>
    <xf numFmtId="0" fontId="113" fillId="70" borderId="101" xfId="21412" applyFont="1" applyFill="1" applyBorder="1" applyAlignment="1" applyProtection="1">
      <alignment horizontal="center" vertical="center"/>
      <protection locked="0"/>
    </xf>
    <xf numFmtId="0" fontId="113" fillId="3" borderId="101" xfId="21412" applyFont="1" applyFill="1" applyBorder="1" applyAlignment="1" applyProtection="1">
      <alignment horizontal="center" vertical="center"/>
      <protection locked="0"/>
    </xf>
    <xf numFmtId="0" fontId="113" fillId="0" borderId="101" xfId="21412" applyFont="1" applyFill="1" applyBorder="1" applyAlignment="1" applyProtection="1">
      <alignment horizontal="center" vertical="center"/>
      <protection locked="0"/>
    </xf>
    <xf numFmtId="0" fontId="114" fillId="80" borderId="106" xfId="21412" applyFont="1" applyFill="1" applyBorder="1" applyAlignment="1" applyProtection="1">
      <alignment horizontal="center" vertical="center"/>
      <protection locked="0"/>
    </xf>
    <xf numFmtId="0" fontId="111" fillId="79" borderId="107" xfId="21412" applyFont="1" applyFill="1" applyBorder="1" applyAlignment="1" applyProtection="1">
      <alignment horizontal="center" vertical="center"/>
      <protection locked="0"/>
    </xf>
    <xf numFmtId="0" fontId="62" fillId="79" borderId="107" xfId="21412" applyFont="1" applyFill="1" applyBorder="1" applyAlignment="1" applyProtection="1">
      <alignment vertical="center"/>
      <protection locked="0"/>
    </xf>
    <xf numFmtId="0" fontId="113" fillId="70" borderId="106" xfId="21412" applyFont="1" applyFill="1" applyBorder="1" applyAlignment="1" applyProtection="1">
      <alignment horizontal="center" vertical="center"/>
      <protection locked="0"/>
    </xf>
    <xf numFmtId="0" fontId="36" fillId="70" borderId="106" xfId="21412" applyFont="1" applyFill="1" applyBorder="1" applyAlignment="1" applyProtection="1">
      <alignment horizontal="center" vertical="center"/>
      <protection locked="0"/>
    </xf>
    <xf numFmtId="0" fontId="62" fillId="79" borderId="105" xfId="21412" applyFont="1" applyFill="1" applyBorder="1" applyAlignment="1" applyProtection="1">
      <alignment vertical="center"/>
      <protection locked="0"/>
    </xf>
    <xf numFmtId="0" fontId="112" fillId="0" borderId="105" xfId="21412" applyFont="1" applyFill="1" applyBorder="1" applyAlignment="1" applyProtection="1">
      <alignment horizontal="left" vertical="center" wrapText="1"/>
      <protection locked="0"/>
    </xf>
    <xf numFmtId="164" fontId="112" fillId="0" borderId="106" xfId="948" applyNumberFormat="1" applyFont="1" applyFill="1" applyBorder="1" applyAlignment="1" applyProtection="1">
      <alignment horizontal="right" vertical="center"/>
      <protection locked="0"/>
    </xf>
    <xf numFmtId="0" fontId="111" fillId="80" borderId="105" xfId="21412" applyFont="1" applyFill="1" applyBorder="1" applyAlignment="1" applyProtection="1">
      <alignment vertical="top" wrapText="1"/>
      <protection locked="0"/>
    </xf>
    <xf numFmtId="164" fontId="112" fillId="80" borderId="106" xfId="948" applyNumberFormat="1" applyFont="1" applyFill="1" applyBorder="1" applyAlignment="1" applyProtection="1">
      <alignment horizontal="right" vertical="center"/>
    </xf>
    <xf numFmtId="164" fontId="62" fillId="79" borderId="105" xfId="948" applyNumberFormat="1" applyFont="1" applyFill="1" applyBorder="1" applyAlignment="1" applyProtection="1">
      <alignment horizontal="right" vertical="center"/>
      <protection locked="0"/>
    </xf>
    <xf numFmtId="0" fontId="112" fillId="70" borderId="105" xfId="21412" applyFont="1" applyFill="1" applyBorder="1" applyAlignment="1" applyProtection="1">
      <alignment vertical="center" wrapText="1"/>
      <protection locked="0"/>
    </xf>
    <xf numFmtId="0" fontId="112" fillId="70" borderId="105" xfId="21412" applyFont="1" applyFill="1" applyBorder="1" applyAlignment="1" applyProtection="1">
      <alignment horizontal="left" vertical="center" wrapText="1"/>
      <protection locked="0"/>
    </xf>
    <xf numFmtId="0" fontId="112" fillId="0" borderId="105" xfId="21412" applyFont="1" applyFill="1" applyBorder="1" applyAlignment="1" applyProtection="1">
      <alignment vertical="center" wrapText="1"/>
      <protection locked="0"/>
    </xf>
    <xf numFmtId="0" fontId="112" fillId="3" borderId="105" xfId="21412" applyFont="1" applyFill="1" applyBorder="1" applyAlignment="1" applyProtection="1">
      <alignment horizontal="left" vertical="center" wrapText="1"/>
      <protection locked="0"/>
    </xf>
    <xf numFmtId="0" fontId="111" fillId="80" borderId="105" xfId="21412" applyFont="1" applyFill="1" applyBorder="1" applyAlignment="1" applyProtection="1">
      <alignment vertical="center" wrapText="1"/>
      <protection locked="0"/>
    </xf>
    <xf numFmtId="164" fontId="111" fillId="79" borderId="105" xfId="948" applyNumberFormat="1" applyFont="1" applyFill="1" applyBorder="1" applyAlignment="1" applyProtection="1">
      <alignment horizontal="right" vertical="center"/>
      <protection locked="0"/>
    </xf>
    <xf numFmtId="164" fontId="112" fillId="3" borderId="106" xfId="948" applyNumberFormat="1" applyFont="1" applyFill="1" applyBorder="1" applyAlignment="1" applyProtection="1">
      <alignment horizontal="right" vertical="center"/>
      <protection locked="0"/>
    </xf>
    <xf numFmtId="1" fontId="6" fillId="36" borderId="121" xfId="0" applyNumberFormat="1" applyFont="1" applyFill="1" applyBorder="1" applyAlignment="1">
      <alignment horizontal="right" vertical="center" wrapText="1"/>
    </xf>
    <xf numFmtId="1" fontId="6" fillId="36" borderId="121" xfId="0" applyNumberFormat="1" applyFont="1" applyFill="1" applyBorder="1" applyAlignment="1">
      <alignment horizontal="center" vertical="center" wrapText="1"/>
    </xf>
    <xf numFmtId="10" fontId="7" fillId="0" borderId="106" xfId="20961" applyNumberFormat="1" applyFont="1" applyFill="1" applyBorder="1" applyAlignment="1">
      <alignment horizontal="left" vertical="center" wrapText="1"/>
    </xf>
    <xf numFmtId="10" fontId="4" fillId="0"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left" vertical="center" wrapText="1"/>
    </xf>
    <xf numFmtId="10" fontId="108" fillId="0" borderId="106" xfId="20961" applyNumberFormat="1" applyFont="1" applyFill="1" applyBorder="1" applyAlignment="1">
      <alignment horizontal="left" vertical="center" wrapText="1"/>
    </xf>
    <xf numFmtId="10" fontId="6" fillId="36" borderId="106" xfId="20961" applyNumberFormat="1" applyFont="1" applyFill="1" applyBorder="1" applyAlignment="1">
      <alignment horizontal="left" vertical="center" wrapText="1"/>
    </xf>
    <xf numFmtId="10" fontId="6" fillId="36" borderId="106" xfId="0" applyNumberFormat="1" applyFont="1" applyFill="1" applyBorder="1" applyAlignment="1">
      <alignment horizontal="center" vertical="center" wrapText="1"/>
    </xf>
    <xf numFmtId="10" fontId="110" fillId="0" borderId="26" xfId="20961" applyNumberFormat="1" applyFont="1" applyFill="1" applyBorder="1" applyAlignment="1" applyProtection="1">
      <alignment horizontal="left" vertical="center"/>
    </xf>
    <xf numFmtId="0" fontId="106" fillId="0" borderId="0" xfId="0" applyFont="1" applyAlignment="1">
      <alignment wrapText="1"/>
    </xf>
    <xf numFmtId="0" fontId="10" fillId="0" borderId="29" xfId="0" applyFont="1" applyBorder="1" applyAlignment="1">
      <alignment horizontal="center" wrapText="1"/>
    </xf>
    <xf numFmtId="0" fontId="10" fillId="0" borderId="8" xfId="0" applyFont="1" applyBorder="1" applyAlignment="1">
      <alignment horizontal="center" vertical="center" wrapText="1"/>
    </xf>
    <xf numFmtId="0" fontId="9" fillId="0" borderId="123" xfId="0" applyFont="1" applyBorder="1" applyAlignment="1">
      <alignment horizontal="right" vertical="center" wrapText="1"/>
    </xf>
    <xf numFmtId="0" fontId="9" fillId="0" borderId="123" xfId="0" applyFont="1" applyFill="1" applyBorder="1" applyAlignment="1">
      <alignment horizontal="right" vertical="center" wrapText="1"/>
    </xf>
    <xf numFmtId="0" fontId="7" fillId="0" borderId="106" xfId="0" applyFont="1" applyFill="1" applyBorder="1" applyAlignment="1">
      <alignment vertical="center" wrapText="1"/>
    </xf>
    <xf numFmtId="0" fontId="4" fillId="0" borderId="106" xfId="0" applyFont="1" applyBorder="1" applyAlignment="1">
      <alignment vertical="center" wrapText="1"/>
    </xf>
    <xf numFmtId="0" fontId="4" fillId="0" borderId="106" xfId="0" applyFont="1" applyFill="1" applyBorder="1" applyAlignment="1">
      <alignment horizontal="left" vertical="center" wrapText="1" indent="2"/>
    </xf>
    <xf numFmtId="0" fontId="4" fillId="0" borderId="106" xfId="0" applyFont="1" applyFill="1" applyBorder="1" applyAlignment="1">
      <alignment vertical="center" wrapText="1"/>
    </xf>
    <xf numFmtId="0" fontId="6" fillId="0" borderId="26" xfId="0" applyFont="1" applyBorder="1" applyAlignment="1">
      <alignment vertical="center" wrapText="1"/>
    </xf>
    <xf numFmtId="0" fontId="4" fillId="0" borderId="121" xfId="0" applyFont="1" applyBorder="1" applyAlignment="1"/>
    <xf numFmtId="0" fontId="9" fillId="0" borderId="121" xfId="0" applyFont="1" applyBorder="1" applyAlignment="1"/>
    <xf numFmtId="0" fontId="9" fillId="0" borderId="121" xfId="0" applyFont="1" applyBorder="1" applyAlignment="1">
      <alignment wrapText="1"/>
    </xf>
    <xf numFmtId="0" fontId="10" fillId="0" borderId="21" xfId="0" applyFont="1" applyBorder="1" applyAlignment="1">
      <alignment horizontal="center"/>
    </xf>
    <xf numFmtId="0" fontId="10" fillId="0" borderId="121" xfId="0" applyFont="1" applyBorder="1" applyAlignment="1">
      <alignment horizontal="center" vertical="center" wrapText="1"/>
    </xf>
    <xf numFmtId="0" fontId="9" fillId="0" borderId="123" xfId="0" applyFont="1" applyFill="1" applyBorder="1" applyAlignment="1">
      <alignment horizontal="center" vertical="center" wrapText="1"/>
    </xf>
    <xf numFmtId="0" fontId="15" fillId="0" borderId="106" xfId="0" applyFont="1" applyFill="1" applyBorder="1" applyAlignment="1">
      <alignment horizontal="center" vertical="center" wrapText="1"/>
    </xf>
    <xf numFmtId="0" fontId="16" fillId="0" borderId="106" xfId="0" applyFont="1" applyFill="1" applyBorder="1" applyAlignment="1">
      <alignment horizontal="left" vertical="center" wrapText="1"/>
    </xf>
    <xf numFmtId="0" fontId="7" fillId="0" borderId="106" xfId="0" applyFont="1" applyBorder="1" applyAlignment="1">
      <alignment vertical="center" wrapText="1"/>
    </xf>
    <xf numFmtId="0" fontId="9" fillId="2" borderId="123" xfId="0" applyFont="1" applyFill="1" applyBorder="1" applyAlignment="1">
      <alignment horizontal="right" vertical="center"/>
    </xf>
    <xf numFmtId="0" fontId="9" fillId="2" borderId="106" xfId="0" applyFont="1" applyFill="1" applyBorder="1" applyAlignment="1">
      <alignment vertical="center"/>
    </xf>
    <xf numFmtId="193" fontId="9" fillId="2" borderId="106" xfId="0" applyNumberFormat="1" applyFont="1" applyFill="1" applyBorder="1" applyAlignment="1" applyProtection="1">
      <alignment vertical="center"/>
      <protection locked="0"/>
    </xf>
    <xf numFmtId="0" fontId="15" fillId="0" borderId="123"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9" xfId="0" applyFont="1" applyFill="1" applyBorder="1"/>
    <xf numFmtId="0" fontId="4" fillId="3" borderId="126" xfId="0" applyFont="1" applyFill="1" applyBorder="1" applyAlignment="1">
      <alignment wrapText="1"/>
    </xf>
    <xf numFmtId="0" fontId="4" fillId="3" borderId="127" xfId="0" applyFont="1" applyFill="1" applyBorder="1"/>
    <xf numFmtId="0" fontId="6" fillId="3" borderId="11" xfId="0" applyFont="1" applyFill="1" applyBorder="1" applyAlignment="1">
      <alignment horizontal="center" wrapText="1"/>
    </xf>
    <xf numFmtId="0" fontId="4" fillId="3" borderId="70"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9" xfId="0" applyFont="1" applyFill="1" applyBorder="1" applyAlignment="1">
      <alignment horizontal="center" vertical="center" wrapText="1"/>
    </xf>
    <xf numFmtId="0" fontId="4" fillId="0" borderId="123" xfId="0" applyFont="1" applyBorder="1"/>
    <xf numFmtId="0" fontId="4" fillId="0" borderId="106" xfId="0" applyFont="1" applyBorder="1" applyAlignment="1">
      <alignment wrapText="1"/>
    </xf>
    <xf numFmtId="164" fontId="4" fillId="0" borderId="106" xfId="7" applyNumberFormat="1" applyFont="1" applyBorder="1"/>
    <xf numFmtId="164" fontId="4" fillId="0" borderId="121" xfId="7" applyNumberFormat="1" applyFont="1" applyBorder="1"/>
    <xf numFmtId="0" fontId="14" fillId="0" borderId="106" xfId="0" applyFont="1" applyBorder="1" applyAlignment="1">
      <alignment horizontal="left" wrapText="1" indent="2"/>
    </xf>
    <xf numFmtId="169" fontId="26" fillId="37" borderId="106" xfId="20" applyBorder="1"/>
    <xf numFmtId="164" fontId="4" fillId="0" borderId="106" xfId="7" applyNumberFormat="1" applyFont="1" applyBorder="1" applyAlignment="1">
      <alignment vertical="center"/>
    </xf>
    <xf numFmtId="0" fontId="6" fillId="0" borderId="123" xfId="0" applyFont="1" applyBorder="1"/>
    <xf numFmtId="0" fontId="6" fillId="0" borderId="106" xfId="0" applyFont="1" applyBorder="1" applyAlignment="1">
      <alignment wrapText="1"/>
    </xf>
    <xf numFmtId="164" fontId="6" fillId="0" borderId="121" xfId="7" applyNumberFormat="1" applyFont="1" applyBorder="1"/>
    <xf numFmtId="0" fontId="3" fillId="3" borderId="70"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9" xfId="7" applyNumberFormat="1" applyFont="1" applyFill="1" applyBorder="1"/>
    <xf numFmtId="164" fontId="4" fillId="0" borderId="106" xfId="7" applyNumberFormat="1" applyFont="1" applyFill="1" applyBorder="1"/>
    <xf numFmtId="164" fontId="4" fillId="0" borderId="106" xfId="7" applyNumberFormat="1" applyFont="1" applyFill="1" applyBorder="1" applyAlignment="1">
      <alignment vertical="center"/>
    </xf>
    <xf numFmtId="0" fontId="14" fillId="0" borderId="106"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9" xfId="0" applyFont="1" applyFill="1" applyBorder="1"/>
    <xf numFmtId="0" fontId="6" fillId="0" borderId="25" xfId="0" applyFont="1" applyBorder="1"/>
    <xf numFmtId="0" fontId="6" fillId="0" borderId="26" xfId="0" applyFont="1" applyBorder="1" applyAlignment="1">
      <alignment wrapText="1"/>
    </xf>
    <xf numFmtId="169" fontId="26" fillId="37" borderId="124" xfId="20" applyBorder="1"/>
    <xf numFmtId="10" fontId="6" fillId="0" borderId="27" xfId="20961" applyNumberFormat="1" applyFont="1" applyBorder="1"/>
    <xf numFmtId="0" fontId="9" fillId="2" borderId="114" xfId="0" applyFont="1" applyFill="1" applyBorder="1" applyAlignment="1">
      <alignment horizontal="right" vertical="center"/>
    </xf>
    <xf numFmtId="0" fontId="9" fillId="2" borderId="101" xfId="0" applyFont="1" applyFill="1" applyBorder="1" applyAlignment="1">
      <alignment vertical="center"/>
    </xf>
    <xf numFmtId="0" fontId="9" fillId="0" borderId="106" xfId="0" applyFont="1" applyFill="1" applyBorder="1" applyAlignment="1">
      <alignment horizontal="left" vertical="center" wrapText="1"/>
    </xf>
    <xf numFmtId="0" fontId="6" fillId="3" borderId="0" xfId="0" applyFont="1" applyFill="1" applyBorder="1" applyAlignment="1">
      <alignment horizontal="center"/>
    </xf>
    <xf numFmtId="0" fontId="105" fillId="0" borderId="93" xfId="0" applyFont="1" applyFill="1" applyBorder="1" applyAlignment="1">
      <alignment horizontal="left" vertical="center"/>
    </xf>
    <xf numFmtId="0" fontId="105" fillId="0" borderId="91" xfId="0" applyFont="1" applyFill="1" applyBorder="1" applyAlignment="1">
      <alignment vertical="center" wrapText="1"/>
    </xf>
    <xf numFmtId="0" fontId="105" fillId="0" borderId="9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9" fillId="0" borderId="106" xfId="0" applyFont="1" applyBorder="1" applyAlignment="1">
      <alignment horizontal="center" vertical="center" wrapText="1"/>
    </xf>
    <xf numFmtId="49" fontId="120" fillId="3" borderId="106" xfId="5" applyNumberFormat="1" applyFont="1" applyFill="1" applyBorder="1" applyAlignment="1" applyProtection="1">
      <alignment horizontal="right" vertical="center"/>
      <protection locked="0"/>
    </xf>
    <xf numFmtId="0" fontId="120" fillId="3" borderId="106" xfId="13" applyFont="1" applyFill="1" applyBorder="1" applyAlignment="1" applyProtection="1">
      <alignment horizontal="left" vertical="center" wrapText="1"/>
      <protection locked="0"/>
    </xf>
    <xf numFmtId="0" fontId="119" fillId="0" borderId="106" xfId="0" applyFont="1" applyBorder="1"/>
    <xf numFmtId="0" fontId="120" fillId="0" borderId="106" xfId="13" applyFont="1" applyFill="1" applyBorder="1" applyAlignment="1" applyProtection="1">
      <alignment horizontal="left" vertical="center" wrapText="1"/>
      <protection locked="0"/>
    </xf>
    <xf numFmtId="49" fontId="120" fillId="0" borderId="106" xfId="5" applyNumberFormat="1" applyFont="1" applyFill="1" applyBorder="1" applyAlignment="1" applyProtection="1">
      <alignment horizontal="right" vertical="center"/>
      <protection locked="0"/>
    </xf>
    <xf numFmtId="49" fontId="121" fillId="0" borderId="106" xfId="5" applyNumberFormat="1" applyFont="1" applyFill="1" applyBorder="1" applyAlignment="1" applyProtection="1">
      <alignment horizontal="right" vertical="center"/>
      <protection locked="0"/>
    </xf>
    <xf numFmtId="0" fontId="116" fillId="0" borderId="0" xfId="0" applyFont="1" applyAlignment="1">
      <alignment wrapText="1"/>
    </xf>
    <xf numFmtId="0" fontId="116" fillId="0" borderId="106" xfId="0" applyFont="1" applyBorder="1" applyAlignment="1">
      <alignment horizontal="center" vertical="center"/>
    </xf>
    <xf numFmtId="49" fontId="120" fillId="3" borderId="106" xfId="5" applyNumberFormat="1" applyFont="1" applyFill="1" applyBorder="1" applyAlignment="1" applyProtection="1">
      <alignment horizontal="right" vertical="center" wrapText="1"/>
      <protection locked="0"/>
    </xf>
    <xf numFmtId="0" fontId="116" fillId="0" borderId="106" xfId="0" applyFont="1" applyBorder="1"/>
    <xf numFmtId="0" fontId="116" fillId="0" borderId="106" xfId="0" applyFont="1" applyFill="1" applyBorder="1"/>
    <xf numFmtId="49" fontId="120" fillId="0" borderId="106" xfId="5" applyNumberFormat="1" applyFont="1" applyFill="1" applyBorder="1" applyAlignment="1" applyProtection="1">
      <alignment horizontal="right" vertical="center" wrapText="1"/>
      <protection locked="0"/>
    </xf>
    <xf numFmtId="49" fontId="121" fillId="0" borderId="106" xfId="5" applyNumberFormat="1" applyFont="1" applyFill="1" applyBorder="1" applyAlignment="1" applyProtection="1">
      <alignment horizontal="right" vertical="center" wrapText="1"/>
      <protection locked="0"/>
    </xf>
    <xf numFmtId="0" fontId="119" fillId="0" borderId="0" xfId="0" applyFont="1"/>
    <xf numFmtId="0" fontId="116" fillId="0" borderId="106" xfId="0" applyFont="1" applyBorder="1" applyAlignment="1">
      <alignment wrapText="1"/>
    </xf>
    <xf numFmtId="0" fontId="116" fillId="0" borderId="106" xfId="0" applyFont="1" applyBorder="1" applyAlignment="1">
      <alignment horizontal="left" indent="8"/>
    </xf>
    <xf numFmtId="0" fontId="116" fillId="0" borderId="0" xfId="0" applyFont="1" applyFill="1"/>
    <xf numFmtId="0" fontId="115" fillId="0" borderId="106" xfId="0" applyNumberFormat="1" applyFont="1" applyFill="1" applyBorder="1" applyAlignment="1">
      <alignment horizontal="left" vertical="center" wrapText="1"/>
    </xf>
    <xf numFmtId="0" fontId="116" fillId="0" borderId="0" xfId="0" applyFont="1" applyBorder="1"/>
    <xf numFmtId="0" fontId="119" fillId="0" borderId="106" xfId="0" applyFont="1" applyFill="1" applyBorder="1"/>
    <xf numFmtId="0" fontId="116" fillId="0" borderId="0" xfId="0" applyFont="1" applyBorder="1" applyAlignment="1">
      <alignment horizontal="left"/>
    </xf>
    <xf numFmtId="0" fontId="119" fillId="0" borderId="0" xfId="0" applyFont="1" applyBorder="1"/>
    <xf numFmtId="0" fontId="116" fillId="0" borderId="0" xfId="0" applyFont="1" applyFill="1" applyBorder="1"/>
    <xf numFmtId="0" fontId="118" fillId="0" borderId="106" xfId="0" applyFont="1" applyFill="1" applyBorder="1" applyAlignment="1">
      <alignment horizontal="left" indent="1"/>
    </xf>
    <xf numFmtId="0" fontId="118" fillId="0" borderId="106" xfId="0" applyFont="1" applyFill="1" applyBorder="1" applyAlignment="1">
      <alignment horizontal="left" wrapText="1" indent="1"/>
    </xf>
    <xf numFmtId="0" fontId="115" fillId="0" borderId="106" xfId="0" applyFont="1" applyFill="1" applyBorder="1" applyAlignment="1">
      <alignment horizontal="left" indent="1"/>
    </xf>
    <xf numFmtId="0" fontId="115" fillId="0" borderId="106" xfId="0" applyNumberFormat="1" applyFont="1" applyFill="1" applyBorder="1" applyAlignment="1">
      <alignment horizontal="left" indent="1"/>
    </xf>
    <xf numFmtId="0" fontId="115" fillId="0" borderId="106" xfId="0" applyFont="1" applyFill="1" applyBorder="1" applyAlignment="1">
      <alignment horizontal="left" wrapText="1" indent="2"/>
    </xf>
    <xf numFmtId="0" fontId="118" fillId="0" borderId="106" xfId="0" applyFont="1" applyFill="1" applyBorder="1" applyAlignment="1">
      <alignment horizontal="left" vertical="center" indent="1"/>
    </xf>
    <xf numFmtId="0" fontId="116" fillId="81" borderId="106" xfId="0" applyFont="1" applyFill="1" applyBorder="1"/>
    <xf numFmtId="0" fontId="116" fillId="0" borderId="106" xfId="0" applyFont="1" applyFill="1" applyBorder="1" applyAlignment="1">
      <alignment horizontal="left" wrapText="1"/>
    </xf>
    <xf numFmtId="0" fontId="116" fillId="0" borderId="106" xfId="0" applyFont="1" applyFill="1" applyBorder="1" applyAlignment="1">
      <alignment horizontal="left" wrapText="1" indent="2"/>
    </xf>
    <xf numFmtId="0" fontId="119" fillId="0" borderId="7" xfId="0" applyFont="1" applyBorder="1"/>
    <xf numFmtId="0" fontId="119" fillId="81" borderId="106" xfId="0" applyFont="1" applyFill="1" applyBorder="1"/>
    <xf numFmtId="0" fontId="116" fillId="0" borderId="0" xfId="0" applyFont="1" applyBorder="1" applyAlignment="1">
      <alignment horizontal="center" vertical="center"/>
    </xf>
    <xf numFmtId="0" fontId="116" fillId="0" borderId="0" xfId="0" applyFont="1" applyBorder="1" applyAlignment="1">
      <alignment horizontal="center" vertical="center" wrapText="1"/>
    </xf>
    <xf numFmtId="0" fontId="116" fillId="0" borderId="7" xfId="0" applyFont="1" applyBorder="1" applyAlignment="1">
      <alignment wrapText="1"/>
    </xf>
    <xf numFmtId="49" fontId="116" fillId="0" borderId="106" xfId="0" applyNumberFormat="1" applyFont="1" applyBorder="1" applyAlignment="1">
      <alignment horizontal="center" vertical="center" wrapText="1"/>
    </xf>
    <xf numFmtId="0" fontId="116" fillId="0" borderId="106" xfId="0" applyFont="1" applyBorder="1" applyAlignment="1">
      <alignment horizontal="center"/>
    </xf>
    <xf numFmtId="0" fontId="116" fillId="0" borderId="106" xfId="0" applyFont="1" applyBorder="1" applyAlignment="1">
      <alignment horizontal="left" indent="1"/>
    </xf>
    <xf numFmtId="0" fontId="116" fillId="82" borderId="106" xfId="0" applyFont="1" applyFill="1" applyBorder="1"/>
    <xf numFmtId="0" fontId="116" fillId="0" borderId="7" xfId="0" applyFont="1" applyBorder="1"/>
    <xf numFmtId="0" fontId="116" fillId="0" borderId="106" xfId="0" applyFont="1" applyBorder="1" applyAlignment="1">
      <alignment horizontal="left" indent="2"/>
    </xf>
    <xf numFmtId="49" fontId="116" fillId="0" borderId="106" xfId="0" applyNumberFormat="1" applyFont="1" applyBorder="1" applyAlignment="1">
      <alignment horizontal="left" indent="3"/>
    </xf>
    <xf numFmtId="49" fontId="116" fillId="0" borderId="106" xfId="0" applyNumberFormat="1" applyFont="1" applyFill="1" applyBorder="1" applyAlignment="1">
      <alignment horizontal="left" indent="3"/>
    </xf>
    <xf numFmtId="49" fontId="116" fillId="0" borderId="106" xfId="0" applyNumberFormat="1" applyFont="1" applyBorder="1" applyAlignment="1">
      <alignment horizontal="left" indent="1"/>
    </xf>
    <xf numFmtId="49" fontId="116" fillId="0" borderId="106" xfId="0" applyNumberFormat="1" applyFont="1" applyFill="1" applyBorder="1" applyAlignment="1">
      <alignment horizontal="left" indent="1"/>
    </xf>
    <xf numFmtId="0" fontId="116" fillId="0" borderId="106" xfId="0" applyNumberFormat="1" applyFont="1" applyBorder="1" applyAlignment="1">
      <alignment horizontal="left" indent="1"/>
    </xf>
    <xf numFmtId="0" fontId="116" fillId="83" borderId="106" xfId="0" applyFont="1" applyFill="1" applyBorder="1"/>
    <xf numFmtId="49" fontId="116" fillId="0" borderId="106" xfId="0" applyNumberFormat="1" applyFont="1" applyBorder="1" applyAlignment="1">
      <alignment horizontal="left" wrapText="1" indent="2"/>
    </xf>
    <xf numFmtId="49" fontId="116" fillId="0" borderId="106" xfId="0" applyNumberFormat="1" applyFont="1" applyFill="1" applyBorder="1" applyAlignment="1">
      <alignment horizontal="left" vertical="top" wrapText="1" indent="2"/>
    </xf>
    <xf numFmtId="49" fontId="116" fillId="0" borderId="106" xfId="0" applyNumberFormat="1" applyFont="1" applyFill="1" applyBorder="1" applyAlignment="1">
      <alignment horizontal="left" wrapText="1" indent="3"/>
    </xf>
    <xf numFmtId="49" fontId="116" fillId="0" borderId="106" xfId="0" applyNumberFormat="1" applyFont="1" applyFill="1" applyBorder="1" applyAlignment="1">
      <alignment horizontal="left" wrapText="1" indent="2"/>
    </xf>
    <xf numFmtId="0" fontId="116" fillId="0" borderId="106" xfId="0" applyNumberFormat="1" applyFont="1" applyFill="1" applyBorder="1" applyAlignment="1">
      <alignment horizontal="left" wrapText="1" indent="1"/>
    </xf>
    <xf numFmtId="0" fontId="118" fillId="0" borderId="137" xfId="0" applyNumberFormat="1" applyFont="1" applyFill="1" applyBorder="1" applyAlignment="1">
      <alignment horizontal="left" vertical="center" wrapText="1"/>
    </xf>
    <xf numFmtId="0" fontId="116" fillId="0" borderId="101" xfId="0" applyFont="1" applyFill="1" applyBorder="1" applyAlignment="1">
      <alignment horizontal="center" vertical="center" wrapText="1"/>
    </xf>
    <xf numFmtId="0" fontId="118" fillId="0" borderId="106" xfId="0" applyNumberFormat="1" applyFont="1" applyFill="1" applyBorder="1" applyAlignment="1">
      <alignment horizontal="left" vertical="center" wrapText="1"/>
    </xf>
    <xf numFmtId="0" fontId="116" fillId="0" borderId="0" xfId="0" applyFont="1" applyAlignment="1">
      <alignment horizontal="center" vertical="center"/>
    </xf>
    <xf numFmtId="0" fontId="124" fillId="0" borderId="0" xfId="0" applyFont="1"/>
    <xf numFmtId="0" fontId="124" fillId="0" borderId="0" xfId="0" applyFont="1" applyAlignment="1">
      <alignment horizontal="center" vertical="center"/>
    </xf>
    <xf numFmtId="0" fontId="116" fillId="0" borderId="106" xfId="0" applyFont="1" applyFill="1" applyBorder="1" applyAlignment="1">
      <alignment horizontal="left" indent="1"/>
    </xf>
    <xf numFmtId="49" fontId="105" fillId="0" borderId="106" xfId="0" applyNumberFormat="1" applyFont="1" applyFill="1" applyBorder="1" applyAlignment="1">
      <alignment horizontal="right" vertical="center"/>
    </xf>
    <xf numFmtId="0"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vertical="center" wrapText="1"/>
    </xf>
    <xf numFmtId="0" fontId="12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vertical="center"/>
    </xf>
    <xf numFmtId="0" fontId="125" fillId="0" borderId="106" xfId="0" applyNumberFormat="1" applyFont="1" applyFill="1" applyBorder="1" applyAlignment="1">
      <alignment vertical="center" wrapText="1"/>
    </xf>
    <xf numFmtId="2" fontId="105" fillId="3" borderId="106" xfId="5" applyNumberFormat="1" applyFont="1" applyFill="1" applyBorder="1" applyAlignment="1" applyProtection="1">
      <alignment horizontal="right" vertical="center"/>
      <protection locked="0"/>
    </xf>
    <xf numFmtId="0" fontId="105" fillId="0" borderId="106" xfId="0" applyNumberFormat="1" applyFont="1" applyFill="1" applyBorder="1" applyAlignment="1">
      <alignment horizontal="left" vertical="center" wrapText="1"/>
    </xf>
    <xf numFmtId="0" fontId="105" fillId="0" borderId="106" xfId="0" applyNumberFormat="1" applyFont="1" applyFill="1" applyBorder="1" applyAlignment="1">
      <alignment horizontal="right" vertical="center"/>
    </xf>
    <xf numFmtId="0" fontId="126" fillId="0" borderId="0" xfId="0" applyFont="1" applyFill="1" applyBorder="1" applyAlignment="1"/>
    <xf numFmtId="0" fontId="105" fillId="0" borderId="106" xfId="12672" applyFont="1" applyFill="1" applyBorder="1" applyAlignment="1">
      <alignment horizontal="left" vertical="center" wrapText="1"/>
    </xf>
    <xf numFmtId="0" fontId="105" fillId="0" borderId="101" xfId="0" applyNumberFormat="1" applyFont="1" applyFill="1" applyBorder="1" applyAlignment="1">
      <alignment horizontal="left" vertical="top" wrapText="1"/>
    </xf>
    <xf numFmtId="0" fontId="127" fillId="0" borderId="106" xfId="0" applyFont="1" applyBorder="1"/>
    <xf numFmtId="0" fontId="125" fillId="0" borderId="106" xfId="0" applyFont="1" applyBorder="1" applyAlignment="1">
      <alignment horizontal="left" vertical="top" wrapText="1"/>
    </xf>
    <xf numFmtId="0" fontId="125" fillId="0" borderId="106" xfId="0" applyFont="1" applyBorder="1"/>
    <xf numFmtId="0" fontId="125" fillId="0" borderId="106" xfId="0" applyFont="1" applyBorder="1" applyAlignment="1">
      <alignment horizontal="left" wrapText="1" indent="2"/>
    </xf>
    <xf numFmtId="0" fontId="105" fillId="0" borderId="106" xfId="12672" applyFont="1" applyFill="1" applyBorder="1" applyAlignment="1">
      <alignment horizontal="left" vertical="center" wrapText="1" indent="2"/>
    </xf>
    <xf numFmtId="0" fontId="125" fillId="0" borderId="106" xfId="0" applyFont="1" applyBorder="1" applyAlignment="1">
      <alignment horizontal="left" vertical="top" wrapText="1" indent="2"/>
    </xf>
    <xf numFmtId="0" fontId="127" fillId="0" borderId="7" xfId="0" applyFont="1" applyBorder="1"/>
    <xf numFmtId="0" fontId="125" fillId="0" borderId="106" xfId="0" applyFont="1" applyFill="1" applyBorder="1" applyAlignment="1">
      <alignment horizontal="left" wrapText="1" indent="2"/>
    </xf>
    <xf numFmtId="0" fontId="125" fillId="0" borderId="106" xfId="0" applyFont="1" applyBorder="1" applyAlignment="1">
      <alignment horizontal="left" indent="1"/>
    </xf>
    <xf numFmtId="0" fontId="125" fillId="0" borderId="106" xfId="0" applyFont="1" applyBorder="1" applyAlignment="1">
      <alignment horizontal="left" indent="2"/>
    </xf>
    <xf numFmtId="49" fontId="125" fillId="0" borderId="106" xfId="0" applyNumberFormat="1" applyFont="1" applyFill="1" applyBorder="1" applyAlignment="1">
      <alignment horizontal="left" indent="3"/>
    </xf>
    <xf numFmtId="49" fontId="125" fillId="0" borderId="106" xfId="0" applyNumberFormat="1" applyFont="1" applyFill="1" applyBorder="1" applyAlignment="1">
      <alignment horizontal="left" vertical="center" indent="1"/>
    </xf>
    <xf numFmtId="0" fontId="105" fillId="0" borderId="106" xfId="0" applyFont="1" applyFill="1" applyBorder="1" applyAlignment="1">
      <alignment vertical="center" wrapText="1"/>
    </xf>
    <xf numFmtId="49" fontId="125" fillId="0" borderId="106" xfId="0" applyNumberFormat="1" applyFont="1" applyFill="1" applyBorder="1" applyAlignment="1">
      <alignment horizontal="left" vertical="top" wrapText="1" indent="2"/>
    </xf>
    <xf numFmtId="49" fontId="125" fillId="0" borderId="106" xfId="0" applyNumberFormat="1" applyFont="1" applyFill="1" applyBorder="1" applyAlignment="1">
      <alignment horizontal="left" vertical="top" wrapText="1"/>
    </xf>
    <xf numFmtId="49" fontId="125" fillId="0" borderId="106" xfId="0" applyNumberFormat="1" applyFont="1" applyFill="1" applyBorder="1" applyAlignment="1">
      <alignment horizontal="left" wrapText="1" indent="3"/>
    </xf>
    <xf numFmtId="49" fontId="125" fillId="0" borderId="106" xfId="0" applyNumberFormat="1" applyFont="1" applyFill="1" applyBorder="1" applyAlignment="1">
      <alignment horizontal="left" wrapText="1" indent="2"/>
    </xf>
    <xf numFmtId="49" fontId="125" fillId="0" borderId="106" xfId="0" applyNumberFormat="1" applyFont="1" applyFill="1" applyBorder="1" applyAlignment="1">
      <alignment vertical="top" wrapText="1"/>
    </xf>
    <xf numFmtId="0" fontId="11" fillId="0" borderId="106" xfId="17" applyFill="1" applyBorder="1" applyAlignment="1" applyProtection="1">
      <alignment wrapText="1"/>
    </xf>
    <xf numFmtId="49" fontId="125" fillId="0" borderId="106" xfId="0" applyNumberFormat="1" applyFont="1" applyFill="1" applyBorder="1" applyAlignment="1">
      <alignment horizontal="left" vertical="center" wrapText="1" indent="3"/>
    </xf>
    <xf numFmtId="49" fontId="116" fillId="0" borderId="106" xfId="0" applyNumberFormat="1" applyFont="1" applyFill="1" applyBorder="1" applyAlignment="1">
      <alignment horizontal="left" wrapText="1" indent="1"/>
    </xf>
    <xf numFmtId="0" fontId="125" fillId="0" borderId="106" xfId="0" applyFont="1" applyBorder="1" applyAlignment="1">
      <alignment horizontal="left" vertical="center" wrapText="1" indent="2"/>
    </xf>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19" fillId="0" borderId="106"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29" fillId="0" borderId="106" xfId="0" applyFont="1" applyBorder="1"/>
    <xf numFmtId="0" fontId="130" fillId="0" borderId="106" xfId="17" applyFont="1" applyBorder="1" applyAlignment="1" applyProtection="1"/>
    <xf numFmtId="0" fontId="10" fillId="0" borderId="0" xfId="11" applyFont="1" applyFill="1" applyBorder="1" applyProtection="1"/>
    <xf numFmtId="0" fontId="131" fillId="0" borderId="0" xfId="0" applyFont="1"/>
    <xf numFmtId="179" fontId="131" fillId="0" borderId="0" xfId="0" applyNumberFormat="1" applyFont="1" applyAlignment="1">
      <alignment horizontal="left"/>
    </xf>
    <xf numFmtId="0" fontId="132" fillId="0" borderId="20" xfId="0" applyNumberFormat="1" applyFont="1" applyFill="1" applyBorder="1" applyAlignment="1">
      <alignment horizontal="center" vertical="center" wrapText="1"/>
    </xf>
    <xf numFmtId="0" fontId="132" fillId="0" borderId="21" xfId="0" applyNumberFormat="1" applyFont="1" applyFill="1" applyBorder="1" applyAlignment="1">
      <alignment horizontal="center" vertical="center" wrapText="1"/>
    </xf>
    <xf numFmtId="193" fontId="2" fillId="0" borderId="106" xfId="0" applyNumberFormat="1" applyFont="1" applyFill="1" applyBorder="1" applyAlignment="1" applyProtection="1">
      <alignment vertical="center" wrapText="1"/>
      <protection locked="0"/>
    </xf>
    <xf numFmtId="193" fontId="133" fillId="0" borderId="106" xfId="0" applyNumberFormat="1" applyFont="1" applyFill="1" applyBorder="1" applyAlignment="1" applyProtection="1">
      <alignment vertical="center" wrapText="1"/>
      <protection locked="0"/>
    </xf>
    <xf numFmtId="193" fontId="133" fillId="0" borderId="121" xfId="0" applyNumberFormat="1" applyFont="1" applyFill="1" applyBorder="1" applyAlignment="1" applyProtection="1">
      <alignment vertical="center" wrapText="1"/>
      <protection locked="0"/>
    </xf>
    <xf numFmtId="169" fontId="2" fillId="37" borderId="0" xfId="20" applyFont="1" applyBorder="1"/>
    <xf numFmtId="169" fontId="2" fillId="37" borderId="99" xfId="20" applyFont="1" applyBorder="1"/>
    <xf numFmtId="193" fontId="2" fillId="0" borderId="106" xfId="0" applyNumberFormat="1" applyFont="1" applyFill="1" applyBorder="1" applyAlignment="1" applyProtection="1">
      <alignment horizontal="right" vertical="center" wrapText="1"/>
      <protection locked="0"/>
    </xf>
    <xf numFmtId="193" fontId="62" fillId="0" borderId="106" xfId="0" applyNumberFormat="1" applyFont="1" applyFill="1" applyBorder="1" applyAlignment="1" applyProtection="1">
      <alignment horizontal="right" vertical="center" wrapText="1"/>
      <protection locked="0"/>
    </xf>
    <xf numFmtId="10" fontId="2" fillId="0" borderId="106" xfId="20961" applyNumberFormat="1" applyFont="1" applyBorder="1" applyAlignment="1" applyProtection="1">
      <alignment horizontal="right" vertical="center" wrapText="1"/>
      <protection locked="0"/>
    </xf>
    <xf numFmtId="10" fontId="133" fillId="0" borderId="106" xfId="20961" applyNumberFormat="1" applyFont="1" applyBorder="1" applyAlignment="1" applyProtection="1">
      <alignment vertical="center" wrapText="1"/>
      <protection locked="0"/>
    </xf>
    <xf numFmtId="10" fontId="133" fillId="0" borderId="121" xfId="20961" applyNumberFormat="1" applyFont="1" applyBorder="1" applyAlignment="1" applyProtection="1">
      <alignment vertical="center" wrapText="1"/>
      <protection locked="0"/>
    </xf>
    <xf numFmtId="10" fontId="2" fillId="2" borderId="106" xfId="20961" applyNumberFormat="1" applyFont="1" applyFill="1" applyBorder="1" applyAlignment="1" applyProtection="1">
      <alignment vertical="center"/>
      <protection locked="0"/>
    </xf>
    <xf numFmtId="10" fontId="134" fillId="2" borderId="106" xfId="20961" applyNumberFormat="1" applyFont="1" applyFill="1" applyBorder="1" applyAlignment="1" applyProtection="1">
      <alignment vertical="center"/>
      <protection locked="0"/>
    </xf>
    <xf numFmtId="10" fontId="134" fillId="2" borderId="121" xfId="20961" applyNumberFormat="1" applyFont="1" applyFill="1" applyBorder="1" applyAlignment="1" applyProtection="1">
      <alignment vertical="center"/>
      <protection locked="0"/>
    </xf>
    <xf numFmtId="10" fontId="135" fillId="0" borderId="106" xfId="20961" applyNumberFormat="1" applyFont="1" applyFill="1" applyBorder="1" applyAlignment="1" applyProtection="1">
      <alignment horizontal="center" vertical="center" wrapText="1"/>
      <protection locked="0"/>
    </xf>
    <xf numFmtId="10" fontId="133" fillId="0" borderId="106" xfId="20961" applyNumberFormat="1" applyFont="1" applyFill="1" applyBorder="1" applyAlignment="1" applyProtection="1">
      <alignment horizontal="center" vertical="center" wrapText="1"/>
      <protection locked="0"/>
    </xf>
    <xf numFmtId="10" fontId="133" fillId="0" borderId="121" xfId="20961" applyNumberFormat="1" applyFont="1" applyFill="1" applyBorder="1" applyAlignment="1" applyProtection="1">
      <alignment horizontal="center" vertical="center" wrapText="1"/>
      <protection locked="0"/>
    </xf>
    <xf numFmtId="193" fontId="2" fillId="2" borderId="106" xfId="0" applyNumberFormat="1" applyFont="1" applyFill="1" applyBorder="1" applyAlignment="1" applyProtection="1">
      <alignment vertical="center"/>
      <protection locked="0"/>
    </xf>
    <xf numFmtId="193" fontId="134" fillId="2" borderId="106" xfId="0" applyNumberFormat="1" applyFont="1" applyFill="1" applyBorder="1" applyAlignment="1" applyProtection="1">
      <alignment vertical="center"/>
      <protection locked="0"/>
    </xf>
    <xf numFmtId="193" fontId="134" fillId="2" borderId="121" xfId="0" applyNumberFormat="1" applyFont="1" applyFill="1" applyBorder="1" applyAlignment="1" applyProtection="1">
      <alignment vertical="center"/>
      <protection locked="0"/>
    </xf>
    <xf numFmtId="10" fontId="2" fillId="2" borderId="101" xfId="20961" applyNumberFormat="1" applyFont="1" applyFill="1" applyBorder="1" applyAlignment="1" applyProtection="1">
      <alignment vertical="center"/>
      <protection locked="0"/>
    </xf>
    <xf numFmtId="10" fontId="134" fillId="2" borderId="101" xfId="20961" applyNumberFormat="1" applyFont="1" applyFill="1" applyBorder="1" applyAlignment="1" applyProtection="1">
      <alignment vertical="center"/>
      <protection locked="0"/>
    </xf>
    <xf numFmtId="10" fontId="134" fillId="2" borderId="115" xfId="20961" applyNumberFormat="1" applyFont="1" applyFill="1" applyBorder="1" applyAlignment="1" applyProtection="1">
      <alignment vertical="center"/>
      <protection locked="0"/>
    </xf>
    <xf numFmtId="193" fontId="2" fillId="2" borderId="101" xfId="0" applyNumberFormat="1" applyFont="1" applyFill="1" applyBorder="1" applyAlignment="1" applyProtection="1">
      <alignment vertical="center"/>
      <protection locked="0"/>
    </xf>
    <xf numFmtId="193" fontId="134" fillId="2" borderId="101" xfId="0" applyNumberFormat="1" applyFont="1" applyFill="1" applyBorder="1" applyAlignment="1" applyProtection="1">
      <alignment vertical="center"/>
      <protection locked="0"/>
    </xf>
    <xf numFmtId="193" fontId="134" fillId="2" borderId="115" xfId="0" applyNumberFormat="1" applyFont="1" applyFill="1" applyBorder="1" applyAlignment="1" applyProtection="1">
      <alignment vertical="center"/>
      <protection locked="0"/>
    </xf>
    <xf numFmtId="10" fontId="2" fillId="2" borderId="26" xfId="20961" applyNumberFormat="1" applyFont="1" applyFill="1" applyBorder="1" applyAlignment="1" applyProtection="1">
      <alignment vertical="center"/>
      <protection locked="0"/>
    </xf>
    <xf numFmtId="10" fontId="134" fillId="2" borderId="26" xfId="20961" applyNumberFormat="1" applyFont="1" applyFill="1" applyBorder="1" applyAlignment="1" applyProtection="1">
      <alignment vertical="center"/>
      <protection locked="0"/>
    </xf>
    <xf numFmtId="10" fontId="134" fillId="2" borderId="27" xfId="20961" applyNumberFormat="1" applyFont="1" applyFill="1" applyBorder="1" applyAlignment="1" applyProtection="1">
      <alignment vertical="center"/>
      <protection locked="0"/>
    </xf>
    <xf numFmtId="0" fontId="9" fillId="0" borderId="123" xfId="0" applyFont="1" applyFill="1" applyBorder="1" applyAlignment="1" applyProtection="1">
      <alignment horizontal="left" indent="1"/>
    </xf>
    <xf numFmtId="0" fontId="10" fillId="0" borderId="107" xfId="0" applyFont="1" applyFill="1" applyBorder="1" applyAlignment="1" applyProtection="1">
      <alignment horizontal="center"/>
    </xf>
    <xf numFmtId="0" fontId="9" fillId="0" borderId="106" xfId="0" applyFont="1" applyFill="1" applyBorder="1" applyAlignment="1" applyProtection="1">
      <alignment horizontal="center" vertical="center" wrapText="1"/>
    </xf>
    <xf numFmtId="0" fontId="9" fillId="0" borderId="121" xfId="0" applyFont="1" applyFill="1" applyBorder="1" applyAlignment="1" applyProtection="1">
      <alignment horizontal="center" vertical="center" wrapText="1"/>
    </xf>
    <xf numFmtId="0" fontId="9" fillId="0" borderId="107" xfId="0" applyFont="1" applyFill="1" applyBorder="1" applyAlignment="1" applyProtection="1">
      <alignment horizontal="left" indent="1"/>
    </xf>
    <xf numFmtId="164" fontId="7" fillId="0" borderId="106" xfId="7" applyNumberFormat="1" applyFont="1" applyFill="1" applyBorder="1" applyAlignment="1" applyProtection="1">
      <alignment horizontal="right"/>
    </xf>
    <xf numFmtId="164" fontId="15" fillId="36" borderId="106" xfId="7" applyNumberFormat="1" applyFont="1" applyFill="1" applyBorder="1" applyAlignment="1" applyProtection="1">
      <alignment horizontal="right"/>
    </xf>
    <xf numFmtId="164" fontId="7" fillId="0" borderId="105" xfId="7" applyNumberFormat="1" applyFont="1" applyFill="1" applyBorder="1" applyAlignment="1" applyProtection="1">
      <alignment horizontal="right"/>
    </xf>
    <xf numFmtId="164" fontId="15" fillId="36" borderId="121" xfId="7" applyNumberFormat="1" applyFont="1" applyFill="1" applyBorder="1" applyAlignment="1" applyProtection="1">
      <alignment horizontal="right"/>
    </xf>
    <xf numFmtId="0" fontId="9" fillId="0" borderId="107" xfId="0" applyFont="1" applyFill="1" applyBorder="1" applyAlignment="1" applyProtection="1">
      <alignment horizontal="left" indent="2"/>
    </xf>
    <xf numFmtId="38" fontId="7" fillId="0" borderId="106" xfId="7" applyNumberFormat="1" applyFont="1" applyFill="1" applyBorder="1" applyAlignment="1" applyProtection="1">
      <alignment horizontal="right"/>
    </xf>
    <xf numFmtId="38" fontId="15" fillId="36" borderId="106" xfId="7" applyNumberFormat="1" applyFont="1" applyFill="1" applyBorder="1" applyAlignment="1" applyProtection="1">
      <alignment horizontal="right"/>
    </xf>
    <xf numFmtId="38" fontId="7" fillId="0" borderId="105" xfId="7" applyNumberFormat="1" applyFont="1" applyFill="1" applyBorder="1" applyAlignment="1" applyProtection="1">
      <alignment horizontal="right"/>
    </xf>
    <xf numFmtId="38" fontId="15" fillId="36" borderId="121" xfId="7" applyNumberFormat="1" applyFont="1" applyFill="1" applyBorder="1" applyAlignment="1" applyProtection="1">
      <alignment horizontal="right"/>
    </xf>
    <xf numFmtId="0" fontId="10" fillId="0" borderId="107" xfId="0" applyFont="1" applyFill="1" applyBorder="1" applyAlignment="1" applyProtection="1"/>
    <xf numFmtId="164" fontId="7" fillId="0" borderId="106" xfId="7" applyNumberFormat="1" applyFont="1" applyFill="1" applyBorder="1" applyAlignment="1" applyProtection="1">
      <alignment horizontal="right"/>
      <protection locked="0"/>
    </xf>
    <xf numFmtId="164" fontId="7" fillId="0" borderId="105" xfId="7" applyNumberFormat="1" applyFont="1" applyFill="1" applyBorder="1" applyAlignment="1" applyProtection="1">
      <alignment horizontal="right"/>
      <protection locked="0"/>
    </xf>
    <xf numFmtId="164" fontId="7" fillId="0" borderId="121" xfId="7" applyNumberFormat="1" applyFont="1" applyFill="1" applyBorder="1" applyAlignment="1" applyProtection="1">
      <alignment horizontal="right"/>
    </xf>
    <xf numFmtId="164" fontId="15" fillId="0" borderId="106" xfId="7" applyNumberFormat="1" applyFont="1" applyFill="1" applyBorder="1" applyAlignment="1" applyProtection="1">
      <alignment horizontal="right"/>
    </xf>
    <xf numFmtId="164" fontId="15" fillId="0" borderId="105"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0" fontId="19" fillId="0" borderId="123" xfId="0" applyFont="1" applyFill="1" applyBorder="1" applyAlignment="1">
      <alignment horizontal="left" vertical="center" indent="1"/>
    </xf>
    <xf numFmtId="0" fontId="19" fillId="0" borderId="106" xfId="0" applyFont="1" applyFill="1" applyBorder="1" applyAlignment="1">
      <alignment horizontal="left" vertical="center"/>
    </xf>
    <xf numFmtId="0" fontId="19" fillId="0" borderId="106" xfId="0" applyFont="1" applyFill="1" applyBorder="1" applyAlignment="1">
      <alignment horizontal="center" vertical="center" wrapText="1"/>
    </xf>
    <xf numFmtId="0" fontId="19" fillId="0" borderId="121" xfId="0" applyFont="1" applyFill="1" applyBorder="1" applyAlignment="1">
      <alignment horizontal="center" vertical="center" wrapText="1"/>
    </xf>
    <xf numFmtId="0" fontId="19" fillId="0" borderId="123" xfId="0" applyFont="1" applyFill="1" applyBorder="1" applyAlignment="1">
      <alignment horizontal="left" indent="1"/>
    </xf>
    <xf numFmtId="0" fontId="20" fillId="0" borderId="106" xfId="0" applyFont="1" applyFill="1" applyBorder="1" applyAlignment="1">
      <alignment horizontal="center"/>
    </xf>
    <xf numFmtId="38" fontId="19" fillId="0" borderId="106" xfId="0" applyNumberFormat="1" applyFont="1" applyFill="1" applyBorder="1" applyAlignment="1" applyProtection="1">
      <alignment horizontal="right"/>
      <protection locked="0"/>
    </xf>
    <xf numFmtId="38" fontId="19" fillId="0" borderId="121" xfId="0" applyNumberFormat="1" applyFont="1" applyFill="1" applyBorder="1" applyAlignment="1" applyProtection="1">
      <alignment horizontal="right"/>
      <protection locked="0"/>
    </xf>
    <xf numFmtId="0" fontId="19" fillId="0" borderId="106" xfId="0" applyFont="1" applyFill="1" applyBorder="1" applyAlignment="1">
      <alignment horizontal="left" wrapText="1" indent="1"/>
    </xf>
    <xf numFmtId="38" fontId="7" fillId="0" borderId="50" xfId="0" applyNumberFormat="1" applyFont="1" applyFill="1" applyBorder="1" applyAlignment="1" applyProtection="1">
      <alignment horizontal="right"/>
      <protection locked="0"/>
    </xf>
    <xf numFmtId="38" fontId="7" fillId="0" borderId="106" xfId="0" applyNumberFormat="1" applyFont="1" applyFill="1" applyBorder="1" applyAlignment="1" applyProtection="1">
      <alignment horizontal="right"/>
      <protection locked="0"/>
    </xf>
    <xf numFmtId="38" fontId="15" fillId="36" borderId="106" xfId="0" applyNumberFormat="1" applyFont="1" applyFill="1" applyBorder="1" applyAlignment="1">
      <alignment horizontal="right"/>
    </xf>
    <xf numFmtId="0" fontId="19" fillId="0" borderId="106" xfId="0" applyFont="1" applyFill="1" applyBorder="1" applyAlignment="1">
      <alignment horizontal="left" wrapText="1" indent="2"/>
    </xf>
    <xf numFmtId="0" fontId="20" fillId="0" borderId="106" xfId="0" applyFont="1" applyFill="1" applyBorder="1" applyAlignment="1"/>
    <xf numFmtId="38" fontId="7" fillId="0" borderId="121" xfId="7" applyNumberFormat="1" applyFont="1" applyFill="1" applyBorder="1" applyAlignment="1" applyProtection="1">
      <alignment horizontal="right"/>
    </xf>
    <xf numFmtId="0" fontId="20" fillId="0" borderId="106" xfId="0" applyFont="1" applyFill="1" applyBorder="1" applyAlignment="1">
      <alignment horizontal="left"/>
    </xf>
    <xf numFmtId="38" fontId="15" fillId="0" borderId="106" xfId="0" applyNumberFormat="1" applyFont="1" applyFill="1" applyBorder="1" applyAlignment="1">
      <alignment horizontal="center"/>
    </xf>
    <xf numFmtId="38" fontId="15" fillId="0" borderId="121" xfId="0" applyNumberFormat="1" applyFont="1" applyFill="1" applyBorder="1" applyAlignment="1">
      <alignment horizontal="center"/>
    </xf>
    <xf numFmtId="0" fontId="19" fillId="0" borderId="106" xfId="0" applyFont="1" applyFill="1" applyBorder="1" applyAlignment="1">
      <alignment horizontal="left" indent="1"/>
    </xf>
    <xf numFmtId="38" fontId="15" fillId="36" borderId="106" xfId="0" applyNumberFormat="1" applyFont="1" applyFill="1" applyBorder="1" applyAlignment="1" applyProtection="1">
      <alignment horizontal="right"/>
    </xf>
    <xf numFmtId="38" fontId="7" fillId="0" borderId="121" xfId="0" applyNumberFormat="1" applyFont="1" applyFill="1" applyBorder="1" applyAlignment="1" applyProtection="1">
      <alignment horizontal="right"/>
      <protection locked="0"/>
    </xf>
    <xf numFmtId="38" fontId="15" fillId="36" borderId="106" xfId="7" applyNumberFormat="1" applyFont="1" applyFill="1" applyBorder="1" applyAlignment="1" applyProtection="1"/>
    <xf numFmtId="38" fontId="7" fillId="0" borderId="106" xfId="0" applyNumberFormat="1" applyFont="1" applyFill="1" applyBorder="1" applyAlignment="1" applyProtection="1">
      <protection locked="0"/>
    </xf>
    <xf numFmtId="38" fontId="15" fillId="36" borderId="121" xfId="7" applyNumberFormat="1" applyFont="1" applyFill="1" applyBorder="1" applyAlignment="1" applyProtection="1"/>
    <xf numFmtId="0" fontId="20" fillId="0" borderId="106" xfId="0" applyFont="1" applyFill="1" applyBorder="1" applyAlignment="1">
      <alignment horizontal="left" indent="1"/>
    </xf>
    <xf numFmtId="0" fontId="20" fillId="0" borderId="106" xfId="0" applyFont="1" applyFill="1" applyBorder="1" applyAlignment="1">
      <alignment horizontal="center" vertical="center" wrapText="1"/>
    </xf>
    <xf numFmtId="38" fontId="7" fillId="0" borderId="106"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0" fontId="15" fillId="0" borderId="105" xfId="0" applyNumberFormat="1" applyFont="1" applyFill="1" applyBorder="1" applyAlignment="1">
      <alignment vertical="center" wrapText="1"/>
    </xf>
    <xf numFmtId="0" fontId="7" fillId="0" borderId="105" xfId="0" applyNumberFormat="1" applyFont="1" applyFill="1" applyBorder="1" applyAlignment="1">
      <alignment horizontal="left" vertical="center" wrapText="1"/>
    </xf>
    <xf numFmtId="38" fontId="7" fillId="0" borderId="106" xfId="0" applyNumberFormat="1" applyFont="1" applyFill="1" applyBorder="1" applyAlignment="1" applyProtection="1">
      <alignment horizontal="right"/>
    </xf>
    <xf numFmtId="38" fontId="15" fillId="80" borderId="106" xfId="0" applyNumberFormat="1" applyFont="1" applyFill="1" applyBorder="1" applyAlignment="1" applyProtection="1">
      <alignment horizontal="right"/>
    </xf>
    <xf numFmtId="0" fontId="17" fillId="0" borderId="105" xfId="0" applyFont="1" applyFill="1" applyBorder="1" applyAlignment="1" applyProtection="1">
      <alignment horizontal="left" vertical="center" indent="1"/>
      <protection locked="0"/>
    </xf>
    <xf numFmtId="0" fontId="17" fillId="0" borderId="105" xfId="0" applyFont="1" applyFill="1" applyBorder="1" applyAlignment="1" applyProtection="1">
      <alignment horizontal="left" vertical="center"/>
      <protection locked="0"/>
    </xf>
    <xf numFmtId="0" fontId="15" fillId="0" borderId="124" xfId="0" applyNumberFormat="1" applyFont="1" applyFill="1" applyBorder="1" applyAlignment="1">
      <alignment vertical="center" wrapText="1"/>
    </xf>
    <xf numFmtId="38" fontId="15" fillId="36" borderId="26" xfId="0" applyNumberFormat="1" applyFont="1" applyFill="1" applyBorder="1" applyAlignment="1" applyProtection="1">
      <alignment horizontal="right"/>
    </xf>
    <xf numFmtId="38" fontId="6" fillId="36" borderId="106" xfId="7" applyNumberFormat="1" applyFont="1" applyFill="1" applyBorder="1" applyAlignment="1">
      <alignment vertical="center" wrapText="1"/>
    </xf>
    <xf numFmtId="38" fontId="6" fillId="36" borderId="121" xfId="7" applyNumberFormat="1" applyFont="1" applyFill="1" applyBorder="1" applyAlignment="1">
      <alignment vertical="center" wrapText="1"/>
    </xf>
    <xf numFmtId="38" fontId="6" fillId="0" borderId="106" xfId="7" applyNumberFormat="1" applyFont="1" applyBorder="1" applyAlignment="1">
      <alignment vertical="center" wrapText="1"/>
    </xf>
    <xf numFmtId="38" fontId="6" fillId="0" borderId="121" xfId="7" applyNumberFormat="1" applyFont="1" applyBorder="1" applyAlignment="1">
      <alignment vertical="center" wrapText="1"/>
    </xf>
    <xf numFmtId="38" fontId="6" fillId="0" borderId="106" xfId="7" applyNumberFormat="1" applyFont="1" applyFill="1" applyBorder="1" applyAlignment="1">
      <alignment vertical="center" wrapText="1"/>
    </xf>
    <xf numFmtId="38" fontId="6" fillId="0" borderId="121"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6" fillId="0" borderId="1" xfId="0" applyFont="1" applyFill="1" applyBorder="1" applyAlignment="1">
      <alignment horizontal="center"/>
    </xf>
    <xf numFmtId="0" fontId="13" fillId="0" borderId="107" xfId="0" applyFont="1" applyBorder="1" applyAlignment="1">
      <alignment wrapText="1"/>
    </xf>
    <xf numFmtId="9" fontId="4" fillId="0" borderId="24" xfId="0" applyNumberFormat="1" applyFont="1" applyBorder="1" applyAlignment="1"/>
    <xf numFmtId="0" fontId="9" fillId="0" borderId="123"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33" fillId="0" borderId="121" xfId="0" applyNumberFormat="1" applyFont="1" applyFill="1" applyBorder="1" applyAlignment="1">
      <alignment horizontal="center" vertical="center"/>
    </xf>
    <xf numFmtId="193" fontId="137" fillId="36" borderId="27" xfId="0" applyNumberFormat="1" applyFont="1" applyFill="1" applyBorder="1" applyAlignment="1">
      <alignment horizontal="center" vertical="center"/>
    </xf>
    <xf numFmtId="193" fontId="133" fillId="0" borderId="106" xfId="0" applyNumberFormat="1" applyFont="1" applyFill="1" applyBorder="1" applyAlignment="1">
      <alignment horizontal="center" vertical="center"/>
    </xf>
    <xf numFmtId="193" fontId="138" fillId="0" borderId="106" xfId="0" applyNumberFormat="1" applyFont="1" applyFill="1" applyBorder="1" applyAlignment="1">
      <alignment horizontal="center" vertical="center"/>
    </xf>
    <xf numFmtId="193" fontId="137" fillId="36" borderId="26" xfId="0" applyNumberFormat="1" applyFont="1" applyFill="1" applyBorder="1" applyAlignment="1">
      <alignment horizontal="center" vertical="center"/>
    </xf>
    <xf numFmtId="193" fontId="137" fillId="36" borderId="21" xfId="0" applyNumberFormat="1" applyFont="1" applyFill="1" applyBorder="1" applyAlignment="1">
      <alignment horizontal="center" vertical="center"/>
    </xf>
    <xf numFmtId="193" fontId="133" fillId="0" borderId="121" xfId="0" applyNumberFormat="1" applyFont="1" applyBorder="1" applyAlignment="1"/>
    <xf numFmtId="193" fontId="133" fillId="0" borderId="121" xfId="0" applyNumberFormat="1" applyFont="1" applyBorder="1" applyAlignment="1">
      <alignment wrapText="1"/>
    </xf>
    <xf numFmtId="193" fontId="137" fillId="36" borderId="121" xfId="0" applyNumberFormat="1" applyFont="1" applyFill="1" applyBorder="1" applyAlignment="1">
      <alignment horizontal="center" vertical="center" wrapText="1"/>
    </xf>
    <xf numFmtId="193" fontId="137" fillId="0" borderId="121" xfId="0" applyNumberFormat="1" applyFont="1" applyBorder="1" applyAlignment="1">
      <alignment wrapText="1"/>
    </xf>
    <xf numFmtId="193" fontId="137" fillId="36" borderId="27" xfId="0" applyNumberFormat="1" applyFont="1" applyFill="1" applyBorder="1" applyAlignment="1">
      <alignment horizontal="center" vertical="center" wrapText="1"/>
    </xf>
    <xf numFmtId="38" fontId="15" fillId="36" borderId="121" xfId="2" applyNumberFormat="1" applyFont="1" applyFill="1" applyBorder="1" applyAlignment="1" applyProtection="1">
      <alignment vertical="top"/>
    </xf>
    <xf numFmtId="38" fontId="7" fillId="3" borderId="121" xfId="2" applyNumberFormat="1" applyFont="1" applyFill="1" applyBorder="1" applyAlignment="1" applyProtection="1">
      <alignment vertical="top"/>
      <protection locked="0"/>
    </xf>
    <xf numFmtId="38" fontId="15" fillId="36" borderId="121" xfId="2" applyNumberFormat="1" applyFont="1" applyFill="1" applyBorder="1" applyAlignment="1" applyProtection="1">
      <alignment vertical="top" wrapText="1"/>
    </xf>
    <xf numFmtId="38" fontId="7" fillId="3" borderId="121" xfId="2" applyNumberFormat="1" applyFont="1" applyFill="1" applyBorder="1" applyAlignment="1" applyProtection="1">
      <alignment vertical="top" wrapText="1"/>
      <protection locked="0"/>
    </xf>
    <xf numFmtId="38" fontId="15" fillId="36" borderId="121"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64" fontId="4" fillId="0" borderId="121" xfId="7" applyNumberFormat="1" applyFont="1" applyFill="1" applyBorder="1" applyAlignment="1">
      <alignment horizontal="right" vertical="center" wrapText="1"/>
    </xf>
    <xf numFmtId="164" fontId="108" fillId="0" borderId="121" xfId="7" applyNumberFormat="1" applyFont="1" applyFill="1" applyBorder="1" applyAlignment="1">
      <alignment horizontal="right" vertical="center" wrapText="1"/>
    </xf>
    <xf numFmtId="164" fontId="6" fillId="36" borderId="121" xfId="7" applyNumberFormat="1" applyFont="1" applyFill="1" applyBorder="1" applyAlignment="1">
      <alignment horizontal="right" vertical="center" wrapText="1"/>
    </xf>
    <xf numFmtId="164" fontId="7" fillId="0" borderId="27" xfId="7" applyNumberFormat="1" applyFont="1" applyFill="1" applyBorder="1" applyAlignment="1" applyProtection="1">
      <alignment horizontal="right" vertical="center"/>
    </xf>
    <xf numFmtId="10" fontId="108" fillId="0" borderId="101" xfId="20961" applyNumberFormat="1" applyFont="1" applyFill="1" applyBorder="1" applyAlignment="1">
      <alignment horizontal="left" vertical="center" wrapText="1"/>
    </xf>
    <xf numFmtId="0" fontId="139" fillId="0" borderId="0" xfId="0" applyFont="1" applyFill="1"/>
    <xf numFmtId="193" fontId="133" fillId="36" borderId="14" xfId="0" applyNumberFormat="1" applyFont="1" applyFill="1" applyBorder="1" applyAlignment="1">
      <alignment vertical="center"/>
    </xf>
    <xf numFmtId="193" fontId="133" fillId="0" borderId="14" xfId="0" applyNumberFormat="1" applyFont="1" applyBorder="1" applyAlignment="1">
      <alignment vertical="center"/>
    </xf>
    <xf numFmtId="193" fontId="133" fillId="0" borderId="106" xfId="0" applyNumberFormat="1" applyFont="1" applyBorder="1" applyAlignment="1"/>
    <xf numFmtId="167" fontId="137" fillId="36" borderId="106" xfId="0" applyNumberFormat="1" applyFont="1" applyFill="1" applyBorder="1"/>
    <xf numFmtId="193" fontId="140" fillId="36" borderId="26" xfId="0" applyNumberFormat="1" applyFont="1" applyFill="1" applyBorder="1"/>
    <xf numFmtId="167" fontId="137" fillId="36" borderId="26" xfId="0" applyNumberFormat="1" applyFont="1" applyFill="1" applyBorder="1"/>
    <xf numFmtId="193" fontId="133" fillId="0" borderId="123" xfId="0" applyNumberFormat="1" applyFont="1" applyBorder="1" applyAlignment="1"/>
    <xf numFmtId="193" fontId="137" fillId="0" borderId="24" xfId="0" applyNumberFormat="1" applyFont="1" applyBorder="1" applyAlignment="1"/>
    <xf numFmtId="193" fontId="137" fillId="36" borderId="141" xfId="0" applyNumberFormat="1" applyFont="1" applyFill="1" applyBorder="1" applyAlignment="1"/>
    <xf numFmtId="193" fontId="137" fillId="36" borderId="25" xfId="0" applyNumberFormat="1" applyFont="1" applyFill="1" applyBorder="1"/>
    <xf numFmtId="193" fontId="137" fillId="36" borderId="26" xfId="0" applyNumberFormat="1" applyFont="1" applyFill="1" applyBorder="1"/>
    <xf numFmtId="193" fontId="137" fillId="36" borderId="27" xfId="0" applyNumberFormat="1" applyFont="1" applyFill="1" applyBorder="1"/>
    <xf numFmtId="193" fontId="137" fillId="36" borderId="57" xfId="0" applyNumberFormat="1" applyFont="1" applyFill="1" applyBorder="1"/>
    <xf numFmtId="9" fontId="139" fillId="0" borderId="121" xfId="20961" applyFont="1" applyBorder="1"/>
    <xf numFmtId="9" fontId="139" fillId="36" borderId="27" xfId="20961" applyFont="1" applyFill="1" applyBorder="1"/>
    <xf numFmtId="193" fontId="4" fillId="0" borderId="106" xfId="0" applyNumberFormat="1" applyFont="1" applyBorder="1"/>
    <xf numFmtId="193" fontId="4" fillId="0" borderId="106" xfId="0" applyNumberFormat="1" applyFont="1" applyFill="1" applyBorder="1"/>
    <xf numFmtId="193" fontId="4" fillId="0" borderId="107" xfId="0" applyNumberFormat="1" applyFont="1" applyBorder="1"/>
    <xf numFmtId="193" fontId="139" fillId="36" borderId="26" xfId="0" applyNumberFormat="1" applyFont="1" applyFill="1" applyBorder="1"/>
    <xf numFmtId="0" fontId="4" fillId="3" borderId="122" xfId="0" applyFont="1" applyFill="1" applyBorder="1" applyAlignment="1">
      <alignment vertical="center"/>
    </xf>
    <xf numFmtId="169" fontId="26" fillId="37" borderId="70" xfId="20" applyBorder="1"/>
    <xf numFmtId="194" fontId="4" fillId="0" borderId="122"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21" xfId="7" applyNumberFormat="1" applyFont="1" applyFill="1" applyBorder="1" applyAlignment="1">
      <alignment vertical="center"/>
    </xf>
    <xf numFmtId="194" fontId="4" fillId="0" borderId="104" xfId="7" applyNumberFormat="1" applyFont="1" applyFill="1" applyBorder="1" applyAlignment="1">
      <alignment vertical="center"/>
    </xf>
    <xf numFmtId="194" fontId="4" fillId="0" borderId="106" xfId="7" applyNumberFormat="1" applyFont="1" applyFill="1" applyBorder="1" applyAlignment="1">
      <alignment vertical="center"/>
    </xf>
    <xf numFmtId="194" fontId="4" fillId="0" borderId="123" xfId="7" applyNumberFormat="1" applyFont="1" applyFill="1" applyBorder="1" applyAlignment="1">
      <alignment vertical="center"/>
    </xf>
    <xf numFmtId="0" fontId="4" fillId="0" borderId="123" xfId="0" applyFont="1" applyFill="1" applyBorder="1" applyAlignment="1">
      <alignment vertical="center"/>
    </xf>
    <xf numFmtId="0" fontId="4" fillId="0" borderId="105" xfId="0" applyFont="1" applyFill="1" applyBorder="1" applyAlignment="1">
      <alignment vertical="center"/>
    </xf>
    <xf numFmtId="194" fontId="6" fillId="0" borderId="123" xfId="0" applyNumberFormat="1" applyFont="1" applyFill="1" applyBorder="1" applyAlignment="1">
      <alignment vertical="center"/>
    </xf>
    <xf numFmtId="194" fontId="6" fillId="0" borderId="104" xfId="0" applyNumberFormat="1" applyFont="1" applyFill="1" applyBorder="1" applyAlignment="1">
      <alignment vertical="center"/>
    </xf>
    <xf numFmtId="194" fontId="6" fillId="0" borderId="122" xfId="0" applyNumberFormat="1" applyFont="1" applyFill="1" applyBorder="1" applyAlignment="1">
      <alignment vertical="center"/>
    </xf>
    <xf numFmtId="194" fontId="6" fillId="0" borderId="106" xfId="0" applyNumberFormat="1" applyFont="1" applyFill="1" applyBorder="1" applyAlignment="1">
      <alignment vertical="center"/>
    </xf>
    <xf numFmtId="194" fontId="4" fillId="0" borderId="107" xfId="7" applyNumberFormat="1" applyFont="1" applyFill="1" applyBorder="1" applyAlignment="1">
      <alignment vertical="center"/>
    </xf>
    <xf numFmtId="194" fontId="4" fillId="0" borderId="105" xfId="7" applyNumberFormat="1" applyFont="1" applyFill="1" applyBorder="1" applyAlignment="1">
      <alignment vertical="center"/>
    </xf>
    <xf numFmtId="194" fontId="6" fillId="0" borderId="25" xfId="0" applyNumberFormat="1" applyFont="1" applyFill="1" applyBorder="1" applyAlignment="1">
      <alignment vertical="center"/>
    </xf>
    <xf numFmtId="194" fontId="6" fillId="0" borderId="118"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42" xfId="0" applyNumberFormat="1" applyFont="1" applyFill="1" applyBorder="1" applyAlignment="1">
      <alignment vertical="center"/>
    </xf>
    <xf numFmtId="194" fontId="6" fillId="0" borderId="26" xfId="0" applyNumberFormat="1" applyFont="1" applyFill="1" applyBorder="1" applyAlignment="1">
      <alignment vertical="center"/>
    </xf>
    <xf numFmtId="194" fontId="4" fillId="0" borderId="125" xfId="7" applyNumberFormat="1" applyFont="1" applyFill="1" applyBorder="1" applyAlignment="1">
      <alignment vertical="center"/>
    </xf>
    <xf numFmtId="194" fontId="4" fillId="0" borderId="29"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19" xfId="0" applyNumberFormat="1" applyFont="1" applyFill="1" applyBorder="1" applyAlignment="1">
      <alignment vertical="center"/>
    </xf>
    <xf numFmtId="194" fontId="4" fillId="0" borderId="102" xfId="7" applyNumberFormat="1" applyFont="1" applyFill="1" applyBorder="1" applyAlignment="1">
      <alignment vertical="center"/>
    </xf>
    <xf numFmtId="194" fontId="6" fillId="0" borderId="115" xfId="7" applyNumberFormat="1" applyFont="1" applyFill="1" applyBorder="1" applyAlignment="1">
      <alignment vertical="center"/>
    </xf>
    <xf numFmtId="43" fontId="4" fillId="0" borderId="119" xfId="0" applyNumberFormat="1" applyFont="1" applyFill="1" applyBorder="1" applyAlignment="1">
      <alignment vertical="center"/>
    </xf>
    <xf numFmtId="164" fontId="4" fillId="0" borderId="26" xfId="0" applyNumberFormat="1" applyFont="1" applyFill="1" applyBorder="1" applyAlignment="1">
      <alignment vertical="center"/>
    </xf>
    <xf numFmtId="10" fontId="6" fillId="0" borderId="143" xfId="20961" applyNumberFormat="1" applyFont="1" applyFill="1" applyBorder="1" applyAlignment="1">
      <alignment vertical="center"/>
    </xf>
    <xf numFmtId="10" fontId="6" fillId="0" borderId="100" xfId="20961" applyNumberFormat="1" applyFont="1" applyFill="1" applyBorder="1" applyAlignment="1">
      <alignment vertical="center"/>
    </xf>
    <xf numFmtId="10" fontId="6" fillId="0" borderId="117" xfId="20961" applyNumberFormat="1" applyFont="1" applyFill="1" applyBorder="1" applyAlignment="1">
      <alignment vertical="center"/>
    </xf>
    <xf numFmtId="164" fontId="112" fillId="0" borderId="106" xfId="7" applyNumberFormat="1" applyFont="1" applyFill="1" applyBorder="1" applyAlignment="1" applyProtection="1">
      <alignment horizontal="right" vertical="center"/>
      <protection locked="0"/>
    </xf>
    <xf numFmtId="10" fontId="141" fillId="80" borderId="106" xfId="20961" applyNumberFormat="1" applyFont="1" applyFill="1" applyBorder="1" applyAlignment="1" applyProtection="1">
      <alignment horizontal="right" vertical="center"/>
    </xf>
    <xf numFmtId="0" fontId="105" fillId="0" borderId="105" xfId="0" applyNumberFormat="1" applyFont="1" applyFill="1" applyBorder="1" applyAlignment="1">
      <alignment horizontal="left" vertical="center" wrapText="1"/>
    </xf>
    <xf numFmtId="0" fontId="105" fillId="0" borderId="106" xfId="0" applyFont="1" applyFill="1" applyBorder="1" applyAlignment="1">
      <alignment horizontal="left" vertical="center" wrapText="1"/>
    </xf>
    <xf numFmtId="0" fontId="139" fillId="0" borderId="106" xfId="0" applyFont="1" applyFill="1" applyBorder="1" applyAlignment="1">
      <alignment horizontal="center"/>
    </xf>
    <xf numFmtId="0" fontId="139" fillId="0" borderId="106" xfId="0" applyFont="1" applyBorder="1" applyAlignment="1">
      <alignment horizontal="center"/>
    </xf>
    <xf numFmtId="164" fontId="139" fillId="0" borderId="106" xfId="7" applyNumberFormat="1" applyFont="1" applyBorder="1"/>
    <xf numFmtId="164" fontId="139" fillId="0" borderId="121" xfId="7" applyNumberFormat="1" applyFont="1" applyBorder="1"/>
    <xf numFmtId="164" fontId="4" fillId="0" borderId="106" xfId="7" applyNumberFormat="1" applyFont="1" applyBorder="1" applyAlignment="1"/>
    <xf numFmtId="164" fontId="4" fillId="0" borderId="121" xfId="7" applyNumberFormat="1" applyFont="1" applyBorder="1" applyAlignment="1"/>
    <xf numFmtId="164" fontId="139" fillId="0" borderId="106" xfId="7" applyNumberFormat="1" applyFont="1" applyBorder="1" applyAlignment="1">
      <alignment vertical="center"/>
    </xf>
    <xf numFmtId="0" fontId="122" fillId="0" borderId="106" xfId="13" applyFont="1" applyFill="1" applyBorder="1" applyAlignment="1" applyProtection="1">
      <alignment horizontal="left" vertical="center" wrapText="1"/>
      <protection locked="0"/>
    </xf>
    <xf numFmtId="0" fontId="116" fillId="0" borderId="0" xfId="0" applyFont="1" applyFill="1" applyAlignment="1">
      <alignment horizontal="left" vertical="top" wrapText="1"/>
    </xf>
    <xf numFmtId="164" fontId="142" fillId="0" borderId="106" xfId="7" applyNumberFormat="1" applyFont="1" applyFill="1" applyBorder="1"/>
    <xf numFmtId="164" fontId="119" fillId="0" borderId="106" xfId="7" applyNumberFormat="1" applyFont="1" applyFill="1" applyBorder="1"/>
    <xf numFmtId="164" fontId="116" fillId="0" borderId="106" xfId="7" applyNumberFormat="1" applyFont="1" applyFill="1" applyBorder="1"/>
    <xf numFmtId="194" fontId="143" fillId="36" borderId="106" xfId="21413" applyNumberFormat="1" applyFont="1" applyFill="1" applyBorder="1"/>
    <xf numFmtId="164" fontId="144" fillId="0" borderId="106" xfId="7" applyNumberFormat="1" applyFont="1" applyFill="1" applyBorder="1"/>
    <xf numFmtId="0" fontId="116" fillId="0" borderId="106" xfId="0" applyFont="1" applyFill="1" applyBorder="1" applyAlignment="1">
      <alignment horizontal="center" vertical="center" wrapText="1"/>
    </xf>
    <xf numFmtId="164" fontId="119" fillId="0" borderId="106" xfId="0" applyNumberFormat="1" applyFont="1" applyFill="1" applyBorder="1"/>
    <xf numFmtId="164" fontId="116" fillId="0" borderId="106" xfId="7" applyNumberFormat="1" applyFont="1" applyFill="1" applyBorder="1" applyAlignment="1">
      <alignment horizontal="left" indent="1"/>
    </xf>
    <xf numFmtId="0" fontId="116" fillId="0" borderId="7" xfId="0" applyFont="1" applyFill="1" applyBorder="1"/>
    <xf numFmtId="49" fontId="116" fillId="0" borderId="106" xfId="0" applyNumberFormat="1" applyFont="1" applyFill="1" applyBorder="1" applyAlignment="1">
      <alignment horizontal="center" vertical="center" wrapText="1"/>
    </xf>
    <xf numFmtId="164" fontId="119" fillId="0" borderId="7" xfId="7" applyNumberFormat="1" applyFont="1" applyFill="1" applyBorder="1"/>
    <xf numFmtId="164" fontId="116" fillId="0" borderId="106" xfId="7" applyNumberFormat="1" applyFont="1" applyFill="1" applyBorder="1" applyAlignment="1">
      <alignment horizontal="left" indent="2"/>
    </xf>
    <xf numFmtId="164" fontId="116" fillId="0" borderId="106" xfId="7" applyNumberFormat="1" applyFont="1" applyFill="1" applyBorder="1" applyAlignment="1">
      <alignment horizontal="left" indent="3"/>
    </xf>
    <xf numFmtId="164" fontId="116" fillId="0" borderId="106" xfId="7" applyNumberFormat="1" applyFont="1" applyFill="1" applyBorder="1" applyAlignment="1">
      <alignment horizontal="left" vertical="top" wrapText="1" indent="2"/>
    </xf>
    <xf numFmtId="164" fontId="116" fillId="0" borderId="106" xfId="7" applyNumberFormat="1" applyFont="1" applyFill="1" applyBorder="1" applyAlignment="1">
      <alignment horizontal="left" wrapText="1" indent="3"/>
    </xf>
    <xf numFmtId="164" fontId="116" fillId="0" borderId="106" xfId="7" applyNumberFormat="1" applyFont="1" applyFill="1" applyBorder="1" applyAlignment="1">
      <alignment horizontal="left" wrapText="1" indent="2"/>
    </xf>
    <xf numFmtId="164" fontId="116" fillId="0" borderId="106" xfId="7" applyNumberFormat="1" applyFont="1" applyFill="1" applyBorder="1" applyAlignment="1">
      <alignment horizontal="left" wrapText="1" indent="1"/>
    </xf>
    <xf numFmtId="164" fontId="115" fillId="0" borderId="106" xfId="7" applyNumberFormat="1" applyFont="1" applyFill="1" applyBorder="1" applyAlignment="1">
      <alignment horizontal="left" vertical="center" wrapText="1"/>
    </xf>
    <xf numFmtId="164" fontId="116" fillId="0" borderId="106" xfId="7" applyNumberFormat="1" applyFont="1" applyFill="1" applyBorder="1" applyAlignment="1">
      <alignment horizontal="center" vertical="center" textRotation="90" wrapText="1"/>
    </xf>
    <xf numFmtId="164" fontId="116" fillId="0" borderId="106" xfId="7" applyNumberFormat="1" applyFont="1" applyFill="1" applyBorder="1" applyAlignment="1">
      <alignment horizontal="center" vertical="center" wrapText="1"/>
    </xf>
    <xf numFmtId="164" fontId="116" fillId="0" borderId="106" xfId="7" applyNumberFormat="1" applyFont="1" applyFill="1" applyBorder="1" applyAlignment="1">
      <alignment horizontal="center" vertical="center"/>
    </xf>
    <xf numFmtId="164" fontId="118" fillId="0" borderId="106" xfId="7" applyNumberFormat="1" applyFont="1" applyFill="1" applyBorder="1" applyAlignment="1">
      <alignment horizontal="left" vertical="center" wrapText="1"/>
    </xf>
    <xf numFmtId="49" fontId="104" fillId="0" borderId="106" xfId="0" applyNumberFormat="1" applyFont="1" applyFill="1" applyBorder="1" applyAlignment="1">
      <alignment horizontal="right" vertical="center"/>
    </xf>
    <xf numFmtId="0" fontId="0" fillId="0" borderId="7" xfId="0" applyBorder="1"/>
    <xf numFmtId="0" fontId="124" fillId="0" borderId="106" xfId="0" applyFont="1" applyBorder="1" applyAlignment="1">
      <alignment horizontal="left" indent="2"/>
    </xf>
    <xf numFmtId="0" fontId="146" fillId="0" borderId="144" xfId="0" applyNumberFormat="1" applyFont="1" applyFill="1" applyBorder="1" applyAlignment="1">
      <alignment vertical="center" wrapText="1" readingOrder="1"/>
    </xf>
    <xf numFmtId="0" fontId="124" fillId="0" borderId="106" xfId="0" applyFont="1" applyBorder="1"/>
    <xf numFmtId="0" fontId="146" fillId="0" borderId="145" xfId="0" applyNumberFormat="1" applyFont="1" applyFill="1" applyBorder="1" applyAlignment="1">
      <alignment vertical="center" wrapText="1" readingOrder="1"/>
    </xf>
    <xf numFmtId="0" fontId="124" fillId="0" borderId="106" xfId="0" applyFont="1" applyBorder="1" applyAlignment="1">
      <alignment horizontal="left" indent="3"/>
    </xf>
    <xf numFmtId="0" fontId="146" fillId="0" borderId="145" xfId="0" applyNumberFormat="1" applyFont="1" applyFill="1" applyBorder="1" applyAlignment="1">
      <alignment horizontal="left" vertical="center" wrapText="1" indent="1" readingOrder="1"/>
    </xf>
    <xf numFmtId="0" fontId="124" fillId="0" borderId="101" xfId="0" applyFont="1" applyBorder="1" applyAlignment="1">
      <alignment horizontal="left" indent="2"/>
    </xf>
    <xf numFmtId="0" fontId="146" fillId="0" borderId="146" xfId="0" applyNumberFormat="1" applyFont="1" applyFill="1" applyBorder="1" applyAlignment="1">
      <alignment vertical="center" wrapText="1" readingOrder="1"/>
    </xf>
    <xf numFmtId="0" fontId="124" fillId="0" borderId="106" xfId="0" applyFont="1" applyFill="1" applyBorder="1" applyAlignment="1">
      <alignment horizontal="left" indent="2"/>
    </xf>
    <xf numFmtId="0" fontId="147" fillId="0" borderId="106" xfId="0" applyNumberFormat="1" applyFont="1" applyFill="1" applyBorder="1" applyAlignment="1">
      <alignment vertical="center" wrapText="1" readingOrder="1"/>
    </xf>
    <xf numFmtId="0" fontId="115" fillId="0" borderId="106" xfId="0" applyNumberFormat="1" applyFont="1" applyFill="1" applyBorder="1" applyAlignment="1">
      <alignment vertical="center" wrapText="1"/>
    </xf>
    <xf numFmtId="0" fontId="115" fillId="0" borderId="106" xfId="0" applyFont="1" applyFill="1" applyBorder="1" applyAlignment="1">
      <alignment vertical="center" wrapText="1"/>
    </xf>
    <xf numFmtId="0" fontId="115" fillId="0" borderId="106" xfId="0" applyNumberFormat="1" applyFont="1" applyFill="1" applyBorder="1" applyAlignment="1">
      <alignment horizontal="left" vertical="center" wrapText="1" indent="1"/>
    </xf>
    <xf numFmtId="0" fontId="115" fillId="0" borderId="106" xfId="0" applyNumberFormat="1" applyFont="1" applyFill="1" applyBorder="1" applyAlignment="1">
      <alignment horizontal="left" vertical="center" indent="1"/>
    </xf>
    <xf numFmtId="0" fontId="146" fillId="0" borderId="145" xfId="0" applyNumberFormat="1" applyFont="1" applyFill="1" applyBorder="1" applyAlignment="1">
      <alignment horizontal="left" vertical="center" wrapText="1" readingOrder="1"/>
    </xf>
    <xf numFmtId="0" fontId="124" fillId="0" borderId="106" xfId="0" applyFont="1" applyBorder="1" applyAlignment="1">
      <alignment horizontal="left" vertical="center" wrapText="1"/>
    </xf>
    <xf numFmtId="0" fontId="115" fillId="0" borderId="106" xfId="0" applyFont="1" applyFill="1" applyBorder="1" applyAlignment="1">
      <alignment horizontal="left" vertical="center" wrapText="1"/>
    </xf>
    <xf numFmtId="164" fontId="148" fillId="0" borderId="106" xfId="7" applyNumberFormat="1" applyFont="1" applyBorder="1"/>
    <xf numFmtId="164" fontId="149" fillId="0" borderId="106" xfId="7" applyNumberFormat="1" applyFont="1" applyBorder="1"/>
    <xf numFmtId="10" fontId="0" fillId="0" borderId="106" xfId="20961" applyNumberFormat="1" applyFont="1" applyBorder="1"/>
    <xf numFmtId="164" fontId="0" fillId="0" borderId="106" xfId="7" applyNumberFormat="1" applyFont="1" applyBorder="1"/>
    <xf numFmtId="164" fontId="124" fillId="0" borderId="106" xfId="7" applyNumberFormat="1" applyFont="1" applyBorder="1"/>
    <xf numFmtId="164" fontId="124" fillId="0" borderId="101" xfId="7" applyNumberFormat="1" applyFont="1" applyBorder="1"/>
    <xf numFmtId="164" fontId="0" fillId="0" borderId="101" xfId="7" applyNumberFormat="1" applyFont="1" applyBorder="1"/>
    <xf numFmtId="10" fontId="0" fillId="0" borderId="101" xfId="20961" applyNumberFormat="1" applyFont="1" applyBorder="1"/>
    <xf numFmtId="0" fontId="103" fillId="0" borderId="73" xfId="0" applyFont="1" applyBorder="1" applyAlignment="1">
      <alignment horizontal="left" vertical="center" wrapText="1"/>
    </xf>
    <xf numFmtId="0" fontId="103" fillId="0" borderId="72" xfId="0" applyFont="1" applyBorder="1" applyAlignment="1">
      <alignment horizontal="left" vertical="center" wrapText="1"/>
    </xf>
    <xf numFmtId="0" fontId="9" fillId="0" borderId="29" xfId="0" applyFont="1" applyFill="1" applyBorder="1" applyAlignment="1" applyProtection="1">
      <alignment horizontal="center"/>
    </xf>
    <xf numFmtId="0" fontId="9" fillId="0" borderId="30" xfId="0" applyFont="1" applyFill="1" applyBorder="1" applyAlignment="1" applyProtection="1">
      <alignment horizontal="center"/>
    </xf>
    <xf numFmtId="0" fontId="9" fillId="0" borderId="32" xfId="0" applyFont="1" applyFill="1" applyBorder="1" applyAlignment="1" applyProtection="1">
      <alignment horizontal="center"/>
    </xf>
    <xf numFmtId="0" fontId="9"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6" xfId="0" applyFont="1" applyFill="1" applyBorder="1" applyAlignment="1">
      <alignment horizontal="center" vertical="center" wrapText="1"/>
    </xf>
    <xf numFmtId="0" fontId="4" fillId="0" borderId="107" xfId="0" applyFont="1" applyFill="1" applyBorder="1" applyAlignment="1">
      <alignment horizontal="center"/>
    </xf>
    <xf numFmtId="0" fontId="4" fillId="0" borderId="24" xfId="0" applyFont="1" applyFill="1" applyBorder="1" applyAlignment="1">
      <alignment horizontal="center"/>
    </xf>
    <xf numFmtId="0" fontId="6" fillId="36" borderId="125"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22" xfId="0" applyFont="1" applyFill="1" applyBorder="1" applyAlignment="1">
      <alignment horizontal="center" vertical="center" wrapText="1"/>
    </xf>
    <xf numFmtId="0" fontId="6" fillId="36" borderId="105" xfId="0" applyFont="1" applyFill="1" applyBorder="1" applyAlignment="1">
      <alignment horizontal="center" vertical="center" wrapText="1"/>
    </xf>
    <xf numFmtId="0" fontId="101" fillId="3" borderId="74" xfId="13" applyFont="1" applyFill="1" applyBorder="1" applyAlignment="1" applyProtection="1">
      <alignment horizontal="center" vertical="center" wrapText="1"/>
      <protection locked="0"/>
    </xf>
    <xf numFmtId="0" fontId="101"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97" xfId="1" applyNumberFormat="1" applyFont="1" applyFill="1" applyBorder="1" applyAlignment="1" applyProtection="1">
      <alignment horizontal="center" vertical="center" wrapText="1"/>
      <protection locked="0"/>
    </xf>
    <xf numFmtId="164" fontId="15" fillId="0" borderId="9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39" fillId="0" borderId="20" xfId="0" applyFont="1" applyBorder="1" applyAlignment="1">
      <alignment horizontal="center"/>
    </xf>
    <xf numFmtId="0" fontId="139" fillId="0" borderId="21" xfId="0" applyFont="1" applyBorder="1" applyAlignment="1">
      <alignment horizontal="center" vertical="center" wrapText="1"/>
    </xf>
    <xf numFmtId="0" fontId="139" fillId="0" borderId="121" xfId="0" applyFont="1" applyBorder="1" applyAlignment="1">
      <alignment horizontal="center" vertical="center" wrapText="1"/>
    </xf>
    <xf numFmtId="0" fontId="118" fillId="0" borderId="128" xfId="0" applyNumberFormat="1" applyFont="1" applyFill="1" applyBorder="1" applyAlignment="1">
      <alignment horizontal="left" vertical="center" wrapText="1"/>
    </xf>
    <xf numFmtId="0" fontId="118" fillId="0" borderId="129" xfId="0" applyNumberFormat="1" applyFont="1" applyFill="1" applyBorder="1" applyAlignment="1">
      <alignment horizontal="left" vertical="center" wrapText="1"/>
    </xf>
    <xf numFmtId="0" fontId="118" fillId="0" borderId="131" xfId="0" applyNumberFormat="1" applyFont="1" applyFill="1" applyBorder="1" applyAlignment="1">
      <alignment horizontal="left" vertical="center" wrapText="1"/>
    </xf>
    <xf numFmtId="0" fontId="118" fillId="0" borderId="132" xfId="0" applyNumberFormat="1" applyFont="1" applyFill="1" applyBorder="1" applyAlignment="1">
      <alignment horizontal="left" vertical="center" wrapText="1"/>
    </xf>
    <xf numFmtId="0" fontId="118" fillId="0" borderId="134" xfId="0" applyNumberFormat="1" applyFont="1" applyFill="1" applyBorder="1" applyAlignment="1">
      <alignment horizontal="left" vertical="center" wrapText="1"/>
    </xf>
    <xf numFmtId="0" fontId="118" fillId="0" borderId="135" xfId="0" applyNumberFormat="1" applyFont="1" applyFill="1" applyBorder="1" applyAlignment="1">
      <alignment horizontal="left" vertical="center" wrapText="1"/>
    </xf>
    <xf numFmtId="0" fontId="119" fillId="0" borderId="102" xfId="0" applyFont="1" applyFill="1" applyBorder="1" applyAlignment="1">
      <alignment horizontal="center" vertical="center" wrapText="1"/>
    </xf>
    <xf numFmtId="0" fontId="119" fillId="0" borderId="120"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8" xfId="0" applyFont="1" applyFill="1" applyBorder="1" applyAlignment="1">
      <alignment horizontal="center" vertical="center" wrapText="1"/>
    </xf>
    <xf numFmtId="0" fontId="119" fillId="0" borderId="13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01"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06" xfId="0" applyFont="1" applyBorder="1" applyAlignment="1">
      <alignment horizontal="center" vertical="center" wrapText="1"/>
    </xf>
    <xf numFmtId="0" fontId="123" fillId="0" borderId="106" xfId="0" applyFont="1" applyFill="1" applyBorder="1" applyAlignment="1">
      <alignment horizontal="center" vertical="center"/>
    </xf>
    <xf numFmtId="0" fontId="123" fillId="0" borderId="102" xfId="0" applyFont="1" applyFill="1" applyBorder="1" applyAlignment="1">
      <alignment horizontal="center" vertical="center"/>
    </xf>
    <xf numFmtId="0" fontId="123" fillId="0" borderId="130" xfId="0" applyFont="1" applyFill="1" applyBorder="1" applyAlignment="1">
      <alignment horizontal="center" vertical="center"/>
    </xf>
    <xf numFmtId="0" fontId="123" fillId="0" borderId="58" xfId="0" applyFont="1" applyFill="1" applyBorder="1" applyAlignment="1">
      <alignment horizontal="center" vertical="center"/>
    </xf>
    <xf numFmtId="0" fontId="123" fillId="0" borderId="11" xfId="0" applyFont="1" applyFill="1" applyBorder="1" applyAlignment="1">
      <alignment horizontal="center" vertical="center"/>
    </xf>
    <xf numFmtId="0" fontId="119" fillId="0" borderId="106" xfId="0" applyFont="1" applyFill="1" applyBorder="1" applyAlignment="1">
      <alignment horizontal="center" vertical="center" wrapText="1"/>
    </xf>
    <xf numFmtId="0" fontId="119" fillId="0" borderId="136" xfId="0" applyFont="1" applyFill="1" applyBorder="1" applyAlignment="1">
      <alignment horizontal="center" vertical="center" wrapText="1"/>
    </xf>
    <xf numFmtId="0" fontId="119" fillId="0" borderId="137" xfId="0" applyFont="1" applyFill="1" applyBorder="1" applyAlignment="1">
      <alignment horizontal="center" vertical="center" wrapText="1"/>
    </xf>
    <xf numFmtId="0" fontId="116" fillId="0" borderId="107" xfId="0" applyFont="1" applyFill="1" applyBorder="1" applyAlignment="1">
      <alignment horizontal="center"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8"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6" fillId="0" borderId="13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37" xfId="0" applyFont="1" applyFill="1" applyBorder="1" applyAlignment="1">
      <alignment horizontal="center" vertical="center" wrapText="1"/>
    </xf>
    <xf numFmtId="0" fontId="116" fillId="0" borderId="11" xfId="0" applyFont="1" applyBorder="1" applyAlignment="1">
      <alignment horizontal="center" vertical="center" wrapText="1"/>
    </xf>
    <xf numFmtId="0" fontId="118" fillId="0" borderId="102" xfId="0" applyNumberFormat="1" applyFont="1" applyFill="1" applyBorder="1" applyAlignment="1">
      <alignment horizontal="left" vertical="top" wrapText="1"/>
    </xf>
    <xf numFmtId="0" fontId="118" fillId="0" borderId="130" xfId="0" applyNumberFormat="1" applyFont="1" applyFill="1" applyBorder="1" applyAlignment="1">
      <alignment horizontal="left" vertical="top" wrapText="1"/>
    </xf>
    <xf numFmtId="0" fontId="118" fillId="0" borderId="136" xfId="0" applyNumberFormat="1" applyFont="1" applyFill="1" applyBorder="1" applyAlignment="1">
      <alignment horizontal="left" vertical="top" wrapText="1"/>
    </xf>
    <xf numFmtId="0" fontId="118" fillId="0" borderId="137" xfId="0" applyNumberFormat="1" applyFont="1" applyFill="1" applyBorder="1" applyAlignment="1">
      <alignment horizontal="left" vertical="top" wrapText="1"/>
    </xf>
    <xf numFmtId="0" fontId="118" fillId="0" borderId="58" xfId="0" applyNumberFormat="1" applyFont="1" applyFill="1" applyBorder="1" applyAlignment="1">
      <alignment horizontal="left" vertical="top" wrapText="1"/>
    </xf>
    <xf numFmtId="0" fontId="118" fillId="0" borderId="11" xfId="0" applyNumberFormat="1" applyFont="1" applyFill="1" applyBorder="1" applyAlignment="1">
      <alignment horizontal="left" vertical="top" wrapText="1"/>
    </xf>
    <xf numFmtId="0" fontId="116" fillId="0" borderId="102" xfId="0" applyFont="1" applyFill="1" applyBorder="1" applyAlignment="1">
      <alignment horizontal="center" vertical="center"/>
    </xf>
    <xf numFmtId="0" fontId="116" fillId="0" borderId="120" xfId="0" applyFont="1" applyFill="1" applyBorder="1" applyAlignment="1">
      <alignment horizontal="center" vertical="center"/>
    </xf>
    <xf numFmtId="0" fontId="116" fillId="0" borderId="130" xfId="0" applyFont="1" applyFill="1" applyBorder="1" applyAlignment="1">
      <alignment horizontal="center" vertical="center"/>
    </xf>
    <xf numFmtId="0" fontId="116" fillId="0" borderId="102" xfId="0" applyFont="1" applyFill="1" applyBorder="1" applyAlignment="1">
      <alignment horizontal="center" vertical="center" wrapText="1"/>
    </xf>
    <xf numFmtId="0" fontId="116" fillId="0" borderId="120"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6" fillId="0" borderId="102" xfId="0" applyFont="1" applyBorder="1" applyAlignment="1">
      <alignment horizontal="center" vertical="top" wrapText="1"/>
    </xf>
    <xf numFmtId="0" fontId="116" fillId="0" borderId="120" xfId="0" applyFont="1" applyBorder="1" applyAlignment="1">
      <alignment horizontal="center" vertical="top" wrapText="1"/>
    </xf>
    <xf numFmtId="0" fontId="116" fillId="0" borderId="130" xfId="0" applyFont="1" applyBorder="1" applyAlignment="1">
      <alignment horizontal="center" vertical="top" wrapText="1"/>
    </xf>
    <xf numFmtId="0" fontId="116" fillId="0" borderId="102" xfId="0" applyFont="1" applyFill="1" applyBorder="1" applyAlignment="1">
      <alignment horizontal="center" vertical="top" wrapText="1"/>
    </xf>
    <xf numFmtId="0" fontId="116" fillId="0" borderId="104" xfId="0" applyFont="1" applyFill="1" applyBorder="1" applyAlignment="1">
      <alignment horizontal="center" vertical="top" wrapText="1"/>
    </xf>
    <xf numFmtId="0" fontId="116" fillId="0" borderId="105" xfId="0" applyFont="1" applyFill="1" applyBorder="1" applyAlignment="1">
      <alignment horizontal="center" vertical="top" wrapText="1"/>
    </xf>
    <xf numFmtId="0" fontId="116" fillId="0" borderId="101" xfId="0" applyFont="1" applyBorder="1" applyAlignment="1">
      <alignment horizontal="center" vertical="top" wrapText="1"/>
    </xf>
    <xf numFmtId="0" fontId="116" fillId="0" borderId="7" xfId="0" applyFont="1" applyBorder="1" applyAlignment="1">
      <alignment horizontal="center" vertical="top" wrapText="1"/>
    </xf>
    <xf numFmtId="0" fontId="118" fillId="0" borderId="139" xfId="0" applyNumberFormat="1" applyFont="1" applyFill="1" applyBorder="1" applyAlignment="1">
      <alignment horizontal="left" vertical="top" wrapText="1"/>
    </xf>
    <xf numFmtId="0" fontId="118" fillId="0" borderId="140" xfId="0" applyNumberFormat="1" applyFont="1" applyFill="1" applyBorder="1" applyAlignment="1">
      <alignment horizontal="left" vertical="top" wrapText="1"/>
    </xf>
    <xf numFmtId="0" fontId="124" fillId="0" borderId="106" xfId="0" applyFont="1" applyBorder="1" applyAlignment="1">
      <alignment horizontal="center" vertical="center" wrapText="1"/>
    </xf>
    <xf numFmtId="0" fontId="145" fillId="0" borderId="106" xfId="0" applyFont="1" applyBorder="1" applyAlignment="1">
      <alignment horizontal="center" vertical="center"/>
    </xf>
    <xf numFmtId="0" fontId="124" fillId="0" borderId="101" xfId="0" applyFont="1" applyBorder="1" applyAlignment="1">
      <alignment horizontal="center" vertical="center" wrapText="1"/>
    </xf>
    <xf numFmtId="0" fontId="105" fillId="0" borderId="107" xfId="0" applyFont="1" applyFill="1" applyBorder="1" applyAlignment="1">
      <alignment horizontal="left" vertical="center" wrapText="1"/>
    </xf>
    <xf numFmtId="0" fontId="105" fillId="0" borderId="105" xfId="0" applyFont="1" applyFill="1" applyBorder="1" applyAlignment="1">
      <alignment horizontal="left" vertical="center" wrapText="1"/>
    </xf>
    <xf numFmtId="0" fontId="105" fillId="0" borderId="107" xfId="0" applyFont="1" applyFill="1" applyBorder="1" applyAlignment="1">
      <alignment horizontal="left"/>
    </xf>
    <xf numFmtId="0" fontId="105" fillId="0" borderId="105" xfId="0" applyFont="1" applyFill="1" applyBorder="1" applyAlignment="1">
      <alignment horizontal="left"/>
    </xf>
    <xf numFmtId="0" fontId="105" fillId="3" borderId="107" xfId="0" applyFont="1" applyFill="1" applyBorder="1" applyAlignment="1">
      <alignment vertical="center" wrapText="1"/>
    </xf>
    <xf numFmtId="0" fontId="105" fillId="3" borderId="105" xfId="0" applyFont="1" applyFill="1" applyBorder="1" applyAlignment="1">
      <alignment vertical="center" wrapText="1"/>
    </xf>
    <xf numFmtId="0" fontId="104" fillId="0" borderId="77" xfId="0" applyFont="1" applyFill="1" applyBorder="1" applyAlignment="1">
      <alignment horizontal="center" vertical="center"/>
    </xf>
    <xf numFmtId="0" fontId="104" fillId="0" borderId="78" xfId="0" applyFont="1" applyFill="1" applyBorder="1" applyAlignment="1">
      <alignment horizontal="center" vertical="center"/>
    </xf>
    <xf numFmtId="0" fontId="104" fillId="0" borderId="79" xfId="0" applyFont="1" applyFill="1" applyBorder="1" applyAlignment="1">
      <alignment horizontal="center" vertical="center"/>
    </xf>
    <xf numFmtId="0" fontId="105" fillId="0" borderId="106" xfId="0" applyFont="1" applyFill="1" applyBorder="1" applyAlignment="1">
      <alignment horizontal="left" vertical="center" wrapText="1"/>
    </xf>
    <xf numFmtId="0" fontId="104" fillId="76" borderId="80" xfId="0" applyFont="1" applyFill="1" applyBorder="1" applyAlignment="1">
      <alignment horizontal="center" vertical="center" wrapText="1"/>
    </xf>
    <xf numFmtId="0" fontId="104" fillId="76" borderId="81" xfId="0" applyFont="1" applyFill="1" applyBorder="1" applyAlignment="1">
      <alignment horizontal="center" vertical="center" wrapText="1"/>
    </xf>
    <xf numFmtId="0" fontId="104" fillId="76" borderId="82" xfId="0" applyFont="1" applyFill="1" applyBorder="1" applyAlignment="1">
      <alignment horizontal="center" vertical="center" wrapText="1"/>
    </xf>
    <xf numFmtId="0" fontId="105" fillId="0" borderId="58"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107" xfId="0" applyFont="1" applyFill="1" applyBorder="1" applyAlignment="1">
      <alignment vertical="center" wrapText="1"/>
    </xf>
    <xf numFmtId="0" fontId="105" fillId="0" borderId="105" xfId="0" applyFont="1" applyFill="1" applyBorder="1" applyAlignment="1">
      <alignment vertical="center" wrapText="1"/>
    </xf>
    <xf numFmtId="0" fontId="105" fillId="3" borderId="84" xfId="0" applyFont="1" applyFill="1" applyBorder="1" applyAlignment="1">
      <alignment horizontal="left" vertical="center" wrapText="1"/>
    </xf>
    <xf numFmtId="0" fontId="105" fillId="3" borderId="85" xfId="0" applyFont="1" applyFill="1" applyBorder="1" applyAlignment="1">
      <alignment horizontal="left" vertical="center" wrapText="1"/>
    </xf>
    <xf numFmtId="0" fontId="105" fillId="0" borderId="87" xfId="0" applyFont="1" applyFill="1" applyBorder="1" applyAlignment="1">
      <alignment horizontal="left" vertical="center" wrapText="1"/>
    </xf>
    <xf numFmtId="0" fontId="105" fillId="0" borderId="88" xfId="0" applyFont="1" applyFill="1" applyBorder="1" applyAlignment="1">
      <alignment horizontal="left" vertical="center" wrapText="1"/>
    </xf>
    <xf numFmtId="0" fontId="105" fillId="0" borderId="58" xfId="0" applyFont="1" applyFill="1" applyBorder="1" applyAlignment="1">
      <alignment vertical="center" wrapText="1"/>
    </xf>
    <xf numFmtId="0" fontId="105" fillId="0" borderId="11" xfId="0" applyFont="1" applyFill="1" applyBorder="1" applyAlignment="1">
      <alignment vertical="center" wrapText="1"/>
    </xf>
    <xf numFmtId="0" fontId="105" fillId="0" borderId="84" xfId="0" applyFont="1" applyFill="1" applyBorder="1" applyAlignment="1">
      <alignment horizontal="left" vertical="center" wrapText="1"/>
    </xf>
    <xf numFmtId="0" fontId="105" fillId="0" borderId="85" xfId="0" applyFont="1" applyFill="1" applyBorder="1" applyAlignment="1">
      <alignment horizontal="left" vertical="center" wrapText="1"/>
    </xf>
    <xf numFmtId="0" fontId="105" fillId="0" borderId="84" xfId="0" applyFont="1" applyFill="1" applyBorder="1" applyAlignment="1">
      <alignment vertical="center" wrapText="1"/>
    </xf>
    <xf numFmtId="0" fontId="105" fillId="0" borderId="85" xfId="0" applyFont="1" applyFill="1" applyBorder="1" applyAlignment="1">
      <alignment vertical="center" wrapText="1"/>
    </xf>
    <xf numFmtId="0" fontId="105" fillId="3" borderId="107" xfId="0" applyFont="1" applyFill="1" applyBorder="1" applyAlignment="1">
      <alignment horizontal="left" vertical="center" wrapText="1"/>
    </xf>
    <xf numFmtId="0" fontId="105" fillId="3" borderId="105" xfId="0" applyFont="1" applyFill="1" applyBorder="1" applyAlignment="1">
      <alignment horizontal="left" vertical="center" wrapText="1"/>
    </xf>
    <xf numFmtId="0" fontId="104" fillId="76" borderId="89" xfId="0" applyFont="1" applyFill="1" applyBorder="1" applyAlignment="1">
      <alignment horizontal="center" vertical="center" wrapText="1"/>
    </xf>
    <xf numFmtId="0" fontId="104" fillId="76" borderId="0" xfId="0" applyFont="1" applyFill="1" applyBorder="1" applyAlignment="1">
      <alignment horizontal="center" vertical="center" wrapText="1"/>
    </xf>
    <xf numFmtId="0" fontId="104" fillId="76" borderId="90" xfId="0" applyFont="1" applyFill="1" applyBorder="1" applyAlignment="1">
      <alignment horizontal="center" vertical="center" wrapText="1"/>
    </xf>
    <xf numFmtId="0" fontId="105" fillId="78" borderId="107" xfId="0" applyFont="1" applyFill="1" applyBorder="1" applyAlignment="1">
      <alignment vertical="center" wrapText="1"/>
    </xf>
    <xf numFmtId="0" fontId="105" fillId="78" borderId="105" xfId="0" applyFont="1" applyFill="1" applyBorder="1" applyAlignment="1">
      <alignment vertical="center" wrapText="1"/>
    </xf>
    <xf numFmtId="0" fontId="104" fillId="76" borderId="94" xfId="0" applyFont="1" applyFill="1" applyBorder="1" applyAlignment="1">
      <alignment horizontal="center" vertical="center"/>
    </xf>
    <xf numFmtId="0" fontId="104" fillId="76" borderId="95" xfId="0" applyFont="1" applyFill="1" applyBorder="1" applyAlignment="1">
      <alignment horizontal="center" vertical="center"/>
    </xf>
    <xf numFmtId="0" fontId="104" fillId="76" borderId="96" xfId="0" applyFont="1" applyFill="1" applyBorder="1" applyAlignment="1">
      <alignment horizontal="center" vertical="center"/>
    </xf>
    <xf numFmtId="0" fontId="104" fillId="76" borderId="106" xfId="0" applyFont="1" applyFill="1" applyBorder="1" applyAlignment="1">
      <alignment horizontal="center" vertical="center" wrapText="1"/>
    </xf>
    <xf numFmtId="0" fontId="104" fillId="0" borderId="106" xfId="0" applyFont="1" applyFill="1" applyBorder="1" applyAlignment="1">
      <alignment horizontal="center" vertical="center"/>
    </xf>
    <xf numFmtId="0" fontId="105" fillId="0" borderId="107" xfId="13" applyFont="1" applyFill="1" applyBorder="1" applyAlignment="1" applyProtection="1">
      <alignment horizontal="left" vertical="top" wrapText="1"/>
      <protection locked="0"/>
    </xf>
    <xf numFmtId="0" fontId="105" fillId="0" borderId="105" xfId="13" applyFont="1" applyFill="1" applyBorder="1" applyAlignment="1" applyProtection="1">
      <alignment horizontal="left" vertical="top" wrapText="1"/>
      <protection locked="0"/>
    </xf>
    <xf numFmtId="0" fontId="105" fillId="3" borderId="107" xfId="13" applyFont="1" applyFill="1" applyBorder="1" applyAlignment="1" applyProtection="1">
      <alignment horizontal="left" vertical="top" wrapText="1"/>
      <protection locked="0"/>
    </xf>
    <xf numFmtId="0" fontId="105" fillId="3" borderId="105" xfId="13" applyFont="1" applyFill="1" applyBorder="1" applyAlignment="1" applyProtection="1">
      <alignment horizontal="left" vertical="top" wrapText="1"/>
      <protection locked="0"/>
    </xf>
    <xf numFmtId="0" fontId="104" fillId="0" borderId="92" xfId="0" applyFont="1" applyFill="1" applyBorder="1" applyAlignment="1">
      <alignment horizontal="center" vertical="center"/>
    </xf>
    <xf numFmtId="0" fontId="105" fillId="0" borderId="107" xfId="0" applyNumberFormat="1" applyFont="1" applyFill="1" applyBorder="1" applyAlignment="1">
      <alignment horizontal="left" vertical="center" wrapText="1"/>
    </xf>
    <xf numFmtId="0" fontId="105" fillId="0" borderId="105" xfId="0" applyNumberFormat="1" applyFont="1" applyFill="1" applyBorder="1" applyAlignment="1">
      <alignment horizontal="left" vertical="center" wrapText="1"/>
    </xf>
    <xf numFmtId="0" fontId="104" fillId="76" borderId="107" xfId="0" applyFont="1" applyFill="1" applyBorder="1" applyAlignment="1">
      <alignment horizontal="center" vertical="center" wrapText="1"/>
    </xf>
    <xf numFmtId="0" fontId="104" fillId="76" borderId="105" xfId="0" applyFont="1" applyFill="1" applyBorder="1" applyAlignment="1">
      <alignment horizontal="center" vertical="center" wrapText="1"/>
    </xf>
    <xf numFmtId="0" fontId="105" fillId="0" borderId="107" xfId="0" applyNumberFormat="1" applyFont="1" applyFill="1" applyBorder="1" applyAlignment="1">
      <alignment horizontal="left" vertical="top" wrapText="1"/>
    </xf>
    <xf numFmtId="0" fontId="105" fillId="0" borderId="105" xfId="0" applyNumberFormat="1" applyFont="1" applyFill="1" applyBorder="1" applyAlignment="1">
      <alignment horizontal="left" vertical="top" wrapText="1"/>
    </xf>
    <xf numFmtId="0" fontId="105" fillId="0" borderId="101" xfId="12672" applyFont="1" applyFill="1" applyBorder="1" applyAlignment="1">
      <alignment horizontal="left" vertical="center" wrapText="1"/>
    </xf>
    <xf numFmtId="0" fontId="105" fillId="0" borderId="138" xfId="12672" applyFont="1" applyFill="1" applyBorder="1" applyAlignment="1">
      <alignment horizontal="left" vertical="center" wrapText="1"/>
    </xf>
    <xf numFmtId="0" fontId="105" fillId="0" borderId="7" xfId="12672" applyFont="1" applyFill="1" applyBorder="1" applyAlignment="1">
      <alignment horizontal="left" vertical="center" wrapText="1"/>
    </xf>
    <xf numFmtId="49" fontId="105" fillId="0" borderId="101" xfId="0" applyNumberFormat="1" applyFont="1" applyFill="1" applyBorder="1" applyAlignment="1">
      <alignment horizontal="center" vertical="center"/>
    </xf>
    <xf numFmtId="49" fontId="105" fillId="0" borderId="138" xfId="0" applyNumberFormat="1" applyFont="1" applyFill="1" applyBorder="1" applyAlignment="1">
      <alignment horizontal="center" vertical="center"/>
    </xf>
    <xf numFmtId="49" fontId="105" fillId="0" borderId="7" xfId="0" applyNumberFormat="1" applyFont="1" applyFill="1" applyBorder="1" applyAlignment="1">
      <alignment horizontal="center" vertical="center"/>
    </xf>
    <xf numFmtId="0" fontId="105" fillId="0" borderId="106" xfId="0" applyFont="1" applyFill="1" applyBorder="1" applyAlignment="1">
      <alignment horizontal="left" vertical="top" wrapText="1"/>
    </xf>
    <xf numFmtId="0" fontId="105" fillId="0" borderId="106" xfId="0" applyNumberFormat="1" applyFont="1" applyFill="1" applyBorder="1" applyAlignment="1">
      <alignment horizontal="left" vertical="top" wrapText="1"/>
    </xf>
    <xf numFmtId="0" fontId="105" fillId="0" borderId="107" xfId="0" applyFont="1" applyFill="1" applyBorder="1" applyAlignment="1">
      <alignment horizontal="left" vertical="top" wrapText="1"/>
    </xf>
  </cellXfs>
  <cellStyles count="21414">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showGridLines="0"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28515625" style="2" customWidth="1"/>
    <col min="2" max="2" width="153" bestFit="1" customWidth="1"/>
    <col min="3" max="3" width="34.85546875" bestFit="1" customWidth="1"/>
    <col min="7" max="7" width="25" customWidth="1"/>
  </cols>
  <sheetData>
    <row r="1" spans="1:3" ht="15.75">
      <c r="A1" s="10"/>
      <c r="B1" s="164" t="s">
        <v>254</v>
      </c>
      <c r="C1" s="76"/>
    </row>
    <row r="2" spans="1:3" s="161" customFormat="1" ht="15.75">
      <c r="A2" s="210">
        <v>1</v>
      </c>
      <c r="B2" s="162" t="s">
        <v>255</v>
      </c>
      <c r="C2" s="525" t="s">
        <v>954</v>
      </c>
    </row>
    <row r="3" spans="1:3" s="161" customFormat="1" ht="15.75">
      <c r="A3" s="210">
        <v>2</v>
      </c>
      <c r="B3" s="163" t="s">
        <v>256</v>
      </c>
      <c r="C3" s="525" t="s">
        <v>1031</v>
      </c>
    </row>
    <row r="4" spans="1:3" s="161" customFormat="1" ht="15.75">
      <c r="A4" s="210">
        <v>3</v>
      </c>
      <c r="B4" s="163" t="s">
        <v>257</v>
      </c>
      <c r="C4" s="525" t="s">
        <v>955</v>
      </c>
    </row>
    <row r="5" spans="1:3" s="161" customFormat="1" ht="15.75">
      <c r="A5" s="211">
        <v>4</v>
      </c>
      <c r="B5" s="166" t="s">
        <v>258</v>
      </c>
      <c r="C5" s="526" t="s">
        <v>956</v>
      </c>
    </row>
    <row r="6" spans="1:3" s="165" customFormat="1" ht="65.25" customHeight="1">
      <c r="A6" s="770" t="s">
        <v>490</v>
      </c>
      <c r="B6" s="771"/>
      <c r="C6" s="771"/>
    </row>
    <row r="7" spans="1:3">
      <c r="A7" s="305" t="s">
        <v>404</v>
      </c>
      <c r="B7" s="306" t="s">
        <v>259</v>
      </c>
    </row>
    <row r="8" spans="1:3">
      <c r="A8" s="307">
        <v>1</v>
      </c>
      <c r="B8" s="303" t="s">
        <v>223</v>
      </c>
    </row>
    <row r="9" spans="1:3">
      <c r="A9" s="307">
        <v>2</v>
      </c>
      <c r="B9" s="303" t="s">
        <v>260</v>
      </c>
    </row>
    <row r="10" spans="1:3">
      <c r="A10" s="307">
        <v>3</v>
      </c>
      <c r="B10" s="303" t="s">
        <v>261</v>
      </c>
    </row>
    <row r="11" spans="1:3">
      <c r="A11" s="307">
        <v>4</v>
      </c>
      <c r="B11" s="303" t="s">
        <v>262</v>
      </c>
      <c r="C11" s="160"/>
    </row>
    <row r="12" spans="1:3">
      <c r="A12" s="307">
        <v>5</v>
      </c>
      <c r="B12" s="303" t="s">
        <v>187</v>
      </c>
    </row>
    <row r="13" spans="1:3">
      <c r="A13" s="307">
        <v>6</v>
      </c>
      <c r="B13" s="308" t="s">
        <v>149</v>
      </c>
    </row>
    <row r="14" spans="1:3">
      <c r="A14" s="307">
        <v>7</v>
      </c>
      <c r="B14" s="303" t="s">
        <v>263</v>
      </c>
    </row>
    <row r="15" spans="1:3">
      <c r="A15" s="307">
        <v>8</v>
      </c>
      <c r="B15" s="303" t="s">
        <v>266</v>
      </c>
    </row>
    <row r="16" spans="1:3">
      <c r="A16" s="307">
        <v>9</v>
      </c>
      <c r="B16" s="303" t="s">
        <v>88</v>
      </c>
    </row>
    <row r="17" spans="1:2">
      <c r="A17" s="309" t="s">
        <v>547</v>
      </c>
      <c r="B17" s="303" t="s">
        <v>527</v>
      </c>
    </row>
    <row r="18" spans="1:2">
      <c r="A18" s="307">
        <v>10</v>
      </c>
      <c r="B18" s="303" t="s">
        <v>269</v>
      </c>
    </row>
    <row r="19" spans="1:2">
      <c r="A19" s="307">
        <v>11</v>
      </c>
      <c r="B19" s="308" t="s">
        <v>250</v>
      </c>
    </row>
    <row r="20" spans="1:2">
      <c r="A20" s="307">
        <v>12</v>
      </c>
      <c r="B20" s="308" t="s">
        <v>247</v>
      </c>
    </row>
    <row r="21" spans="1:2">
      <c r="A21" s="307">
        <v>13</v>
      </c>
      <c r="B21" s="310" t="s">
        <v>460</v>
      </c>
    </row>
    <row r="22" spans="1:2">
      <c r="A22" s="307">
        <v>14</v>
      </c>
      <c r="B22" s="311" t="s">
        <v>520</v>
      </c>
    </row>
    <row r="23" spans="1:2">
      <c r="A23" s="312">
        <v>15</v>
      </c>
      <c r="B23" s="308" t="s">
        <v>77</v>
      </c>
    </row>
    <row r="24" spans="1:2">
      <c r="A24" s="312">
        <v>15.1</v>
      </c>
      <c r="B24" s="303" t="s">
        <v>556</v>
      </c>
    </row>
    <row r="25" spans="1:2">
      <c r="A25" s="312">
        <v>16</v>
      </c>
      <c r="B25" s="303" t="s">
        <v>623</v>
      </c>
    </row>
    <row r="26" spans="1:2">
      <c r="A26" s="312">
        <v>17</v>
      </c>
      <c r="B26" s="303" t="s">
        <v>934</v>
      </c>
    </row>
    <row r="27" spans="1:2">
      <c r="A27" s="312">
        <v>18</v>
      </c>
      <c r="B27" s="303" t="s">
        <v>935</v>
      </c>
    </row>
    <row r="28" spans="1:2">
      <c r="A28" s="312">
        <v>19</v>
      </c>
      <c r="B28" s="303" t="s">
        <v>936</v>
      </c>
    </row>
    <row r="29" spans="1:2">
      <c r="A29" s="312">
        <v>20</v>
      </c>
      <c r="B29" s="311" t="s">
        <v>722</v>
      </c>
    </row>
    <row r="30" spans="1:2">
      <c r="A30" s="312">
        <v>21</v>
      </c>
      <c r="B30" s="303" t="s">
        <v>740</v>
      </c>
    </row>
    <row r="31" spans="1:2">
      <c r="A31" s="312">
        <v>22</v>
      </c>
      <c r="B31" s="509" t="s">
        <v>757</v>
      </c>
    </row>
    <row r="32" spans="1:2" ht="26.25">
      <c r="A32" s="312">
        <v>23</v>
      </c>
      <c r="B32" s="509" t="s">
        <v>937</v>
      </c>
    </row>
    <row r="33" spans="1:2">
      <c r="A33" s="312">
        <v>24</v>
      </c>
      <c r="B33" s="303" t="s">
        <v>938</v>
      </c>
    </row>
    <row r="34" spans="1:2">
      <c r="A34" s="312">
        <v>25</v>
      </c>
      <c r="B34" s="303" t="s">
        <v>939</v>
      </c>
    </row>
    <row r="35" spans="1:2">
      <c r="A35" s="307">
        <v>26</v>
      </c>
      <c r="B35" s="311" t="s">
        <v>1027</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C5" r:id="rId1"/>
    <hyperlink ref="B35" location="'26. Retail Products'!A1" display="ზოგადი და ხარისხობრივი ინფორმაცია საცალო პროდუქტებზე"/>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9.5703125" style="5" bestFit="1" customWidth="1"/>
    <col min="2" max="2" width="132.42578125" style="2" customWidth="1"/>
    <col min="3" max="3" width="18.42578125" style="2" customWidth="1"/>
  </cols>
  <sheetData>
    <row r="1" spans="1:6" ht="15.75">
      <c r="A1" s="527" t="s">
        <v>188</v>
      </c>
      <c r="B1" s="528" t="s">
        <v>954</v>
      </c>
      <c r="D1" s="2"/>
      <c r="E1" s="2"/>
      <c r="F1" s="2"/>
    </row>
    <row r="2" spans="1:6" s="22" customFormat="1" ht="15.75" customHeight="1">
      <c r="A2" s="527" t="s">
        <v>189</v>
      </c>
      <c r="B2" s="529">
        <f>'1. key ratios'!B2</f>
        <v>44834</v>
      </c>
    </row>
    <row r="3" spans="1:6" s="22" customFormat="1" ht="15.75" customHeight="1"/>
    <row r="4" spans="1:6" ht="15.75" thickBot="1">
      <c r="A4" s="5" t="s">
        <v>413</v>
      </c>
      <c r="B4" s="43" t="s">
        <v>88</v>
      </c>
    </row>
    <row r="5" spans="1:6">
      <c r="A5" s="113" t="s">
        <v>26</v>
      </c>
      <c r="B5" s="114"/>
      <c r="C5" s="115" t="s">
        <v>27</v>
      </c>
    </row>
    <row r="6" spans="1:6">
      <c r="A6" s="116">
        <v>1</v>
      </c>
      <c r="B6" s="65" t="s">
        <v>28</v>
      </c>
      <c r="C6" s="645">
        <f>SUM(C7:C11)</f>
        <v>108265703.14111553</v>
      </c>
    </row>
    <row r="7" spans="1:6">
      <c r="A7" s="116">
        <v>2</v>
      </c>
      <c r="B7" s="62" t="s">
        <v>29</v>
      </c>
      <c r="C7" s="646">
        <f>'2. RC'!E33</f>
        <v>69161600</v>
      </c>
    </row>
    <row r="8" spans="1:6">
      <c r="A8" s="116">
        <v>3</v>
      </c>
      <c r="B8" s="56" t="s">
        <v>30</v>
      </c>
      <c r="C8" s="646"/>
    </row>
    <row r="9" spans="1:6">
      <c r="A9" s="116">
        <v>4</v>
      </c>
      <c r="B9" s="56" t="s">
        <v>31</v>
      </c>
      <c r="C9" s="646"/>
    </row>
    <row r="10" spans="1:6">
      <c r="A10" s="116">
        <v>5</v>
      </c>
      <c r="B10" s="56" t="s">
        <v>32</v>
      </c>
      <c r="C10" s="646"/>
    </row>
    <row r="11" spans="1:6">
      <c r="A11" s="116">
        <v>6</v>
      </c>
      <c r="B11" s="63" t="s">
        <v>33</v>
      </c>
      <c r="C11" s="646">
        <f>'2. RC'!E38</f>
        <v>39104103.141115531</v>
      </c>
    </row>
    <row r="12" spans="1:6" s="4" customFormat="1">
      <c r="A12" s="116">
        <v>7</v>
      </c>
      <c r="B12" s="65" t="s">
        <v>34</v>
      </c>
      <c r="C12" s="647">
        <f>SUM(C13:C27)</f>
        <v>250017.72000000003</v>
      </c>
    </row>
    <row r="13" spans="1:6" s="4" customFormat="1">
      <c r="A13" s="116">
        <v>8</v>
      </c>
      <c r="B13" s="64" t="s">
        <v>35</v>
      </c>
      <c r="C13" s="648"/>
    </row>
    <row r="14" spans="1:6" s="4" customFormat="1" ht="25.5">
      <c r="A14" s="116">
        <v>9</v>
      </c>
      <c r="B14" s="57" t="s">
        <v>36</v>
      </c>
      <c r="C14" s="648"/>
    </row>
    <row r="15" spans="1:6" s="4" customFormat="1">
      <c r="A15" s="116">
        <v>10</v>
      </c>
      <c r="B15" s="58" t="s">
        <v>37</v>
      </c>
      <c r="C15" s="648">
        <f>'7. LI1'!D19</f>
        <v>250017.72000000003</v>
      </c>
    </row>
    <row r="16" spans="1:6" s="4" customFormat="1">
      <c r="A16" s="116">
        <v>11</v>
      </c>
      <c r="B16" s="59" t="s">
        <v>38</v>
      </c>
      <c r="C16" s="648"/>
    </row>
    <row r="17" spans="1:3" s="4" customFormat="1">
      <c r="A17" s="116">
        <v>12</v>
      </c>
      <c r="B17" s="58" t="s">
        <v>39</v>
      </c>
      <c r="C17" s="648"/>
    </row>
    <row r="18" spans="1:3" s="4" customFormat="1">
      <c r="A18" s="116">
        <v>13</v>
      </c>
      <c r="B18" s="58" t="s">
        <v>40</v>
      </c>
      <c r="C18" s="648"/>
    </row>
    <row r="19" spans="1:3" s="4" customFormat="1">
      <c r="A19" s="116">
        <v>14</v>
      </c>
      <c r="B19" s="58" t="s">
        <v>41</v>
      </c>
      <c r="C19" s="648"/>
    </row>
    <row r="20" spans="1:3" s="4" customFormat="1" ht="25.5">
      <c r="A20" s="116">
        <v>15</v>
      </c>
      <c r="B20" s="58" t="s">
        <v>42</v>
      </c>
      <c r="C20" s="648"/>
    </row>
    <row r="21" spans="1:3" s="4" customFormat="1" ht="25.5">
      <c r="A21" s="116">
        <v>16</v>
      </c>
      <c r="B21" s="57" t="s">
        <v>43</v>
      </c>
      <c r="C21" s="648"/>
    </row>
    <row r="22" spans="1:3" s="4" customFormat="1">
      <c r="A22" s="116">
        <v>17</v>
      </c>
      <c r="B22" s="117" t="s">
        <v>44</v>
      </c>
      <c r="C22" s="648"/>
    </row>
    <row r="23" spans="1:3" s="4" customFormat="1" ht="25.5">
      <c r="A23" s="116">
        <v>18</v>
      </c>
      <c r="B23" s="57" t="s">
        <v>45</v>
      </c>
      <c r="C23" s="648"/>
    </row>
    <row r="24" spans="1:3" s="4" customFormat="1" ht="25.5">
      <c r="A24" s="116">
        <v>19</v>
      </c>
      <c r="B24" s="57" t="s">
        <v>46</v>
      </c>
      <c r="C24" s="648"/>
    </row>
    <row r="25" spans="1:3" s="4" customFormat="1" ht="25.5">
      <c r="A25" s="116">
        <v>20</v>
      </c>
      <c r="B25" s="60" t="s">
        <v>47</v>
      </c>
      <c r="C25" s="648"/>
    </row>
    <row r="26" spans="1:3" s="4" customFormat="1">
      <c r="A26" s="116">
        <v>21</v>
      </c>
      <c r="B26" s="60" t="s">
        <v>48</v>
      </c>
      <c r="C26" s="648"/>
    </row>
    <row r="27" spans="1:3" s="4" customFormat="1" ht="25.5">
      <c r="A27" s="116">
        <v>22</v>
      </c>
      <c r="B27" s="60" t="s">
        <v>49</v>
      </c>
      <c r="C27" s="648"/>
    </row>
    <row r="28" spans="1:3" s="4" customFormat="1">
      <c r="A28" s="116">
        <v>23</v>
      </c>
      <c r="B28" s="66" t="s">
        <v>23</v>
      </c>
      <c r="C28" s="647">
        <f>C6-C12</f>
        <v>108015685.42111553</v>
      </c>
    </row>
    <row r="29" spans="1:3" s="4" customFormat="1">
      <c r="A29" s="118"/>
      <c r="B29" s="61"/>
      <c r="C29" s="648"/>
    </row>
    <row r="30" spans="1:3" s="4" customFormat="1">
      <c r="A30" s="118">
        <v>24</v>
      </c>
      <c r="B30" s="66" t="s">
        <v>50</v>
      </c>
      <c r="C30" s="647">
        <f>C31+C34</f>
        <v>0</v>
      </c>
    </row>
    <row r="31" spans="1:3" s="4" customFormat="1">
      <c r="A31" s="118">
        <v>25</v>
      </c>
      <c r="B31" s="56" t="s">
        <v>51</v>
      </c>
      <c r="C31" s="649">
        <f>C32+C33</f>
        <v>0</v>
      </c>
    </row>
    <row r="32" spans="1:3" s="4" customFormat="1">
      <c r="A32" s="118">
        <v>26</v>
      </c>
      <c r="B32" s="158" t="s">
        <v>52</v>
      </c>
      <c r="C32" s="648"/>
    </row>
    <row r="33" spans="1:3" s="4" customFormat="1">
      <c r="A33" s="118">
        <v>27</v>
      </c>
      <c r="B33" s="158" t="s">
        <v>53</v>
      </c>
      <c r="C33" s="648"/>
    </row>
    <row r="34" spans="1:3" s="4" customFormat="1">
      <c r="A34" s="118">
        <v>28</v>
      </c>
      <c r="B34" s="56" t="s">
        <v>54</v>
      </c>
      <c r="C34" s="648"/>
    </row>
    <row r="35" spans="1:3" s="4" customFormat="1">
      <c r="A35" s="118">
        <v>29</v>
      </c>
      <c r="B35" s="66" t="s">
        <v>55</v>
      </c>
      <c r="C35" s="647">
        <f>SUM(C36:C40)</f>
        <v>0</v>
      </c>
    </row>
    <row r="36" spans="1:3" s="4" customFormat="1">
      <c r="A36" s="118">
        <v>30</v>
      </c>
      <c r="B36" s="57" t="s">
        <v>56</v>
      </c>
      <c r="C36" s="648"/>
    </row>
    <row r="37" spans="1:3" s="4" customFormat="1">
      <c r="A37" s="118">
        <v>31</v>
      </c>
      <c r="B37" s="58" t="s">
        <v>57</v>
      </c>
      <c r="C37" s="648"/>
    </row>
    <row r="38" spans="1:3" s="4" customFormat="1" ht="25.5">
      <c r="A38" s="118">
        <v>32</v>
      </c>
      <c r="B38" s="57" t="s">
        <v>58</v>
      </c>
      <c r="C38" s="648"/>
    </row>
    <row r="39" spans="1:3" s="4" customFormat="1" ht="25.5">
      <c r="A39" s="118">
        <v>33</v>
      </c>
      <c r="B39" s="57" t="s">
        <v>46</v>
      </c>
      <c r="C39" s="648"/>
    </row>
    <row r="40" spans="1:3" s="4" customFormat="1" ht="25.5">
      <c r="A40" s="118">
        <v>34</v>
      </c>
      <c r="B40" s="60" t="s">
        <v>59</v>
      </c>
      <c r="C40" s="648"/>
    </row>
    <row r="41" spans="1:3" s="4" customFormat="1">
      <c r="A41" s="118">
        <v>35</v>
      </c>
      <c r="B41" s="66" t="s">
        <v>24</v>
      </c>
      <c r="C41" s="647">
        <f>C30-C35</f>
        <v>0</v>
      </c>
    </row>
    <row r="42" spans="1:3" s="4" customFormat="1">
      <c r="A42" s="118"/>
      <c r="B42" s="61"/>
      <c r="C42" s="648"/>
    </row>
    <row r="43" spans="1:3" s="4" customFormat="1">
      <c r="A43" s="118">
        <v>36</v>
      </c>
      <c r="B43" s="67" t="s">
        <v>60</v>
      </c>
      <c r="C43" s="647">
        <f>SUM(C44:C46)</f>
        <v>5333748.5794716701</v>
      </c>
    </row>
    <row r="44" spans="1:3" s="4" customFormat="1">
      <c r="A44" s="118">
        <v>37</v>
      </c>
      <c r="B44" s="56" t="s">
        <v>61</v>
      </c>
      <c r="C44" s="648"/>
    </row>
    <row r="45" spans="1:3" s="4" customFormat="1">
      <c r="A45" s="118">
        <v>38</v>
      </c>
      <c r="B45" s="56" t="s">
        <v>62</v>
      </c>
      <c r="C45" s="648"/>
    </row>
    <row r="46" spans="1:3" s="4" customFormat="1">
      <c r="A46" s="118">
        <v>39</v>
      </c>
      <c r="B46" s="56" t="s">
        <v>63</v>
      </c>
      <c r="C46" s="648">
        <f>'8. LI2'!C9</f>
        <v>5333748.5794716701</v>
      </c>
    </row>
    <row r="47" spans="1:3" s="4" customFormat="1">
      <c r="A47" s="118">
        <v>40</v>
      </c>
      <c r="B47" s="67" t="s">
        <v>64</v>
      </c>
      <c r="C47" s="647">
        <f>SUM(C48:C51)</f>
        <v>0</v>
      </c>
    </row>
    <row r="48" spans="1:3" s="4" customFormat="1">
      <c r="A48" s="118">
        <v>41</v>
      </c>
      <c r="B48" s="57" t="s">
        <v>65</v>
      </c>
      <c r="C48" s="648"/>
    </row>
    <row r="49" spans="1:3" s="4" customFormat="1">
      <c r="A49" s="118">
        <v>42</v>
      </c>
      <c r="B49" s="58" t="s">
        <v>66</v>
      </c>
      <c r="C49" s="648"/>
    </row>
    <row r="50" spans="1:3" s="4" customFormat="1" ht="25.5">
      <c r="A50" s="118">
        <v>43</v>
      </c>
      <c r="B50" s="57" t="s">
        <v>67</v>
      </c>
      <c r="C50" s="648"/>
    </row>
    <row r="51" spans="1:3" s="4" customFormat="1" ht="25.5">
      <c r="A51" s="118">
        <v>44</v>
      </c>
      <c r="B51" s="57" t="s">
        <v>46</v>
      </c>
      <c r="C51" s="648"/>
    </row>
    <row r="52" spans="1:3" s="4" customFormat="1" ht="15.75" thickBot="1">
      <c r="A52" s="119">
        <v>45</v>
      </c>
      <c r="B52" s="120" t="s">
        <v>25</v>
      </c>
      <c r="C52" s="650">
        <f>C43-C47</f>
        <v>5333748.5794716701</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showGridLines="0" workbookViewId="0">
      <selection activeCell="B4" sqref="B4"/>
    </sheetView>
  </sheetViews>
  <sheetFormatPr defaultColWidth="9.140625" defaultRowHeight="12.75"/>
  <cols>
    <col min="1" max="1" width="11.85546875" style="262" bestFit="1" customWidth="1"/>
    <col min="2" max="2" width="59" style="262" customWidth="1"/>
    <col min="3" max="3" width="16.7109375" style="262" bestFit="1" customWidth="1"/>
    <col min="4" max="4" width="22.140625" style="262" customWidth="1"/>
    <col min="5" max="16384" width="9.140625" style="262"/>
  </cols>
  <sheetData>
    <row r="1" spans="1:4" ht="15">
      <c r="A1" s="527" t="s">
        <v>188</v>
      </c>
      <c r="B1" s="528" t="s">
        <v>954</v>
      </c>
    </row>
    <row r="2" spans="1:4" s="22" customFormat="1" ht="15.75" customHeight="1">
      <c r="A2" s="527" t="s">
        <v>189</v>
      </c>
      <c r="B2" s="529">
        <f>'1. key ratios'!B2</f>
        <v>44834</v>
      </c>
    </row>
    <row r="3" spans="1:4" s="22" customFormat="1" ht="15.75" customHeight="1"/>
    <row r="4" spans="1:4" ht="13.5" thickBot="1">
      <c r="A4" s="656" t="s">
        <v>526</v>
      </c>
      <c r="B4" s="294" t="s">
        <v>527</v>
      </c>
    </row>
    <row r="5" spans="1:4" s="295" customFormat="1">
      <c r="A5" s="789" t="s">
        <v>528</v>
      </c>
      <c r="B5" s="790"/>
      <c r="C5" s="284" t="s">
        <v>529</v>
      </c>
      <c r="D5" s="285" t="s">
        <v>530</v>
      </c>
    </row>
    <row r="6" spans="1:4" s="296" customFormat="1">
      <c r="A6" s="286">
        <v>1</v>
      </c>
      <c r="B6" s="287" t="s">
        <v>531</v>
      </c>
      <c r="C6" s="287"/>
      <c r="D6" s="288"/>
    </row>
    <row r="7" spans="1:4" s="296" customFormat="1">
      <c r="A7" s="289" t="s">
        <v>532</v>
      </c>
      <c r="B7" s="290" t="s">
        <v>533</v>
      </c>
      <c r="C7" s="341">
        <v>4.4999999999999998E-2</v>
      </c>
      <c r="D7" s="651">
        <f>C7*'5. RWA'!$C$13</f>
        <v>20738059.046170212</v>
      </c>
    </row>
    <row r="8" spans="1:4" s="296" customFormat="1">
      <c r="A8" s="289" t="s">
        <v>534</v>
      </c>
      <c r="B8" s="290" t="s">
        <v>535</v>
      </c>
      <c r="C8" s="342">
        <v>0.06</v>
      </c>
      <c r="D8" s="651">
        <f>C8*'5. RWA'!$C$13</f>
        <v>27650745.394893613</v>
      </c>
    </row>
    <row r="9" spans="1:4" s="296" customFormat="1">
      <c r="A9" s="289" t="s">
        <v>536</v>
      </c>
      <c r="B9" s="290" t="s">
        <v>537</v>
      </c>
      <c r="C9" s="342">
        <v>0.08</v>
      </c>
      <c r="D9" s="651">
        <f>C9*'5. RWA'!$C$13</f>
        <v>36867660.526524819</v>
      </c>
    </row>
    <row r="10" spans="1:4" s="296" customFormat="1">
      <c r="A10" s="286" t="s">
        <v>538</v>
      </c>
      <c r="B10" s="287" t="s">
        <v>539</v>
      </c>
      <c r="C10" s="343"/>
      <c r="D10" s="339"/>
    </row>
    <row r="11" spans="1:4" s="297" customFormat="1">
      <c r="A11" s="291" t="s">
        <v>540</v>
      </c>
      <c r="B11" s="292" t="s">
        <v>602</v>
      </c>
      <c r="C11" s="344">
        <v>0</v>
      </c>
      <c r="D11" s="652">
        <f>C11*'5. RWA'!$C$13</f>
        <v>0</v>
      </c>
    </row>
    <row r="12" spans="1:4" s="297" customFormat="1">
      <c r="A12" s="291" t="s">
        <v>541</v>
      </c>
      <c r="B12" s="292" t="s">
        <v>542</v>
      </c>
      <c r="C12" s="344">
        <v>0</v>
      </c>
      <c r="D12" s="652">
        <f>C12*'5. RWA'!$C$13</f>
        <v>0</v>
      </c>
    </row>
    <row r="13" spans="1:4" s="297" customFormat="1">
      <c r="A13" s="291" t="s">
        <v>543</v>
      </c>
      <c r="B13" s="292" t="s">
        <v>544</v>
      </c>
      <c r="C13" s="344"/>
      <c r="D13" s="652">
        <f>C13*'5. RWA'!$C$13</f>
        <v>0</v>
      </c>
    </row>
    <row r="14" spans="1:4" s="296" customFormat="1">
      <c r="A14" s="286" t="s">
        <v>545</v>
      </c>
      <c r="B14" s="287" t="s">
        <v>600</v>
      </c>
      <c r="C14" s="345"/>
      <c r="D14" s="653"/>
    </row>
    <row r="15" spans="1:4" s="296" customFormat="1">
      <c r="A15" s="304" t="s">
        <v>548</v>
      </c>
      <c r="B15" s="292" t="s">
        <v>601</v>
      </c>
      <c r="C15" s="344">
        <v>4.6308912450846541E-2</v>
      </c>
      <c r="D15" s="652">
        <f>C15*'5. RWA'!$C$13</f>
        <v>21341265.794879612</v>
      </c>
    </row>
    <row r="16" spans="1:4" s="296" customFormat="1">
      <c r="A16" s="304" t="s">
        <v>549</v>
      </c>
      <c r="B16" s="292" t="s">
        <v>551</v>
      </c>
      <c r="C16" s="344">
        <v>6.1805837390951267E-2</v>
      </c>
      <c r="D16" s="652">
        <f>C16*'5. RWA'!$C$13</f>
        <v>28482957.893589824</v>
      </c>
    </row>
    <row r="17" spans="1:6" s="296" customFormat="1">
      <c r="A17" s="304" t="s">
        <v>550</v>
      </c>
      <c r="B17" s="292" t="s">
        <v>598</v>
      </c>
      <c r="C17" s="655">
        <v>9.8463169748227372E-2</v>
      </c>
      <c r="D17" s="652">
        <f>C17*'5. RWA'!$C$13</f>
        <v>45376333.958040439</v>
      </c>
    </row>
    <row r="18" spans="1:6" s="295" customFormat="1">
      <c r="A18" s="791" t="s">
        <v>599</v>
      </c>
      <c r="B18" s="792"/>
      <c r="C18" s="346" t="s">
        <v>529</v>
      </c>
      <c r="D18" s="340" t="s">
        <v>530</v>
      </c>
    </row>
    <row r="19" spans="1:6" s="296" customFormat="1">
      <c r="A19" s="293">
        <v>4</v>
      </c>
      <c r="B19" s="292" t="s">
        <v>23</v>
      </c>
      <c r="C19" s="344">
        <f>C7+C11+C12+C13+C15</f>
        <v>9.1308912450846547E-2</v>
      </c>
      <c r="D19" s="651">
        <f>C19*'5. RWA'!$C$13</f>
        <v>42079324.841049828</v>
      </c>
    </row>
    <row r="20" spans="1:6" s="296" customFormat="1">
      <c r="A20" s="293">
        <v>5</v>
      </c>
      <c r="B20" s="292" t="s">
        <v>89</v>
      </c>
      <c r="C20" s="344">
        <f>C8+C11+C12+C13+C16</f>
        <v>0.12180583739095127</v>
      </c>
      <c r="D20" s="651">
        <f>C20*'5. RWA'!$C$13</f>
        <v>56133703.288483441</v>
      </c>
    </row>
    <row r="21" spans="1:6" s="296" customFormat="1" ht="13.5" thickBot="1">
      <c r="A21" s="298" t="s">
        <v>546</v>
      </c>
      <c r="B21" s="299" t="s">
        <v>88</v>
      </c>
      <c r="C21" s="347">
        <f>C9+C11+C12+C13+C17</f>
        <v>0.17846316974822737</v>
      </c>
      <c r="D21" s="654">
        <f>C21*'5. RWA'!$C$13</f>
        <v>82243994.484565258</v>
      </c>
    </row>
    <row r="22" spans="1:6">
      <c r="F22" s="263"/>
    </row>
    <row r="23" spans="1:6" ht="63.75">
      <c r="B23" s="24" t="s">
        <v>603</v>
      </c>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showGridLines="0" zoomScaleNormal="100" workbookViewId="0">
      <pane xSplit="1" ySplit="5" topLeftCell="B6" activePane="bottomRight" state="frozen"/>
      <selection pane="topRight" activeCell="B1" sqref="B1"/>
      <selection pane="bottomLeft" activeCell="A5" sqref="A5"/>
      <selection pane="bottomRight" activeCell="B4" sqref="B4"/>
    </sheetView>
  </sheetViews>
  <sheetFormatPr defaultRowHeight="15.75"/>
  <cols>
    <col min="1" max="1" width="10.7109375" style="52" customWidth="1"/>
    <col min="2" max="2" width="91.85546875" style="52" customWidth="1"/>
    <col min="3" max="3" width="53.140625" style="52" customWidth="1"/>
    <col min="4" max="4" width="32.28515625" style="52" customWidth="1"/>
    <col min="5" max="5" width="9.42578125" customWidth="1"/>
  </cols>
  <sheetData>
    <row r="1" spans="1:6">
      <c r="A1" s="527" t="s">
        <v>188</v>
      </c>
      <c r="B1" s="528" t="s">
        <v>954</v>
      </c>
      <c r="E1" s="2"/>
      <c r="F1" s="2"/>
    </row>
    <row r="2" spans="1:6" s="22" customFormat="1" ht="15.75" customHeight="1">
      <c r="A2" s="527" t="s">
        <v>189</v>
      </c>
      <c r="B2" s="529">
        <f>'1. key ratios'!B2</f>
        <v>44834</v>
      </c>
    </row>
    <row r="3" spans="1:6" s="22" customFormat="1" ht="15.75" customHeight="1">
      <c r="A3" s="27"/>
    </row>
    <row r="4" spans="1:6" s="22" customFormat="1" ht="15.75" customHeight="1" thickBot="1">
      <c r="A4" s="22" t="s">
        <v>414</v>
      </c>
      <c r="B4" s="181" t="s">
        <v>269</v>
      </c>
      <c r="D4" s="183" t="s">
        <v>93</v>
      </c>
    </row>
    <row r="5" spans="1:6" ht="38.25">
      <c r="A5" s="131" t="s">
        <v>26</v>
      </c>
      <c r="B5" s="132" t="s">
        <v>231</v>
      </c>
      <c r="C5" s="133" t="s">
        <v>237</v>
      </c>
      <c r="D5" s="182" t="s">
        <v>270</v>
      </c>
    </row>
    <row r="6" spans="1:6">
      <c r="A6" s="121">
        <v>1</v>
      </c>
      <c r="B6" s="68" t="s">
        <v>154</v>
      </c>
      <c r="C6" s="214">
        <f>'2. RC'!E7</f>
        <v>1994537.87</v>
      </c>
      <c r="D6" s="122"/>
      <c r="E6" s="8"/>
    </row>
    <row r="7" spans="1:6">
      <c r="A7" s="121">
        <v>2</v>
      </c>
      <c r="B7" s="69" t="s">
        <v>155</v>
      </c>
      <c r="C7" s="214">
        <f>'2. RC'!E8</f>
        <v>40371271.460000001</v>
      </c>
      <c r="D7" s="123"/>
      <c r="E7" s="8"/>
    </row>
    <row r="8" spans="1:6">
      <c r="A8" s="121">
        <v>3</v>
      </c>
      <c r="B8" s="69" t="s">
        <v>156</v>
      </c>
      <c r="C8" s="214">
        <f>'2. RC'!E9</f>
        <v>46939790.477936</v>
      </c>
      <c r="D8" s="123"/>
      <c r="E8" s="8"/>
    </row>
    <row r="9" spans="1:6">
      <c r="A9" s="121">
        <v>4</v>
      </c>
      <c r="B9" s="69" t="s">
        <v>185</v>
      </c>
      <c r="C9" s="214">
        <f>'2. RC'!E10</f>
        <v>0</v>
      </c>
      <c r="D9" s="123"/>
      <c r="E9" s="8"/>
    </row>
    <row r="10" spans="1:6">
      <c r="A10" s="121">
        <v>5</v>
      </c>
      <c r="B10" s="69" t="s">
        <v>157</v>
      </c>
      <c r="C10" s="214">
        <f>'2. RC'!E11</f>
        <v>36612450.157247916</v>
      </c>
      <c r="D10" s="123"/>
      <c r="E10" s="8"/>
    </row>
    <row r="11" spans="1:6">
      <c r="A11" s="121">
        <v>6.1</v>
      </c>
      <c r="B11" s="69" t="s">
        <v>158</v>
      </c>
      <c r="C11" s="214">
        <f>'2. RC'!E12</f>
        <v>277509783.54000002</v>
      </c>
      <c r="D11" s="124"/>
      <c r="E11" s="9"/>
    </row>
    <row r="12" spans="1:6">
      <c r="A12" s="121">
        <v>6.2</v>
      </c>
      <c r="B12" s="70" t="s">
        <v>159</v>
      </c>
      <c r="C12" s="214">
        <f>'2. RC'!E13</f>
        <v>-8585820.9483999982</v>
      </c>
      <c r="D12" s="124"/>
      <c r="E12" s="9"/>
    </row>
    <row r="13" spans="1:6">
      <c r="A13" s="121" t="s">
        <v>487</v>
      </c>
      <c r="B13" s="71" t="s">
        <v>488</v>
      </c>
      <c r="C13" s="216">
        <v>-4735312.5383999981</v>
      </c>
      <c r="D13" s="124"/>
      <c r="E13" s="9"/>
    </row>
    <row r="14" spans="1:6">
      <c r="A14" s="121" t="s">
        <v>621</v>
      </c>
      <c r="B14" s="71" t="s">
        <v>610</v>
      </c>
      <c r="C14" s="216">
        <f>-'8. LI2'!C12</f>
        <v>0</v>
      </c>
      <c r="D14" s="124"/>
      <c r="E14" s="9"/>
    </row>
    <row r="15" spans="1:6">
      <c r="A15" s="121">
        <v>6</v>
      </c>
      <c r="B15" s="69" t="s">
        <v>160</v>
      </c>
      <c r="C15" s="657">
        <f>C11+C12</f>
        <v>268923962.5916</v>
      </c>
      <c r="D15" s="124"/>
      <c r="E15" s="8"/>
    </row>
    <row r="16" spans="1:6">
      <c r="A16" s="121">
        <v>7</v>
      </c>
      <c r="B16" s="69" t="s">
        <v>161</v>
      </c>
      <c r="C16" s="215">
        <f>'2. RC'!E15</f>
        <v>2282813.6587840002</v>
      </c>
      <c r="D16" s="123"/>
      <c r="E16" s="8"/>
    </row>
    <row r="17" spans="1:5">
      <c r="A17" s="121">
        <v>8</v>
      </c>
      <c r="B17" s="69" t="s">
        <v>162</v>
      </c>
      <c r="C17" s="215">
        <f>'2. RC'!E16</f>
        <v>569825.30999999994</v>
      </c>
      <c r="D17" s="123"/>
      <c r="E17" s="8"/>
    </row>
    <row r="18" spans="1:5">
      <c r="A18" s="121">
        <v>9</v>
      </c>
      <c r="B18" s="69" t="s">
        <v>163</v>
      </c>
      <c r="C18" s="215">
        <f>'2. RC'!E17</f>
        <v>0</v>
      </c>
      <c r="D18" s="123"/>
      <c r="E18" s="8"/>
    </row>
    <row r="19" spans="1:5">
      <c r="A19" s="121">
        <v>9.1</v>
      </c>
      <c r="B19" s="71" t="s">
        <v>246</v>
      </c>
      <c r="C19" s="216"/>
      <c r="D19" s="123"/>
      <c r="E19" s="8"/>
    </row>
    <row r="20" spans="1:5">
      <c r="A20" s="121">
        <v>9.1999999999999993</v>
      </c>
      <c r="B20" s="71" t="s">
        <v>236</v>
      </c>
      <c r="C20" s="216"/>
      <c r="D20" s="123"/>
      <c r="E20" s="8"/>
    </row>
    <row r="21" spans="1:5">
      <c r="A21" s="121">
        <v>9.3000000000000007</v>
      </c>
      <c r="B21" s="71" t="s">
        <v>235</v>
      </c>
      <c r="C21" s="216"/>
      <c r="D21" s="123"/>
      <c r="E21" s="8"/>
    </row>
    <row r="22" spans="1:5">
      <c r="A22" s="121">
        <v>10</v>
      </c>
      <c r="B22" s="69" t="s">
        <v>164</v>
      </c>
      <c r="C22" s="215">
        <f>'2. RC'!E18</f>
        <v>7192916.8899999997</v>
      </c>
      <c r="D22" s="123"/>
      <c r="E22" s="8"/>
    </row>
    <row r="23" spans="1:5">
      <c r="A23" s="121">
        <v>10.1</v>
      </c>
      <c r="B23" s="71" t="s">
        <v>234</v>
      </c>
      <c r="C23" s="658">
        <f>'9. Capital'!C15</f>
        <v>250017.72000000003</v>
      </c>
      <c r="D23" s="212" t="s">
        <v>440</v>
      </c>
      <c r="E23" s="8"/>
    </row>
    <row r="24" spans="1:5">
      <c r="A24" s="121">
        <v>11</v>
      </c>
      <c r="B24" s="72" t="s">
        <v>165</v>
      </c>
      <c r="C24" s="215">
        <f>'2. RC'!E19</f>
        <v>5084736.405401025</v>
      </c>
      <c r="D24" s="125"/>
      <c r="E24" s="8"/>
    </row>
    <row r="25" spans="1:5">
      <c r="A25" s="121">
        <v>12</v>
      </c>
      <c r="B25" s="74" t="s">
        <v>166</v>
      </c>
      <c r="C25" s="218">
        <f>SUM(C6:C10,C15:C18,C22,C24)</f>
        <v>409972304.82096893</v>
      </c>
      <c r="D25" s="126"/>
      <c r="E25" s="7"/>
    </row>
    <row r="26" spans="1:5">
      <c r="A26" s="121">
        <v>13</v>
      </c>
      <c r="B26" s="69" t="s">
        <v>167</v>
      </c>
      <c r="C26" s="219">
        <f>'2. RC'!E22</f>
        <v>85590220.590000004</v>
      </c>
      <c r="D26" s="127"/>
      <c r="E26" s="8"/>
    </row>
    <row r="27" spans="1:5">
      <c r="A27" s="121">
        <v>14</v>
      </c>
      <c r="B27" s="69" t="s">
        <v>168</v>
      </c>
      <c r="C27" s="219">
        <f>'2. RC'!E23</f>
        <v>74867480.539999992</v>
      </c>
      <c r="D27" s="123"/>
      <c r="E27" s="8"/>
    </row>
    <row r="28" spans="1:5">
      <c r="A28" s="121">
        <v>15</v>
      </c>
      <c r="B28" s="69" t="s">
        <v>169</v>
      </c>
      <c r="C28" s="219">
        <f>'2. RC'!E24</f>
        <v>0</v>
      </c>
      <c r="D28" s="123"/>
      <c r="E28" s="8"/>
    </row>
    <row r="29" spans="1:5">
      <c r="A29" s="121">
        <v>16</v>
      </c>
      <c r="B29" s="69" t="s">
        <v>170</v>
      </c>
      <c r="C29" s="219">
        <f>'2. RC'!E25</f>
        <v>52484601.499999993</v>
      </c>
      <c r="D29" s="123"/>
      <c r="E29" s="8"/>
    </row>
    <row r="30" spans="1:5">
      <c r="A30" s="121">
        <v>17</v>
      </c>
      <c r="B30" s="69" t="s">
        <v>171</v>
      </c>
      <c r="C30" s="219">
        <f>'2. RC'!E26</f>
        <v>0</v>
      </c>
      <c r="D30" s="123"/>
      <c r="E30" s="8"/>
    </row>
    <row r="31" spans="1:5">
      <c r="A31" s="121">
        <v>18</v>
      </c>
      <c r="B31" s="69" t="s">
        <v>172</v>
      </c>
      <c r="C31" s="219">
        <f>'2. RC'!E27</f>
        <v>76883844.968024001</v>
      </c>
      <c r="D31" s="123"/>
      <c r="E31" s="8"/>
    </row>
    <row r="32" spans="1:5">
      <c r="A32" s="121">
        <v>19</v>
      </c>
      <c r="B32" s="69" t="s">
        <v>173</v>
      </c>
      <c r="C32" s="219">
        <f>'2. RC'!E28</f>
        <v>1675144.5526960003</v>
      </c>
      <c r="D32" s="123"/>
      <c r="E32" s="8"/>
    </row>
    <row r="33" spans="1:5">
      <c r="A33" s="121">
        <v>20</v>
      </c>
      <c r="B33" s="69" t="s">
        <v>95</v>
      </c>
      <c r="C33" s="219">
        <f>'2. RC'!E29</f>
        <v>10205309.4586</v>
      </c>
      <c r="D33" s="123"/>
      <c r="E33" s="8"/>
    </row>
    <row r="34" spans="1:5">
      <c r="A34" s="121">
        <v>20.100000000000001</v>
      </c>
      <c r="B34" s="73" t="s">
        <v>486</v>
      </c>
      <c r="C34" s="217">
        <v>-547359.43859999999</v>
      </c>
      <c r="D34" s="125"/>
      <c r="E34" s="8"/>
    </row>
    <row r="35" spans="1:5">
      <c r="A35" s="121">
        <v>21</v>
      </c>
      <c r="B35" s="72" t="s">
        <v>174</v>
      </c>
      <c r="C35" s="219">
        <f>'2. RC'!E30</f>
        <v>0</v>
      </c>
      <c r="D35" s="125"/>
      <c r="E35" s="8"/>
    </row>
    <row r="36" spans="1:5">
      <c r="A36" s="121">
        <v>21.1</v>
      </c>
      <c r="B36" s="73" t="s">
        <v>233</v>
      </c>
      <c r="C36" s="220">
        <f>'9. Capital'!C44</f>
        <v>0</v>
      </c>
      <c r="D36" s="212" t="s">
        <v>971</v>
      </c>
      <c r="E36" s="8"/>
    </row>
    <row r="37" spans="1:5">
      <c r="A37" s="121">
        <v>22</v>
      </c>
      <c r="B37" s="74" t="s">
        <v>175</v>
      </c>
      <c r="C37" s="218">
        <f>SUM(C26:C33,C35)</f>
        <v>301706601.60931998</v>
      </c>
      <c r="D37" s="126"/>
      <c r="E37" s="7"/>
    </row>
    <row r="38" spans="1:5">
      <c r="A38" s="121">
        <v>23</v>
      </c>
      <c r="B38" s="72" t="s">
        <v>176</v>
      </c>
      <c r="C38" s="215">
        <f>'9. Capital'!C7</f>
        <v>69161600</v>
      </c>
      <c r="D38" s="212" t="s">
        <v>972</v>
      </c>
      <c r="E38" s="8"/>
    </row>
    <row r="39" spans="1:5">
      <c r="A39" s="121">
        <v>24</v>
      </c>
      <c r="B39" s="72" t="s">
        <v>177</v>
      </c>
      <c r="C39" s="215"/>
      <c r="D39" s="123"/>
      <c r="E39" s="8"/>
    </row>
    <row r="40" spans="1:5">
      <c r="A40" s="121">
        <v>25</v>
      </c>
      <c r="B40" s="72" t="s">
        <v>232</v>
      </c>
      <c r="C40" s="215"/>
      <c r="D40" s="123"/>
      <c r="E40" s="8"/>
    </row>
    <row r="41" spans="1:5">
      <c r="A41" s="121">
        <v>26</v>
      </c>
      <c r="B41" s="72" t="s">
        <v>179</v>
      </c>
      <c r="C41" s="215"/>
      <c r="D41" s="123"/>
      <c r="E41" s="8"/>
    </row>
    <row r="42" spans="1:5">
      <c r="A42" s="121">
        <v>27</v>
      </c>
      <c r="B42" s="72" t="s">
        <v>180</v>
      </c>
      <c r="C42" s="215"/>
      <c r="D42" s="123"/>
      <c r="E42" s="8"/>
    </row>
    <row r="43" spans="1:5">
      <c r="A43" s="121">
        <v>28</v>
      </c>
      <c r="B43" s="72" t="s">
        <v>181</v>
      </c>
      <c r="C43" s="215">
        <f>'9. Capital'!C11</f>
        <v>39104103.141115531</v>
      </c>
      <c r="D43" s="212" t="s">
        <v>973</v>
      </c>
      <c r="E43" s="8"/>
    </row>
    <row r="44" spans="1:5">
      <c r="A44" s="121">
        <v>29</v>
      </c>
      <c r="B44" s="72" t="s">
        <v>35</v>
      </c>
      <c r="C44" s="215"/>
      <c r="D44" s="123"/>
      <c r="E44" s="8"/>
    </row>
    <row r="45" spans="1:5" ht="16.5" thickBot="1">
      <c r="A45" s="128">
        <v>30</v>
      </c>
      <c r="B45" s="129" t="s">
        <v>182</v>
      </c>
      <c r="C45" s="221">
        <f>SUM(C38:C44)</f>
        <v>108265703.14111553</v>
      </c>
      <c r="D45" s="130"/>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4" sqref="B4"/>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527" t="s">
        <v>188</v>
      </c>
      <c r="B1" s="528" t="s">
        <v>954</v>
      </c>
    </row>
    <row r="2" spans="1:19" ht="15">
      <c r="A2" s="527" t="s">
        <v>189</v>
      </c>
      <c r="B2" s="529">
        <f>'1. key ratios'!B2</f>
        <v>44834</v>
      </c>
    </row>
    <row r="4" spans="1:19" ht="26.25" thickBot="1">
      <c r="A4" s="51" t="s">
        <v>415</v>
      </c>
      <c r="B4" s="235" t="s">
        <v>457</v>
      </c>
    </row>
    <row r="5" spans="1:19">
      <c r="A5" s="110"/>
      <c r="B5" s="112"/>
      <c r="C5" s="100" t="s">
        <v>0</v>
      </c>
      <c r="D5" s="100" t="s">
        <v>1</v>
      </c>
      <c r="E5" s="100" t="s">
        <v>2</v>
      </c>
      <c r="F5" s="100" t="s">
        <v>3</v>
      </c>
      <c r="G5" s="100" t="s">
        <v>4</v>
      </c>
      <c r="H5" s="100" t="s">
        <v>5</v>
      </c>
      <c r="I5" s="100" t="s">
        <v>238</v>
      </c>
      <c r="J5" s="100" t="s">
        <v>239</v>
      </c>
      <c r="K5" s="100" t="s">
        <v>240</v>
      </c>
      <c r="L5" s="100" t="s">
        <v>241</v>
      </c>
      <c r="M5" s="100" t="s">
        <v>242</v>
      </c>
      <c r="N5" s="100" t="s">
        <v>243</v>
      </c>
      <c r="O5" s="100" t="s">
        <v>444</v>
      </c>
      <c r="P5" s="100" t="s">
        <v>445</v>
      </c>
      <c r="Q5" s="100" t="s">
        <v>446</v>
      </c>
      <c r="R5" s="230" t="s">
        <v>447</v>
      </c>
      <c r="S5" s="101" t="s">
        <v>448</v>
      </c>
    </row>
    <row r="6" spans="1:19" ht="46.5" customHeight="1">
      <c r="A6" s="135"/>
      <c r="B6" s="797" t="s">
        <v>449</v>
      </c>
      <c r="C6" s="795">
        <v>0</v>
      </c>
      <c r="D6" s="796"/>
      <c r="E6" s="795">
        <v>0.2</v>
      </c>
      <c r="F6" s="796"/>
      <c r="G6" s="795">
        <v>0.35</v>
      </c>
      <c r="H6" s="796"/>
      <c r="I6" s="795">
        <v>0.5</v>
      </c>
      <c r="J6" s="796"/>
      <c r="K6" s="795">
        <v>0.75</v>
      </c>
      <c r="L6" s="796"/>
      <c r="M6" s="795">
        <v>1</v>
      </c>
      <c r="N6" s="796"/>
      <c r="O6" s="795">
        <v>1.5</v>
      </c>
      <c r="P6" s="796"/>
      <c r="Q6" s="795">
        <v>2.5</v>
      </c>
      <c r="R6" s="796"/>
      <c r="S6" s="793" t="s">
        <v>251</v>
      </c>
    </row>
    <row r="7" spans="1:19">
      <c r="A7" s="135"/>
      <c r="B7" s="798"/>
      <c r="C7" s="234" t="s">
        <v>442</v>
      </c>
      <c r="D7" s="234" t="s">
        <v>443</v>
      </c>
      <c r="E7" s="234" t="s">
        <v>442</v>
      </c>
      <c r="F7" s="234" t="s">
        <v>443</v>
      </c>
      <c r="G7" s="234" t="s">
        <v>442</v>
      </c>
      <c r="H7" s="234" t="s">
        <v>443</v>
      </c>
      <c r="I7" s="234" t="s">
        <v>442</v>
      </c>
      <c r="J7" s="234" t="s">
        <v>443</v>
      </c>
      <c r="K7" s="234" t="s">
        <v>442</v>
      </c>
      <c r="L7" s="234" t="s">
        <v>443</v>
      </c>
      <c r="M7" s="234" t="s">
        <v>442</v>
      </c>
      <c r="N7" s="234" t="s">
        <v>443</v>
      </c>
      <c r="O7" s="234" t="s">
        <v>442</v>
      </c>
      <c r="P7" s="234" t="s">
        <v>443</v>
      </c>
      <c r="Q7" s="234" t="s">
        <v>442</v>
      </c>
      <c r="R7" s="234" t="s">
        <v>443</v>
      </c>
      <c r="S7" s="794"/>
    </row>
    <row r="8" spans="1:19" s="139" customFormat="1">
      <c r="A8" s="104">
        <v>1</v>
      </c>
      <c r="B8" s="157" t="s">
        <v>216</v>
      </c>
      <c r="C8" s="659">
        <v>2147897.2999999998</v>
      </c>
      <c r="D8" s="659"/>
      <c r="E8" s="659"/>
      <c r="F8" s="659"/>
      <c r="G8" s="659"/>
      <c r="H8" s="659"/>
      <c r="I8" s="659"/>
      <c r="J8" s="659"/>
      <c r="K8" s="659"/>
      <c r="L8" s="659"/>
      <c r="M8" s="659">
        <v>45125079.186285749</v>
      </c>
      <c r="N8" s="659"/>
      <c r="O8" s="659"/>
      <c r="P8" s="659"/>
      <c r="Q8" s="659"/>
      <c r="R8" s="659"/>
      <c r="S8" s="660">
        <f>$C$6*SUM(C8:D8)+$E$6*SUM(E8:F8)+$G$6*SUM(G8:H8)+$I$6*SUM(I8:J8)+$K$6*SUM(K8:L8)+$M$6*SUM(M8:N8)+$O$6*SUM(O8:P8)+$Q$6*SUM(Q8:R8)</f>
        <v>45125079.186285749</v>
      </c>
    </row>
    <row r="9" spans="1:19" s="139" customFormat="1">
      <c r="A9" s="104">
        <v>2</v>
      </c>
      <c r="B9" s="157" t="s">
        <v>217</v>
      </c>
      <c r="C9" s="659"/>
      <c r="D9" s="659"/>
      <c r="E9" s="659"/>
      <c r="F9" s="659"/>
      <c r="G9" s="659"/>
      <c r="H9" s="659"/>
      <c r="I9" s="659"/>
      <c r="J9" s="659"/>
      <c r="K9" s="659"/>
      <c r="L9" s="659"/>
      <c r="M9" s="659"/>
      <c r="N9" s="659"/>
      <c r="O9" s="659"/>
      <c r="P9" s="659"/>
      <c r="Q9" s="659"/>
      <c r="R9" s="659"/>
      <c r="S9" s="660">
        <f t="shared" ref="S9:S21" si="0">$C$6*SUM(C9:D9)+$E$6*SUM(E9:F9)+$G$6*SUM(G9:H9)+$I$6*SUM(I9:J9)+$K$6*SUM(K9:L9)+$M$6*SUM(M9:N9)+$O$6*SUM(O9:P9)+$Q$6*SUM(Q9:R9)</f>
        <v>0</v>
      </c>
    </row>
    <row r="10" spans="1:19" s="139" customFormat="1">
      <c r="A10" s="104">
        <v>3</v>
      </c>
      <c r="B10" s="157" t="s">
        <v>218</v>
      </c>
      <c r="C10" s="659"/>
      <c r="D10" s="659"/>
      <c r="E10" s="659"/>
      <c r="F10" s="659"/>
      <c r="G10" s="659"/>
      <c r="H10" s="659"/>
      <c r="I10" s="659"/>
      <c r="J10" s="659"/>
      <c r="K10" s="659"/>
      <c r="L10" s="659"/>
      <c r="M10" s="659"/>
      <c r="N10" s="659"/>
      <c r="O10" s="659"/>
      <c r="P10" s="659"/>
      <c r="Q10" s="659"/>
      <c r="R10" s="659"/>
      <c r="S10" s="660">
        <f t="shared" si="0"/>
        <v>0</v>
      </c>
    </row>
    <row r="11" spans="1:19" s="139" customFormat="1">
      <c r="A11" s="104">
        <v>4</v>
      </c>
      <c r="B11" s="157" t="s">
        <v>219</v>
      </c>
      <c r="C11" s="659"/>
      <c r="D11" s="659"/>
      <c r="E11" s="659"/>
      <c r="F11" s="659"/>
      <c r="G11" s="659"/>
      <c r="H11" s="659"/>
      <c r="I11" s="659"/>
      <c r="J11" s="659"/>
      <c r="K11" s="659"/>
      <c r="L11" s="659"/>
      <c r="M11" s="659"/>
      <c r="N11" s="659"/>
      <c r="O11" s="659"/>
      <c r="P11" s="659"/>
      <c r="Q11" s="659"/>
      <c r="R11" s="659"/>
      <c r="S11" s="660">
        <f t="shared" si="0"/>
        <v>0</v>
      </c>
    </row>
    <row r="12" spans="1:19" s="139" customFormat="1">
      <c r="A12" s="104">
        <v>5</v>
      </c>
      <c r="B12" s="157" t="s">
        <v>220</v>
      </c>
      <c r="C12" s="659"/>
      <c r="D12" s="659"/>
      <c r="E12" s="659"/>
      <c r="F12" s="659"/>
      <c r="G12" s="659"/>
      <c r="H12" s="659"/>
      <c r="I12" s="659"/>
      <c r="J12" s="659"/>
      <c r="K12" s="659"/>
      <c r="L12" s="659"/>
      <c r="M12" s="659"/>
      <c r="N12" s="659"/>
      <c r="O12" s="659"/>
      <c r="P12" s="659"/>
      <c r="Q12" s="659"/>
      <c r="R12" s="659"/>
      <c r="S12" s="660">
        <f t="shared" si="0"/>
        <v>0</v>
      </c>
    </row>
    <row r="13" spans="1:19" s="139" customFormat="1">
      <c r="A13" s="104">
        <v>6</v>
      </c>
      <c r="B13" s="157" t="s">
        <v>221</v>
      </c>
      <c r="C13" s="659"/>
      <c r="D13" s="659"/>
      <c r="E13" s="659">
        <v>12910692.439999999</v>
      </c>
      <c r="F13" s="659"/>
      <c r="G13" s="659"/>
      <c r="H13" s="659"/>
      <c r="I13" s="659">
        <v>44199958.118000008</v>
      </c>
      <c r="J13" s="659">
        <v>27219308.32</v>
      </c>
      <c r="K13" s="659"/>
      <c r="L13" s="659"/>
      <c r="M13" s="659">
        <v>16649045.773661284</v>
      </c>
      <c r="N13" s="659">
        <v>17593458.449999999</v>
      </c>
      <c r="O13" s="659"/>
      <c r="P13" s="659"/>
      <c r="Q13" s="659"/>
      <c r="R13" s="659"/>
      <c r="S13" s="660">
        <f t="shared" si="0"/>
        <v>72534275.930661291</v>
      </c>
    </row>
    <row r="14" spans="1:19" s="139" customFormat="1">
      <c r="A14" s="104">
        <v>7</v>
      </c>
      <c r="B14" s="157" t="s">
        <v>73</v>
      </c>
      <c r="C14" s="659"/>
      <c r="D14" s="659"/>
      <c r="E14" s="659"/>
      <c r="F14" s="659"/>
      <c r="G14" s="659"/>
      <c r="H14" s="659"/>
      <c r="I14" s="659"/>
      <c r="J14" s="659"/>
      <c r="K14" s="659"/>
      <c r="L14" s="659"/>
      <c r="M14" s="659">
        <v>270564462.09954715</v>
      </c>
      <c r="N14" s="659">
        <v>23560023.654999997</v>
      </c>
      <c r="O14" s="659"/>
      <c r="P14" s="659"/>
      <c r="Q14" s="659"/>
      <c r="R14" s="659"/>
      <c r="S14" s="660">
        <f t="shared" si="0"/>
        <v>294124485.75454712</v>
      </c>
    </row>
    <row r="15" spans="1:19" s="139" customFormat="1">
      <c r="A15" s="104">
        <v>8</v>
      </c>
      <c r="B15" s="157" t="s">
        <v>74</v>
      </c>
      <c r="C15" s="659"/>
      <c r="D15" s="659"/>
      <c r="E15" s="659"/>
      <c r="F15" s="659"/>
      <c r="G15" s="659"/>
      <c r="H15" s="659"/>
      <c r="I15" s="659"/>
      <c r="J15" s="659"/>
      <c r="K15" s="659"/>
      <c r="L15" s="659"/>
      <c r="M15" s="659"/>
      <c r="N15" s="659">
        <v>20875.720000000008</v>
      </c>
      <c r="O15" s="659"/>
      <c r="P15" s="659"/>
      <c r="Q15" s="659"/>
      <c r="R15" s="659"/>
      <c r="S15" s="660">
        <f t="shared" si="0"/>
        <v>20875.720000000008</v>
      </c>
    </row>
    <row r="16" spans="1:19" s="139" customFormat="1">
      <c r="A16" s="104">
        <v>9</v>
      </c>
      <c r="B16" s="157" t="s">
        <v>75</v>
      </c>
      <c r="C16" s="659"/>
      <c r="D16" s="659"/>
      <c r="E16" s="659"/>
      <c r="F16" s="659"/>
      <c r="G16" s="659"/>
      <c r="H16" s="659"/>
      <c r="I16" s="659"/>
      <c r="J16" s="659"/>
      <c r="K16" s="659"/>
      <c r="L16" s="659"/>
      <c r="M16" s="659"/>
      <c r="N16" s="659"/>
      <c r="O16" s="659"/>
      <c r="P16" s="659"/>
      <c r="Q16" s="659"/>
      <c r="R16" s="659"/>
      <c r="S16" s="660">
        <f t="shared" si="0"/>
        <v>0</v>
      </c>
    </row>
    <row r="17" spans="1:19" s="139" customFormat="1">
      <c r="A17" s="104">
        <v>10</v>
      </c>
      <c r="B17" s="157" t="s">
        <v>69</v>
      </c>
      <c r="C17" s="659"/>
      <c r="D17" s="659"/>
      <c r="E17" s="659"/>
      <c r="F17" s="659"/>
      <c r="G17" s="659"/>
      <c r="H17" s="659"/>
      <c r="I17" s="659"/>
      <c r="J17" s="659"/>
      <c r="K17" s="659"/>
      <c r="L17" s="659"/>
      <c r="M17" s="659">
        <v>1480544.0300000007</v>
      </c>
      <c r="N17" s="659"/>
      <c r="O17" s="659"/>
      <c r="P17" s="659"/>
      <c r="Q17" s="659"/>
      <c r="R17" s="659"/>
      <c r="S17" s="660">
        <f t="shared" si="0"/>
        <v>1480544.0300000007</v>
      </c>
    </row>
    <row r="18" spans="1:19" s="139" customFormat="1">
      <c r="A18" s="104">
        <v>11</v>
      </c>
      <c r="B18" s="157" t="s">
        <v>70</v>
      </c>
      <c r="C18" s="659"/>
      <c r="D18" s="659"/>
      <c r="E18" s="659"/>
      <c r="F18" s="659"/>
      <c r="G18" s="659"/>
      <c r="H18" s="659"/>
      <c r="I18" s="659"/>
      <c r="J18" s="659"/>
      <c r="K18" s="659"/>
      <c r="L18" s="659"/>
      <c r="M18" s="659"/>
      <c r="N18" s="659"/>
      <c r="O18" s="659"/>
      <c r="P18" s="659"/>
      <c r="Q18" s="659"/>
      <c r="R18" s="659"/>
      <c r="S18" s="660">
        <f t="shared" si="0"/>
        <v>0</v>
      </c>
    </row>
    <row r="19" spans="1:19" s="139" customFormat="1">
      <c r="A19" s="104">
        <v>12</v>
      </c>
      <c r="B19" s="157" t="s">
        <v>71</v>
      </c>
      <c r="C19" s="659"/>
      <c r="D19" s="659"/>
      <c r="E19" s="659"/>
      <c r="F19" s="659"/>
      <c r="G19" s="659"/>
      <c r="H19" s="659"/>
      <c r="I19" s="659"/>
      <c r="J19" s="659"/>
      <c r="K19" s="659"/>
      <c r="L19" s="659"/>
      <c r="M19" s="659"/>
      <c r="N19" s="659"/>
      <c r="O19" s="659"/>
      <c r="P19" s="659"/>
      <c r="Q19" s="659"/>
      <c r="R19" s="659"/>
      <c r="S19" s="660">
        <f t="shared" si="0"/>
        <v>0</v>
      </c>
    </row>
    <row r="20" spans="1:19" s="139" customFormat="1">
      <c r="A20" s="104">
        <v>13</v>
      </c>
      <c r="B20" s="157" t="s">
        <v>72</v>
      </c>
      <c r="C20" s="659"/>
      <c r="D20" s="659"/>
      <c r="E20" s="659"/>
      <c r="F20" s="659"/>
      <c r="G20" s="659"/>
      <c r="H20" s="659"/>
      <c r="I20" s="659"/>
      <c r="J20" s="659"/>
      <c r="K20" s="659"/>
      <c r="L20" s="659"/>
      <c r="M20" s="659"/>
      <c r="N20" s="659"/>
      <c r="O20" s="659"/>
      <c r="P20" s="659"/>
      <c r="Q20" s="659"/>
      <c r="R20" s="659"/>
      <c r="S20" s="660">
        <f t="shared" si="0"/>
        <v>0</v>
      </c>
    </row>
    <row r="21" spans="1:19" s="139" customFormat="1">
      <c r="A21" s="104">
        <v>14</v>
      </c>
      <c r="B21" s="157" t="s">
        <v>249</v>
      </c>
      <c r="C21" s="659">
        <v>1994537.87</v>
      </c>
      <c r="D21" s="659"/>
      <c r="E21" s="659"/>
      <c r="F21" s="659"/>
      <c r="G21" s="659"/>
      <c r="H21" s="659"/>
      <c r="I21" s="659"/>
      <c r="J21" s="659"/>
      <c r="K21" s="659"/>
      <c r="L21" s="659"/>
      <c r="M21" s="659">
        <v>20114033.319401026</v>
      </c>
      <c r="N21" s="659"/>
      <c r="O21" s="659"/>
      <c r="P21" s="659"/>
      <c r="Q21" s="659"/>
      <c r="R21" s="659"/>
      <c r="S21" s="660">
        <f t="shared" si="0"/>
        <v>20114033.319401026</v>
      </c>
    </row>
    <row r="22" spans="1:19" ht="13.5" thickBot="1">
      <c r="A22" s="86"/>
      <c r="B22" s="141" t="s">
        <v>68</v>
      </c>
      <c r="C22" s="661">
        <f>SUM(C8:C21)</f>
        <v>4142435.17</v>
      </c>
      <c r="D22" s="661">
        <f t="shared" ref="D22:S22" si="1">SUM(D8:D21)</f>
        <v>0</v>
      </c>
      <c r="E22" s="661">
        <f t="shared" si="1"/>
        <v>12910692.439999999</v>
      </c>
      <c r="F22" s="661">
        <f t="shared" si="1"/>
        <v>0</v>
      </c>
      <c r="G22" s="661">
        <f t="shared" si="1"/>
        <v>0</v>
      </c>
      <c r="H22" s="661">
        <f t="shared" si="1"/>
        <v>0</v>
      </c>
      <c r="I22" s="661">
        <f t="shared" si="1"/>
        <v>44199958.118000008</v>
      </c>
      <c r="J22" s="661">
        <f t="shared" si="1"/>
        <v>27219308.32</v>
      </c>
      <c r="K22" s="661">
        <f t="shared" si="1"/>
        <v>0</v>
      </c>
      <c r="L22" s="661">
        <f t="shared" si="1"/>
        <v>0</v>
      </c>
      <c r="M22" s="661">
        <f t="shared" si="1"/>
        <v>353933164.40889519</v>
      </c>
      <c r="N22" s="661">
        <f t="shared" si="1"/>
        <v>41174357.824999996</v>
      </c>
      <c r="O22" s="661">
        <f t="shared" si="1"/>
        <v>0</v>
      </c>
      <c r="P22" s="661">
        <f t="shared" si="1"/>
        <v>0</v>
      </c>
      <c r="Q22" s="661">
        <f t="shared" si="1"/>
        <v>0</v>
      </c>
      <c r="R22" s="661">
        <f t="shared" si="1"/>
        <v>0</v>
      </c>
      <c r="S22" s="662">
        <f t="shared" si="1"/>
        <v>433399293.9408952</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527" t="s">
        <v>188</v>
      </c>
      <c r="B1" s="528" t="s">
        <v>954</v>
      </c>
    </row>
    <row r="2" spans="1:22" ht="15">
      <c r="A2" s="527" t="s">
        <v>189</v>
      </c>
      <c r="B2" s="529">
        <f>'1. key ratios'!B2</f>
        <v>44834</v>
      </c>
    </row>
    <row r="4" spans="1:22" ht="27.75" thickBot="1">
      <c r="A4" s="2" t="s">
        <v>416</v>
      </c>
      <c r="B4" s="236" t="s">
        <v>458</v>
      </c>
      <c r="V4" s="183" t="s">
        <v>93</v>
      </c>
    </row>
    <row r="5" spans="1:22">
      <c r="A5" s="84"/>
      <c r="B5" s="85"/>
      <c r="C5" s="799" t="s">
        <v>198</v>
      </c>
      <c r="D5" s="800"/>
      <c r="E5" s="800"/>
      <c r="F5" s="800"/>
      <c r="G5" s="800"/>
      <c r="H5" s="800"/>
      <c r="I5" s="800"/>
      <c r="J5" s="800"/>
      <c r="K5" s="800"/>
      <c r="L5" s="801"/>
      <c r="M5" s="799" t="s">
        <v>199</v>
      </c>
      <c r="N5" s="800"/>
      <c r="O5" s="800"/>
      <c r="P5" s="800"/>
      <c r="Q5" s="800"/>
      <c r="R5" s="800"/>
      <c r="S5" s="801"/>
      <c r="T5" s="804" t="s">
        <v>456</v>
      </c>
      <c r="U5" s="804" t="s">
        <v>455</v>
      </c>
      <c r="V5" s="802" t="s">
        <v>200</v>
      </c>
    </row>
    <row r="6" spans="1:22" s="51" customFormat="1" ht="127.5">
      <c r="A6" s="102"/>
      <c r="B6" s="159"/>
      <c r="C6" s="82" t="s">
        <v>201</v>
      </c>
      <c r="D6" s="81" t="s">
        <v>202</v>
      </c>
      <c r="E6" s="78" t="s">
        <v>203</v>
      </c>
      <c r="F6" s="237" t="s">
        <v>450</v>
      </c>
      <c r="G6" s="81" t="s">
        <v>204</v>
      </c>
      <c r="H6" s="81" t="s">
        <v>205</v>
      </c>
      <c r="I6" s="81" t="s">
        <v>206</v>
      </c>
      <c r="J6" s="81" t="s">
        <v>248</v>
      </c>
      <c r="K6" s="81" t="s">
        <v>207</v>
      </c>
      <c r="L6" s="83" t="s">
        <v>208</v>
      </c>
      <c r="M6" s="82" t="s">
        <v>209</v>
      </c>
      <c r="N6" s="81" t="s">
        <v>210</v>
      </c>
      <c r="O6" s="81" t="s">
        <v>211</v>
      </c>
      <c r="P6" s="81" t="s">
        <v>212</v>
      </c>
      <c r="Q6" s="81" t="s">
        <v>213</v>
      </c>
      <c r="R6" s="81" t="s">
        <v>214</v>
      </c>
      <c r="S6" s="83" t="s">
        <v>215</v>
      </c>
      <c r="T6" s="805"/>
      <c r="U6" s="805"/>
      <c r="V6" s="803"/>
    </row>
    <row r="7" spans="1:22" s="139" customFormat="1">
      <c r="A7" s="140">
        <v>1</v>
      </c>
      <c r="B7" s="138" t="s">
        <v>216</v>
      </c>
      <c r="C7" s="663"/>
      <c r="D7" s="659"/>
      <c r="E7" s="659"/>
      <c r="F7" s="659"/>
      <c r="G7" s="659"/>
      <c r="H7" s="659"/>
      <c r="I7" s="659"/>
      <c r="J7" s="659"/>
      <c r="K7" s="659"/>
      <c r="L7" s="640"/>
      <c r="M7" s="663"/>
      <c r="N7" s="659"/>
      <c r="O7" s="659"/>
      <c r="P7" s="659"/>
      <c r="Q7" s="659"/>
      <c r="R7" s="659"/>
      <c r="S7" s="640"/>
      <c r="T7" s="664"/>
      <c r="U7" s="664"/>
      <c r="V7" s="665">
        <f>SUM(C7:S7)</f>
        <v>0</v>
      </c>
    </row>
    <row r="8" spans="1:22" s="139" customFormat="1">
      <c r="A8" s="140">
        <v>2</v>
      </c>
      <c r="B8" s="138" t="s">
        <v>217</v>
      </c>
      <c r="C8" s="663"/>
      <c r="D8" s="659"/>
      <c r="E8" s="659"/>
      <c r="F8" s="659"/>
      <c r="G8" s="659"/>
      <c r="H8" s="659"/>
      <c r="I8" s="659"/>
      <c r="J8" s="659"/>
      <c r="K8" s="659"/>
      <c r="L8" s="640"/>
      <c r="M8" s="663"/>
      <c r="N8" s="659"/>
      <c r="O8" s="659"/>
      <c r="P8" s="659"/>
      <c r="Q8" s="659"/>
      <c r="R8" s="659"/>
      <c r="S8" s="640"/>
      <c r="T8" s="664"/>
      <c r="U8" s="664"/>
      <c r="V8" s="665">
        <f t="shared" ref="V8:V20" si="0">SUM(C8:S8)</f>
        <v>0</v>
      </c>
    </row>
    <row r="9" spans="1:22" s="139" customFormat="1">
      <c r="A9" s="140">
        <v>3</v>
      </c>
      <c r="B9" s="138" t="s">
        <v>218</v>
      </c>
      <c r="C9" s="663"/>
      <c r="D9" s="659"/>
      <c r="E9" s="659"/>
      <c r="F9" s="659"/>
      <c r="G9" s="659"/>
      <c r="H9" s="659"/>
      <c r="I9" s="659"/>
      <c r="J9" s="659"/>
      <c r="K9" s="659"/>
      <c r="L9" s="640"/>
      <c r="M9" s="663"/>
      <c r="N9" s="659"/>
      <c r="O9" s="659"/>
      <c r="P9" s="659"/>
      <c r="Q9" s="659"/>
      <c r="R9" s="659"/>
      <c r="S9" s="640"/>
      <c r="T9" s="664"/>
      <c r="U9" s="664"/>
      <c r="V9" s="665">
        <f t="shared" si="0"/>
        <v>0</v>
      </c>
    </row>
    <row r="10" spans="1:22" s="139" customFormat="1">
      <c r="A10" s="140">
        <v>4</v>
      </c>
      <c r="B10" s="138" t="s">
        <v>219</v>
      </c>
      <c r="C10" s="663"/>
      <c r="D10" s="659"/>
      <c r="E10" s="659"/>
      <c r="F10" s="659"/>
      <c r="G10" s="659"/>
      <c r="H10" s="659"/>
      <c r="I10" s="659"/>
      <c r="J10" s="659"/>
      <c r="K10" s="659"/>
      <c r="L10" s="640"/>
      <c r="M10" s="663"/>
      <c r="N10" s="659"/>
      <c r="O10" s="659"/>
      <c r="P10" s="659"/>
      <c r="Q10" s="659"/>
      <c r="R10" s="659"/>
      <c r="S10" s="640"/>
      <c r="T10" s="664"/>
      <c r="U10" s="664"/>
      <c r="V10" s="665">
        <f t="shared" si="0"/>
        <v>0</v>
      </c>
    </row>
    <row r="11" spans="1:22" s="139" customFormat="1">
      <c r="A11" s="140">
        <v>5</v>
      </c>
      <c r="B11" s="138" t="s">
        <v>220</v>
      </c>
      <c r="C11" s="663"/>
      <c r="D11" s="659"/>
      <c r="E11" s="659"/>
      <c r="F11" s="659"/>
      <c r="G11" s="659"/>
      <c r="H11" s="659"/>
      <c r="I11" s="659"/>
      <c r="J11" s="659"/>
      <c r="K11" s="659"/>
      <c r="L11" s="640"/>
      <c r="M11" s="663"/>
      <c r="N11" s="659"/>
      <c r="O11" s="659"/>
      <c r="P11" s="659"/>
      <c r="Q11" s="659"/>
      <c r="R11" s="659"/>
      <c r="S11" s="640"/>
      <c r="T11" s="664"/>
      <c r="U11" s="664"/>
      <c r="V11" s="665">
        <f t="shared" si="0"/>
        <v>0</v>
      </c>
    </row>
    <row r="12" spans="1:22" s="139" customFormat="1">
      <c r="A12" s="140">
        <v>6</v>
      </c>
      <c r="B12" s="138" t="s">
        <v>221</v>
      </c>
      <c r="C12" s="663"/>
      <c r="D12" s="659"/>
      <c r="E12" s="659"/>
      <c r="F12" s="659"/>
      <c r="G12" s="659"/>
      <c r="H12" s="659"/>
      <c r="I12" s="659"/>
      <c r="J12" s="659"/>
      <c r="K12" s="659"/>
      <c r="L12" s="640"/>
      <c r="M12" s="663"/>
      <c r="N12" s="659"/>
      <c r="O12" s="659"/>
      <c r="P12" s="659"/>
      <c r="Q12" s="659"/>
      <c r="R12" s="659"/>
      <c r="S12" s="640"/>
      <c r="T12" s="664"/>
      <c r="U12" s="664"/>
      <c r="V12" s="665">
        <f t="shared" si="0"/>
        <v>0</v>
      </c>
    </row>
    <row r="13" spans="1:22" s="139" customFormat="1">
      <c r="A13" s="140">
        <v>7</v>
      </c>
      <c r="B13" s="138" t="s">
        <v>73</v>
      </c>
      <c r="C13" s="663"/>
      <c r="D13" s="659">
        <v>6492696.1644320022</v>
      </c>
      <c r="E13" s="659"/>
      <c r="F13" s="659"/>
      <c r="G13" s="659"/>
      <c r="H13" s="659"/>
      <c r="I13" s="659"/>
      <c r="J13" s="659"/>
      <c r="K13" s="659"/>
      <c r="L13" s="640"/>
      <c r="M13" s="663"/>
      <c r="N13" s="659"/>
      <c r="O13" s="659"/>
      <c r="P13" s="659"/>
      <c r="Q13" s="659"/>
      <c r="R13" s="659"/>
      <c r="S13" s="640"/>
      <c r="T13" s="664">
        <v>6019022.1911640009</v>
      </c>
      <c r="U13" s="664">
        <v>473673.97326800006</v>
      </c>
      <c r="V13" s="665">
        <f t="shared" si="0"/>
        <v>6492696.1644320022</v>
      </c>
    </row>
    <row r="14" spans="1:22" s="139" customFormat="1">
      <c r="A14" s="140">
        <v>8</v>
      </c>
      <c r="B14" s="138" t="s">
        <v>74</v>
      </c>
      <c r="C14" s="663"/>
      <c r="D14" s="659"/>
      <c r="E14" s="659"/>
      <c r="F14" s="659"/>
      <c r="G14" s="659"/>
      <c r="H14" s="659"/>
      <c r="I14" s="659"/>
      <c r="J14" s="659"/>
      <c r="K14" s="659"/>
      <c r="L14" s="640"/>
      <c r="M14" s="663"/>
      <c r="N14" s="659"/>
      <c r="O14" s="659"/>
      <c r="P14" s="659"/>
      <c r="Q14" s="659"/>
      <c r="R14" s="659"/>
      <c r="S14" s="640"/>
      <c r="T14" s="664"/>
      <c r="U14" s="664"/>
      <c r="V14" s="665">
        <f t="shared" si="0"/>
        <v>0</v>
      </c>
    </row>
    <row r="15" spans="1:22" s="139" customFormat="1">
      <c r="A15" s="140">
        <v>9</v>
      </c>
      <c r="B15" s="138" t="s">
        <v>75</v>
      </c>
      <c r="C15" s="663"/>
      <c r="D15" s="659"/>
      <c r="E15" s="659"/>
      <c r="F15" s="659"/>
      <c r="G15" s="659"/>
      <c r="H15" s="659"/>
      <c r="I15" s="659"/>
      <c r="J15" s="659"/>
      <c r="K15" s="659"/>
      <c r="L15" s="640"/>
      <c r="M15" s="663"/>
      <c r="N15" s="659"/>
      <c r="O15" s="659"/>
      <c r="P15" s="659"/>
      <c r="Q15" s="659"/>
      <c r="R15" s="659"/>
      <c r="S15" s="640"/>
      <c r="T15" s="664"/>
      <c r="U15" s="664"/>
      <c r="V15" s="665">
        <f t="shared" si="0"/>
        <v>0</v>
      </c>
    </row>
    <row r="16" spans="1:22" s="139" customFormat="1">
      <c r="A16" s="140">
        <v>10</v>
      </c>
      <c r="B16" s="138" t="s">
        <v>69</v>
      </c>
      <c r="C16" s="663"/>
      <c r="D16" s="659"/>
      <c r="E16" s="659"/>
      <c r="F16" s="659"/>
      <c r="G16" s="659"/>
      <c r="H16" s="659"/>
      <c r="I16" s="659"/>
      <c r="J16" s="659"/>
      <c r="K16" s="659"/>
      <c r="L16" s="640"/>
      <c r="M16" s="663"/>
      <c r="N16" s="659"/>
      <c r="O16" s="659"/>
      <c r="P16" s="659"/>
      <c r="Q16" s="659"/>
      <c r="R16" s="659"/>
      <c r="S16" s="640"/>
      <c r="T16" s="664"/>
      <c r="U16" s="664"/>
      <c r="V16" s="665">
        <f t="shared" si="0"/>
        <v>0</v>
      </c>
    </row>
    <row r="17" spans="1:22" s="139" customFormat="1">
      <c r="A17" s="140">
        <v>11</v>
      </c>
      <c r="B17" s="138" t="s">
        <v>70</v>
      </c>
      <c r="C17" s="663"/>
      <c r="D17" s="659"/>
      <c r="E17" s="659"/>
      <c r="F17" s="659"/>
      <c r="G17" s="659"/>
      <c r="H17" s="659"/>
      <c r="I17" s="659"/>
      <c r="J17" s="659"/>
      <c r="K17" s="659"/>
      <c r="L17" s="640"/>
      <c r="M17" s="663"/>
      <c r="N17" s="659"/>
      <c r="O17" s="659"/>
      <c r="P17" s="659"/>
      <c r="Q17" s="659"/>
      <c r="R17" s="659"/>
      <c r="S17" s="640"/>
      <c r="T17" s="664"/>
      <c r="U17" s="664"/>
      <c r="V17" s="665">
        <f t="shared" si="0"/>
        <v>0</v>
      </c>
    </row>
    <row r="18" spans="1:22" s="139" customFormat="1">
      <c r="A18" s="140">
        <v>12</v>
      </c>
      <c r="B18" s="138" t="s">
        <v>71</v>
      </c>
      <c r="C18" s="663"/>
      <c r="D18" s="659"/>
      <c r="E18" s="659"/>
      <c r="F18" s="659"/>
      <c r="G18" s="659"/>
      <c r="H18" s="659"/>
      <c r="I18" s="659"/>
      <c r="J18" s="659"/>
      <c r="K18" s="659"/>
      <c r="L18" s="640"/>
      <c r="M18" s="663"/>
      <c r="N18" s="659"/>
      <c r="O18" s="659"/>
      <c r="P18" s="659"/>
      <c r="Q18" s="659"/>
      <c r="R18" s="659"/>
      <c r="S18" s="640"/>
      <c r="T18" s="664"/>
      <c r="U18" s="664"/>
      <c r="V18" s="665">
        <f t="shared" si="0"/>
        <v>0</v>
      </c>
    </row>
    <row r="19" spans="1:22" s="139" customFormat="1">
      <c r="A19" s="140">
        <v>13</v>
      </c>
      <c r="B19" s="138" t="s">
        <v>72</v>
      </c>
      <c r="C19" s="663"/>
      <c r="D19" s="659"/>
      <c r="E19" s="659"/>
      <c r="F19" s="659"/>
      <c r="G19" s="659"/>
      <c r="H19" s="659"/>
      <c r="I19" s="659"/>
      <c r="J19" s="659"/>
      <c r="K19" s="659"/>
      <c r="L19" s="640"/>
      <c r="M19" s="663"/>
      <c r="N19" s="659"/>
      <c r="O19" s="659"/>
      <c r="P19" s="659"/>
      <c r="Q19" s="659"/>
      <c r="R19" s="659"/>
      <c r="S19" s="640"/>
      <c r="T19" s="664"/>
      <c r="U19" s="664"/>
      <c r="V19" s="665">
        <f t="shared" si="0"/>
        <v>0</v>
      </c>
    </row>
    <row r="20" spans="1:22" s="139" customFormat="1">
      <c r="A20" s="140">
        <v>14</v>
      </c>
      <c r="B20" s="138" t="s">
        <v>249</v>
      </c>
      <c r="C20" s="663"/>
      <c r="D20" s="659">
        <v>206711.4187296</v>
      </c>
      <c r="E20" s="659"/>
      <c r="F20" s="659"/>
      <c r="G20" s="659"/>
      <c r="H20" s="659"/>
      <c r="I20" s="659"/>
      <c r="J20" s="659"/>
      <c r="K20" s="659"/>
      <c r="L20" s="640"/>
      <c r="M20" s="663"/>
      <c r="N20" s="659"/>
      <c r="O20" s="659"/>
      <c r="P20" s="659"/>
      <c r="Q20" s="659"/>
      <c r="R20" s="659"/>
      <c r="S20" s="640"/>
      <c r="T20" s="664">
        <v>206711.4187296</v>
      </c>
      <c r="U20" s="664"/>
      <c r="V20" s="665">
        <f t="shared" si="0"/>
        <v>206711.4187296</v>
      </c>
    </row>
    <row r="21" spans="1:22" ht="13.5" thickBot="1">
      <c r="A21" s="86"/>
      <c r="B21" s="87" t="s">
        <v>68</v>
      </c>
      <c r="C21" s="666">
        <f>SUM(C7:C20)</f>
        <v>0</v>
      </c>
      <c r="D21" s="667">
        <f t="shared" ref="D21:V21" si="1">SUM(D7:D20)</f>
        <v>6699407.5831616018</v>
      </c>
      <c r="E21" s="667">
        <f t="shared" si="1"/>
        <v>0</v>
      </c>
      <c r="F21" s="667">
        <f t="shared" si="1"/>
        <v>0</v>
      </c>
      <c r="G21" s="667">
        <f t="shared" si="1"/>
        <v>0</v>
      </c>
      <c r="H21" s="667">
        <f t="shared" si="1"/>
        <v>0</v>
      </c>
      <c r="I21" s="667">
        <f t="shared" si="1"/>
        <v>0</v>
      </c>
      <c r="J21" s="667">
        <f t="shared" si="1"/>
        <v>0</v>
      </c>
      <c r="K21" s="667">
        <f t="shared" si="1"/>
        <v>0</v>
      </c>
      <c r="L21" s="668">
        <f t="shared" si="1"/>
        <v>0</v>
      </c>
      <c r="M21" s="666">
        <f t="shared" si="1"/>
        <v>0</v>
      </c>
      <c r="N21" s="667">
        <f t="shared" si="1"/>
        <v>0</v>
      </c>
      <c r="O21" s="667">
        <f t="shared" si="1"/>
        <v>0</v>
      </c>
      <c r="P21" s="667">
        <f t="shared" si="1"/>
        <v>0</v>
      </c>
      <c r="Q21" s="667">
        <f t="shared" si="1"/>
        <v>0</v>
      </c>
      <c r="R21" s="667">
        <f t="shared" si="1"/>
        <v>0</v>
      </c>
      <c r="S21" s="668">
        <f>SUM(S7:S20)</f>
        <v>0</v>
      </c>
      <c r="T21" s="668">
        <f>SUM(T7:T20)</f>
        <v>6225733.6098936005</v>
      </c>
      <c r="U21" s="668">
        <f t="shared" ref="U21" si="2">SUM(U7:U20)</f>
        <v>473673.97326800006</v>
      </c>
      <c r="V21" s="669">
        <f t="shared" si="1"/>
        <v>6699407.5831616018</v>
      </c>
    </row>
    <row r="24" spans="1:22">
      <c r="A24" s="19"/>
      <c r="B24" s="19"/>
      <c r="C24" s="55"/>
      <c r="D24" s="55"/>
      <c r="E24" s="55"/>
    </row>
    <row r="25" spans="1:22">
      <c r="A25" s="79"/>
      <c r="B25" s="79"/>
      <c r="C25" s="19"/>
      <c r="D25" s="55"/>
      <c r="E25" s="55"/>
    </row>
    <row r="26" spans="1:22">
      <c r="A26" s="79"/>
      <c r="B26" s="80"/>
      <c r="C26" s="19"/>
      <c r="D26" s="55"/>
      <c r="E26" s="55"/>
    </row>
    <row r="27" spans="1:22">
      <c r="A27" s="79"/>
      <c r="B27" s="79"/>
      <c r="C27" s="19"/>
      <c r="D27" s="55"/>
      <c r="E27" s="55"/>
    </row>
    <row r="28" spans="1:22">
      <c r="A28" s="79"/>
      <c r="B28" s="80"/>
      <c r="C28" s="19"/>
      <c r="D28" s="55"/>
      <c r="E28" s="5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527" t="s">
        <v>188</v>
      </c>
      <c r="B1" s="528" t="s">
        <v>954</v>
      </c>
    </row>
    <row r="2" spans="1:9" ht="15">
      <c r="A2" s="527" t="s">
        <v>189</v>
      </c>
      <c r="B2" s="529">
        <f>'1. key ratios'!B2</f>
        <v>44834</v>
      </c>
    </row>
    <row r="4" spans="1:9" ht="13.5" thickBot="1">
      <c r="A4" s="2" t="s">
        <v>417</v>
      </c>
      <c r="B4" s="233" t="s">
        <v>459</v>
      </c>
    </row>
    <row r="5" spans="1:9">
      <c r="A5" s="84"/>
      <c r="B5" s="136"/>
      <c r="C5" s="142" t="s">
        <v>0</v>
      </c>
      <c r="D5" s="142" t="s">
        <v>1</v>
      </c>
      <c r="E5" s="142" t="s">
        <v>2</v>
      </c>
      <c r="F5" s="142" t="s">
        <v>3</v>
      </c>
      <c r="G5" s="231" t="s">
        <v>4</v>
      </c>
      <c r="H5" s="143" t="s">
        <v>5</v>
      </c>
      <c r="I5" s="25"/>
    </row>
    <row r="6" spans="1:9" ht="15" customHeight="1">
      <c r="A6" s="135"/>
      <c r="B6" s="23"/>
      <c r="C6" s="806" t="s">
        <v>451</v>
      </c>
      <c r="D6" s="810" t="s">
        <v>472</v>
      </c>
      <c r="E6" s="811"/>
      <c r="F6" s="806" t="s">
        <v>478</v>
      </c>
      <c r="G6" s="806" t="s">
        <v>479</v>
      </c>
      <c r="H6" s="808" t="s">
        <v>453</v>
      </c>
      <c r="I6" s="25"/>
    </row>
    <row r="7" spans="1:9" ht="63.75">
      <c r="A7" s="135"/>
      <c r="B7" s="23"/>
      <c r="C7" s="807"/>
      <c r="D7" s="232" t="s">
        <v>454</v>
      </c>
      <c r="E7" s="232" t="s">
        <v>452</v>
      </c>
      <c r="F7" s="807"/>
      <c r="G7" s="807"/>
      <c r="H7" s="809"/>
      <c r="I7" s="25"/>
    </row>
    <row r="8" spans="1:9">
      <c r="A8" s="75">
        <v>1</v>
      </c>
      <c r="B8" s="57" t="s">
        <v>216</v>
      </c>
      <c r="C8" s="672">
        <f>'11. CRWA'!C8+'11. CRWA'!E8+'11. CRWA'!G8+'11. CRWA'!I8+'11. CRWA'!K8+'11. CRWA'!M8+'11. CRWA'!O8+'11. CRWA'!Q8</f>
        <v>47272976.486285746</v>
      </c>
      <c r="D8" s="673"/>
      <c r="E8" s="672">
        <f>'11. CRWA'!D8+'11. CRWA'!F8+'11. CRWA'!H8+'11. CRWA'!J8+'11. CRWA'!L8+'11. CRWA'!N8+'11. CRWA'!P8+'11. CRWA'!R8</f>
        <v>0</v>
      </c>
      <c r="F8" s="672">
        <f>'11. CRWA'!S8</f>
        <v>45125079.186285749</v>
      </c>
      <c r="G8" s="674">
        <f>F8-'12. CRM'!V7</f>
        <v>45125079.186285749</v>
      </c>
      <c r="H8" s="670">
        <f>IFERROR(G8/(C8+E8),0)</f>
        <v>0.95456395049245268</v>
      </c>
    </row>
    <row r="9" spans="1:9" ht="15" customHeight="1">
      <c r="A9" s="75">
        <v>2</v>
      </c>
      <c r="B9" s="57" t="s">
        <v>217</v>
      </c>
      <c r="C9" s="672">
        <f>'11. CRWA'!C9+'11. CRWA'!E9+'11. CRWA'!G9+'11. CRWA'!I9+'11. CRWA'!K9+'11. CRWA'!M9+'11. CRWA'!O9+'11. CRWA'!Q9</f>
        <v>0</v>
      </c>
      <c r="D9" s="673"/>
      <c r="E9" s="672">
        <f>'11. CRWA'!D9+'11. CRWA'!F9+'11. CRWA'!H9+'11. CRWA'!J9+'11. CRWA'!L9+'11. CRWA'!N9+'11. CRWA'!P9+'11. CRWA'!R9</f>
        <v>0</v>
      </c>
      <c r="F9" s="672">
        <f>'11. CRWA'!S9</f>
        <v>0</v>
      </c>
      <c r="G9" s="674">
        <f>F9-'12. CRM'!V8</f>
        <v>0</v>
      </c>
      <c r="H9" s="670">
        <f t="shared" ref="H9:H21" si="0">IFERROR(G9/(C9+E9),0)</f>
        <v>0</v>
      </c>
    </row>
    <row r="10" spans="1:9">
      <c r="A10" s="75">
        <v>3</v>
      </c>
      <c r="B10" s="57" t="s">
        <v>218</v>
      </c>
      <c r="C10" s="672">
        <f>'11. CRWA'!C10+'11. CRWA'!E10+'11. CRWA'!G10+'11. CRWA'!I10+'11. CRWA'!K10+'11. CRWA'!M10+'11. CRWA'!O10+'11. CRWA'!Q10</f>
        <v>0</v>
      </c>
      <c r="D10" s="673"/>
      <c r="E10" s="672">
        <f>'11. CRWA'!D10+'11. CRWA'!F10+'11. CRWA'!H10+'11. CRWA'!J10+'11. CRWA'!L10+'11. CRWA'!N10+'11. CRWA'!P10+'11. CRWA'!R10</f>
        <v>0</v>
      </c>
      <c r="F10" s="672">
        <f>'11. CRWA'!S10</f>
        <v>0</v>
      </c>
      <c r="G10" s="674">
        <f>F10-'12. CRM'!V9</f>
        <v>0</v>
      </c>
      <c r="H10" s="670">
        <f t="shared" si="0"/>
        <v>0</v>
      </c>
    </row>
    <row r="11" spans="1:9">
      <c r="A11" s="75">
        <v>4</v>
      </c>
      <c r="B11" s="57" t="s">
        <v>219</v>
      </c>
      <c r="C11" s="672">
        <f>'11. CRWA'!C11+'11. CRWA'!E11+'11. CRWA'!G11+'11. CRWA'!I11+'11. CRWA'!K11+'11. CRWA'!M11+'11. CRWA'!O11+'11. CRWA'!Q11</f>
        <v>0</v>
      </c>
      <c r="D11" s="673"/>
      <c r="E11" s="672">
        <f>'11. CRWA'!D11+'11. CRWA'!F11+'11. CRWA'!H11+'11. CRWA'!J11+'11. CRWA'!L11+'11. CRWA'!N11+'11. CRWA'!P11+'11. CRWA'!R11</f>
        <v>0</v>
      </c>
      <c r="F11" s="672">
        <f>'11. CRWA'!S11</f>
        <v>0</v>
      </c>
      <c r="G11" s="674">
        <f>F11-'12. CRM'!V10</f>
        <v>0</v>
      </c>
      <c r="H11" s="670">
        <f t="shared" si="0"/>
        <v>0</v>
      </c>
    </row>
    <row r="12" spans="1:9">
      <c r="A12" s="75">
        <v>5</v>
      </c>
      <c r="B12" s="57" t="s">
        <v>220</v>
      </c>
      <c r="C12" s="672">
        <f>'11. CRWA'!C12+'11. CRWA'!E12+'11. CRWA'!G12+'11. CRWA'!I12+'11. CRWA'!K12+'11. CRWA'!M12+'11. CRWA'!O12+'11. CRWA'!Q12</f>
        <v>0</v>
      </c>
      <c r="D12" s="673"/>
      <c r="E12" s="672">
        <f>'11. CRWA'!D12+'11. CRWA'!F12+'11. CRWA'!H12+'11. CRWA'!J12+'11. CRWA'!L12+'11. CRWA'!N12+'11. CRWA'!P12+'11. CRWA'!R12</f>
        <v>0</v>
      </c>
      <c r="F12" s="672">
        <f>'11. CRWA'!S12</f>
        <v>0</v>
      </c>
      <c r="G12" s="674">
        <f>F12-'12. CRM'!V11</f>
        <v>0</v>
      </c>
      <c r="H12" s="670">
        <f t="shared" si="0"/>
        <v>0</v>
      </c>
    </row>
    <row r="13" spans="1:9">
      <c r="A13" s="75">
        <v>6</v>
      </c>
      <c r="B13" s="57" t="s">
        <v>221</v>
      </c>
      <c r="C13" s="672">
        <f>'11. CRWA'!C13+'11. CRWA'!E13+'11. CRWA'!G13+'11. CRWA'!I13+'11. CRWA'!K13+'11. CRWA'!M13+'11. CRWA'!O13+'11. CRWA'!Q13</f>
        <v>73759696.331661284</v>
      </c>
      <c r="D13" s="673">
        <f>'11. CRWA'!D13+'11. CRWA'!F13+'11. CRWA'!H13+'11. CRWA'!J13+'11. CRWA'!L13+'11. CRWA'!N13+'11. CRWA'!P13+'11. CRWA'!R13</f>
        <v>44812766.769999996</v>
      </c>
      <c r="E13" s="672">
        <f>'11. CRWA'!D13+'11. CRWA'!F13+'11. CRWA'!H13+'11. CRWA'!J13+'11. CRWA'!L13+'11. CRWA'!N13+'11. CRWA'!P13+'11. CRWA'!R13</f>
        <v>44812766.769999996</v>
      </c>
      <c r="F13" s="672">
        <f>'11. CRWA'!S13</f>
        <v>72534275.930661291</v>
      </c>
      <c r="G13" s="674">
        <f>F13-'12. CRM'!V12</f>
        <v>72534275.930661291</v>
      </c>
      <c r="H13" s="670">
        <f t="shared" si="0"/>
        <v>0.61172951993475999</v>
      </c>
    </row>
    <row r="14" spans="1:9">
      <c r="A14" s="75">
        <v>7</v>
      </c>
      <c r="B14" s="57" t="s">
        <v>73</v>
      </c>
      <c r="C14" s="672">
        <f>'11. CRWA'!C14+'11. CRWA'!E14+'11. CRWA'!G14+'11. CRWA'!I14+'11. CRWA'!K14+'11. CRWA'!M14+'11. CRWA'!O14+'11. CRWA'!Q14</f>
        <v>270564462.09954715</v>
      </c>
      <c r="D14" s="673">
        <f>'4. Off-Balance'!E7-D13</f>
        <v>72732826.140000001</v>
      </c>
      <c r="E14" s="672">
        <f>'11. CRWA'!D14+'11. CRWA'!F14+'11. CRWA'!H14+'11. CRWA'!J14+'11. CRWA'!L14+'11. CRWA'!N14+'11. CRWA'!P14+'11. CRWA'!R14</f>
        <v>23560023.654999997</v>
      </c>
      <c r="F14" s="672">
        <f>'11. CRWA'!S14</f>
        <v>294124485.75454712</v>
      </c>
      <c r="G14" s="674">
        <f>F14-'12. CRM'!V13</f>
        <v>287631789.59011513</v>
      </c>
      <c r="H14" s="670">
        <f t="shared" si="0"/>
        <v>0.97792534631118644</v>
      </c>
    </row>
    <row r="15" spans="1:9">
      <c r="A15" s="75">
        <v>8</v>
      </c>
      <c r="B15" s="57" t="s">
        <v>74</v>
      </c>
      <c r="C15" s="672">
        <f>'11. CRWA'!C15+'11. CRWA'!E15+'11. CRWA'!G15+'11. CRWA'!I15+'11. CRWA'!K15+'11. CRWA'!M15+'11. CRWA'!O15+'11. CRWA'!Q15</f>
        <v>0</v>
      </c>
      <c r="D15" s="673"/>
      <c r="E15" s="672">
        <f>'11. CRWA'!D15+'11. CRWA'!F15+'11. CRWA'!H15+'11. CRWA'!J15+'11. CRWA'!L15+'11. CRWA'!N15+'11. CRWA'!P15+'11. CRWA'!R15</f>
        <v>20875.720000000008</v>
      </c>
      <c r="F15" s="672">
        <f>'11. CRWA'!S15</f>
        <v>20875.720000000008</v>
      </c>
      <c r="G15" s="674">
        <f>F15-'12. CRM'!V14</f>
        <v>20875.720000000008</v>
      </c>
      <c r="H15" s="670">
        <f t="shared" si="0"/>
        <v>1</v>
      </c>
    </row>
    <row r="16" spans="1:9">
      <c r="A16" s="75">
        <v>9</v>
      </c>
      <c r="B16" s="57" t="s">
        <v>75</v>
      </c>
      <c r="C16" s="672">
        <f>'11. CRWA'!C16+'11. CRWA'!E16+'11. CRWA'!G16+'11. CRWA'!I16+'11. CRWA'!K16+'11. CRWA'!M16+'11. CRWA'!O16+'11. CRWA'!Q16</f>
        <v>0</v>
      </c>
      <c r="D16" s="673"/>
      <c r="E16" s="672">
        <f>'11. CRWA'!D16+'11. CRWA'!F16+'11. CRWA'!H16+'11. CRWA'!J16+'11. CRWA'!L16+'11. CRWA'!N16+'11. CRWA'!P16+'11. CRWA'!R16</f>
        <v>0</v>
      </c>
      <c r="F16" s="672">
        <f>'11. CRWA'!S16</f>
        <v>0</v>
      </c>
      <c r="G16" s="674">
        <f>F16-'12. CRM'!V15</f>
        <v>0</v>
      </c>
      <c r="H16" s="670">
        <f t="shared" si="0"/>
        <v>0</v>
      </c>
    </row>
    <row r="17" spans="1:8">
      <c r="A17" s="75">
        <v>10</v>
      </c>
      <c r="B17" s="57" t="s">
        <v>69</v>
      </c>
      <c r="C17" s="672">
        <f>'11. CRWA'!C17+'11. CRWA'!E17+'11. CRWA'!G17+'11. CRWA'!I17+'11. CRWA'!K17+'11. CRWA'!M17+'11. CRWA'!O17+'11. CRWA'!Q17</f>
        <v>1480544.0300000007</v>
      </c>
      <c r="D17" s="673"/>
      <c r="E17" s="672">
        <f>'11. CRWA'!D17+'11. CRWA'!F17+'11. CRWA'!H17+'11. CRWA'!J17+'11. CRWA'!L17+'11. CRWA'!N17+'11. CRWA'!P17+'11. CRWA'!R17</f>
        <v>0</v>
      </c>
      <c r="F17" s="672">
        <f>'11. CRWA'!S17</f>
        <v>1480544.0300000007</v>
      </c>
      <c r="G17" s="674">
        <f>F17-'12. CRM'!V16</f>
        <v>1480544.0300000007</v>
      </c>
      <c r="H17" s="670">
        <f t="shared" si="0"/>
        <v>1</v>
      </c>
    </row>
    <row r="18" spans="1:8">
      <c r="A18" s="75">
        <v>11</v>
      </c>
      <c r="B18" s="57" t="s">
        <v>70</v>
      </c>
      <c r="C18" s="672">
        <f>'11. CRWA'!C18+'11. CRWA'!E18+'11. CRWA'!G18+'11. CRWA'!I18+'11. CRWA'!K18+'11. CRWA'!M18+'11. CRWA'!O18+'11. CRWA'!Q18</f>
        <v>0</v>
      </c>
      <c r="D18" s="673"/>
      <c r="E18" s="672">
        <f>'11. CRWA'!D18+'11. CRWA'!F18+'11. CRWA'!H18+'11. CRWA'!J18+'11. CRWA'!L18+'11. CRWA'!N18+'11. CRWA'!P18+'11. CRWA'!R18</f>
        <v>0</v>
      </c>
      <c r="F18" s="672">
        <f>'11. CRWA'!S18</f>
        <v>0</v>
      </c>
      <c r="G18" s="674">
        <f>F18-'12. CRM'!V17</f>
        <v>0</v>
      </c>
      <c r="H18" s="670">
        <f t="shared" si="0"/>
        <v>0</v>
      </c>
    </row>
    <row r="19" spans="1:8">
      <c r="A19" s="75">
        <v>12</v>
      </c>
      <c r="B19" s="57" t="s">
        <v>71</v>
      </c>
      <c r="C19" s="672">
        <f>'11. CRWA'!C19+'11. CRWA'!E19+'11. CRWA'!G19+'11. CRWA'!I19+'11. CRWA'!K19+'11. CRWA'!M19+'11. CRWA'!O19+'11. CRWA'!Q19</f>
        <v>0</v>
      </c>
      <c r="D19" s="673"/>
      <c r="E19" s="672">
        <f>'11. CRWA'!D19+'11. CRWA'!F19+'11. CRWA'!H19+'11. CRWA'!J19+'11. CRWA'!L19+'11. CRWA'!N19+'11. CRWA'!P19+'11. CRWA'!R19</f>
        <v>0</v>
      </c>
      <c r="F19" s="672">
        <f>'11. CRWA'!S19</f>
        <v>0</v>
      </c>
      <c r="G19" s="674">
        <f>F19-'12. CRM'!V18</f>
        <v>0</v>
      </c>
      <c r="H19" s="670">
        <f t="shared" si="0"/>
        <v>0</v>
      </c>
    </row>
    <row r="20" spans="1:8">
      <c r="A20" s="75">
        <v>13</v>
      </c>
      <c r="B20" s="57" t="s">
        <v>72</v>
      </c>
      <c r="C20" s="672">
        <f>'11. CRWA'!C20+'11. CRWA'!E20+'11. CRWA'!G20+'11. CRWA'!I20+'11. CRWA'!K20+'11. CRWA'!M20+'11. CRWA'!O20+'11. CRWA'!Q20</f>
        <v>0</v>
      </c>
      <c r="D20" s="673"/>
      <c r="E20" s="672">
        <f>'11. CRWA'!D20+'11. CRWA'!F20+'11. CRWA'!H20+'11. CRWA'!J20+'11. CRWA'!L20+'11. CRWA'!N20+'11. CRWA'!P20+'11. CRWA'!R20</f>
        <v>0</v>
      </c>
      <c r="F20" s="672">
        <f>'11. CRWA'!S20</f>
        <v>0</v>
      </c>
      <c r="G20" s="674">
        <f>F20-'12. CRM'!V19</f>
        <v>0</v>
      </c>
      <c r="H20" s="670">
        <f t="shared" si="0"/>
        <v>0</v>
      </c>
    </row>
    <row r="21" spans="1:8">
      <c r="A21" s="75">
        <v>14</v>
      </c>
      <c r="B21" s="57" t="s">
        <v>249</v>
      </c>
      <c r="C21" s="672">
        <f>'11. CRWA'!C21+'11. CRWA'!E21+'11. CRWA'!G21+'11. CRWA'!I21+'11. CRWA'!K21+'11. CRWA'!M21+'11. CRWA'!O21+'11. CRWA'!Q21</f>
        <v>22108571.189401027</v>
      </c>
      <c r="D21" s="673"/>
      <c r="E21" s="672">
        <f>'11. CRWA'!D21+'11. CRWA'!F21+'11. CRWA'!H21+'11. CRWA'!J21+'11. CRWA'!L21+'11. CRWA'!N21+'11. CRWA'!P21+'11. CRWA'!R21</f>
        <v>0</v>
      </c>
      <c r="F21" s="672">
        <f>'11. CRWA'!S21</f>
        <v>20114033.319401026</v>
      </c>
      <c r="G21" s="674">
        <f>F21-'12. CRM'!V20</f>
        <v>19907321.900671426</v>
      </c>
      <c r="H21" s="670">
        <f t="shared" si="0"/>
        <v>0.90043457490437506</v>
      </c>
    </row>
    <row r="22" spans="1:8" ht="13.5" thickBot="1">
      <c r="A22" s="137"/>
      <c r="B22" s="144" t="s">
        <v>68</v>
      </c>
      <c r="C22" s="675">
        <f>SUM(C8:C21)</f>
        <v>415186250.13689518</v>
      </c>
      <c r="D22" s="675">
        <f>SUM(D8:D21)</f>
        <v>117545592.91</v>
      </c>
      <c r="E22" s="675">
        <f>SUM(E8:E21)</f>
        <v>68393666.144999996</v>
      </c>
      <c r="F22" s="675">
        <f>SUM(F8:F21)</f>
        <v>433399293.9408952</v>
      </c>
      <c r="G22" s="675">
        <f>SUM(G8:G21)</f>
        <v>426699886.35773361</v>
      </c>
      <c r="H22" s="671">
        <f>G22/(C22+E22)</f>
        <v>0.88237718728789338</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262" bestFit="1" customWidth="1"/>
    <col min="2" max="2" width="104.140625" style="262" customWidth="1"/>
    <col min="3" max="11" width="12.7109375" style="262" customWidth="1"/>
    <col min="12" max="16384" width="9.140625" style="262"/>
  </cols>
  <sheetData>
    <row r="1" spans="1:11" ht="15">
      <c r="A1" s="527" t="s">
        <v>188</v>
      </c>
      <c r="B1" s="528" t="s">
        <v>954</v>
      </c>
    </row>
    <row r="2" spans="1:11" ht="15">
      <c r="A2" s="527" t="s">
        <v>189</v>
      </c>
      <c r="B2" s="529">
        <f>'1. key ratios'!B2</f>
        <v>44834</v>
      </c>
      <c r="C2" s="263"/>
      <c r="D2" s="263"/>
    </row>
    <row r="3" spans="1:11">
      <c r="B3" s="263"/>
      <c r="C3" s="263"/>
      <c r="D3" s="263"/>
    </row>
    <row r="4" spans="1:11" ht="13.5" thickBot="1">
      <c r="A4" s="262" t="s">
        <v>521</v>
      </c>
      <c r="B4" s="233" t="s">
        <v>520</v>
      </c>
      <c r="C4" s="263"/>
      <c r="D4" s="263"/>
    </row>
    <row r="5" spans="1:11" ht="30" customHeight="1">
      <c r="A5" s="815"/>
      <c r="B5" s="816"/>
      <c r="C5" s="813" t="s">
        <v>553</v>
      </c>
      <c r="D5" s="813"/>
      <c r="E5" s="813"/>
      <c r="F5" s="813" t="s">
        <v>554</v>
      </c>
      <c r="G5" s="813"/>
      <c r="H5" s="813"/>
      <c r="I5" s="813" t="s">
        <v>555</v>
      </c>
      <c r="J5" s="813"/>
      <c r="K5" s="814"/>
    </row>
    <row r="6" spans="1:11">
      <c r="A6" s="260"/>
      <c r="B6" s="261"/>
      <c r="C6" s="264" t="s">
        <v>27</v>
      </c>
      <c r="D6" s="264" t="s">
        <v>96</v>
      </c>
      <c r="E6" s="264" t="s">
        <v>68</v>
      </c>
      <c r="F6" s="264" t="s">
        <v>27</v>
      </c>
      <c r="G6" s="264" t="s">
        <v>96</v>
      </c>
      <c r="H6" s="264" t="s">
        <v>68</v>
      </c>
      <c r="I6" s="264" t="s">
        <v>27</v>
      </c>
      <c r="J6" s="264" t="s">
        <v>96</v>
      </c>
      <c r="K6" s="266" t="s">
        <v>68</v>
      </c>
    </row>
    <row r="7" spans="1:11">
      <c r="A7" s="267" t="s">
        <v>491</v>
      </c>
      <c r="B7" s="259"/>
      <c r="C7" s="676"/>
      <c r="D7" s="259"/>
      <c r="E7" s="268"/>
      <c r="F7" s="676"/>
      <c r="G7" s="259"/>
      <c r="H7" s="268"/>
      <c r="I7" s="259"/>
      <c r="J7" s="259"/>
      <c r="K7" s="268"/>
    </row>
    <row r="8" spans="1:11">
      <c r="A8" s="258">
        <v>1</v>
      </c>
      <c r="B8" s="242" t="s">
        <v>491</v>
      </c>
      <c r="C8" s="677"/>
      <c r="D8" s="240"/>
      <c r="E8" s="241"/>
      <c r="F8" s="678">
        <v>22744976.55421244</v>
      </c>
      <c r="G8" s="679">
        <v>76248876.325457886</v>
      </c>
      <c r="H8" s="680">
        <f>G8+F8</f>
        <v>98993852.879670322</v>
      </c>
      <c r="I8" s="681">
        <v>16806186.508021969</v>
      </c>
      <c r="J8" s="679">
        <v>39810773.61069598</v>
      </c>
      <c r="K8" s="680">
        <f>I8+J8</f>
        <v>56616960.118717954</v>
      </c>
    </row>
    <row r="9" spans="1:11">
      <c r="A9" s="267" t="s">
        <v>492</v>
      </c>
      <c r="B9" s="259"/>
      <c r="C9" s="676"/>
      <c r="D9" s="259"/>
      <c r="E9" s="268"/>
      <c r="F9" s="676"/>
      <c r="G9" s="259"/>
      <c r="H9" s="268"/>
      <c r="I9" s="259"/>
      <c r="J9" s="259"/>
      <c r="K9" s="268"/>
    </row>
    <row r="10" spans="1:11">
      <c r="A10" s="269">
        <v>2</v>
      </c>
      <c r="B10" s="243" t="s">
        <v>493</v>
      </c>
      <c r="C10" s="678">
        <v>1290765.7451355318</v>
      </c>
      <c r="D10" s="682">
        <v>20208492.688564111</v>
      </c>
      <c r="E10" s="680">
        <f>C10+D10</f>
        <v>21499258.433699641</v>
      </c>
      <c r="F10" s="678">
        <v>419802.30134249077</v>
      </c>
      <c r="G10" s="682">
        <v>4806079.8510697791</v>
      </c>
      <c r="H10" s="680">
        <f>G10+F10</f>
        <v>5225882.1524122702</v>
      </c>
      <c r="I10" s="681">
        <v>90887.307047619208</v>
      </c>
      <c r="J10" s="682">
        <v>1299107.9871446884</v>
      </c>
      <c r="K10" s="680">
        <f>I10+J10</f>
        <v>1389995.2941923076</v>
      </c>
    </row>
    <row r="11" spans="1:11">
      <c r="A11" s="269">
        <v>3</v>
      </c>
      <c r="B11" s="243" t="s">
        <v>494</v>
      </c>
      <c r="C11" s="678">
        <v>17567164.695860796</v>
      </c>
      <c r="D11" s="682">
        <v>227254111.63736254</v>
      </c>
      <c r="E11" s="680">
        <f t="shared" ref="E11:E16" si="0">C11+D11</f>
        <v>244821276.33322334</v>
      </c>
      <c r="F11" s="683">
        <v>7998906.6529331487</v>
      </c>
      <c r="G11" s="681">
        <v>56258331.23395972</v>
      </c>
      <c r="H11" s="680">
        <f t="shared" ref="H11:H16" si="1">G11+F11</f>
        <v>64257237.88689287</v>
      </c>
      <c r="I11" s="683">
        <v>6825407.864287545</v>
      </c>
      <c r="J11" s="681">
        <v>56130854.4184414</v>
      </c>
      <c r="K11" s="680">
        <f t="shared" ref="K11:K16" si="2">I11+J11</f>
        <v>62956262.282728948</v>
      </c>
    </row>
    <row r="12" spans="1:11">
      <c r="A12" s="269">
        <v>4</v>
      </c>
      <c r="B12" s="243" t="s">
        <v>495</v>
      </c>
      <c r="C12" s="684"/>
      <c r="D12" s="244"/>
      <c r="E12" s="680">
        <f t="shared" si="0"/>
        <v>0</v>
      </c>
      <c r="F12" s="684"/>
      <c r="G12" s="244"/>
      <c r="H12" s="680">
        <f t="shared" si="1"/>
        <v>0</v>
      </c>
      <c r="I12" s="685"/>
      <c r="J12" s="244"/>
      <c r="K12" s="680">
        <f t="shared" si="2"/>
        <v>0</v>
      </c>
    </row>
    <row r="13" spans="1:11">
      <c r="A13" s="269">
        <v>5</v>
      </c>
      <c r="B13" s="243" t="s">
        <v>496</v>
      </c>
      <c r="C13" s="678">
        <v>25832836.142600719</v>
      </c>
      <c r="D13" s="682">
        <v>78873686.160402879</v>
      </c>
      <c r="E13" s="680">
        <f t="shared" si="0"/>
        <v>104706522.30300359</v>
      </c>
      <c r="F13" s="678">
        <v>2592124.5093791187</v>
      </c>
      <c r="G13" s="682">
        <v>7895991.3536776602</v>
      </c>
      <c r="H13" s="680">
        <f t="shared" si="1"/>
        <v>10488115.863056779</v>
      </c>
      <c r="I13" s="681">
        <v>1291717.6076813189</v>
      </c>
      <c r="J13" s="682">
        <v>3943684.3080201428</v>
      </c>
      <c r="K13" s="680">
        <f t="shared" si="2"/>
        <v>5235401.915701462</v>
      </c>
    </row>
    <row r="14" spans="1:11">
      <c r="A14" s="269">
        <v>6</v>
      </c>
      <c r="B14" s="243" t="s">
        <v>511</v>
      </c>
      <c r="C14" s="684"/>
      <c r="D14" s="244"/>
      <c r="E14" s="680">
        <f t="shared" si="0"/>
        <v>0</v>
      </c>
      <c r="F14" s="684"/>
      <c r="G14" s="244"/>
      <c r="H14" s="680">
        <f t="shared" si="1"/>
        <v>0</v>
      </c>
      <c r="I14" s="685"/>
      <c r="J14" s="244"/>
      <c r="K14" s="680">
        <f t="shared" si="2"/>
        <v>0</v>
      </c>
    </row>
    <row r="15" spans="1:11">
      <c r="A15" s="269">
        <v>7</v>
      </c>
      <c r="B15" s="243" t="s">
        <v>498</v>
      </c>
      <c r="C15" s="678">
        <v>1781384.1672161173</v>
      </c>
      <c r="D15" s="682">
        <v>1293037.6298168488</v>
      </c>
      <c r="E15" s="680">
        <f t="shared" si="0"/>
        <v>3074421.7970329663</v>
      </c>
      <c r="F15" s="678">
        <v>15642.813186813188</v>
      </c>
      <c r="G15" s="682">
        <v>768.42586080585704</v>
      </c>
      <c r="H15" s="680">
        <f t="shared" si="1"/>
        <v>16411.239047619045</v>
      </c>
      <c r="I15" s="681">
        <v>15642.813186813188</v>
      </c>
      <c r="J15" s="682">
        <v>768.42586080585704</v>
      </c>
      <c r="K15" s="680">
        <f t="shared" si="2"/>
        <v>16411.239047619045</v>
      </c>
    </row>
    <row r="16" spans="1:11">
      <c r="A16" s="269">
        <v>8</v>
      </c>
      <c r="B16" s="245" t="s">
        <v>499</v>
      </c>
      <c r="C16" s="686">
        <f>SUM(C10:C15)</f>
        <v>46472150.750813164</v>
      </c>
      <c r="D16" s="687">
        <f>SUM(D10:D15)</f>
        <v>327629328.11614639</v>
      </c>
      <c r="E16" s="680">
        <f t="shared" si="0"/>
        <v>374101478.86695957</v>
      </c>
      <c r="F16" s="688">
        <f>SUM(F10:F15)</f>
        <v>11026476.276841572</v>
      </c>
      <c r="G16" s="689">
        <f>SUM(G10:G15)</f>
        <v>68961170.864567965</v>
      </c>
      <c r="H16" s="680">
        <f t="shared" si="1"/>
        <v>79987647.141409531</v>
      </c>
      <c r="I16" s="687">
        <f>SUM(I10:I15)</f>
        <v>8223655.5922032967</v>
      </c>
      <c r="J16" s="689">
        <f>SUM(J10:J15)</f>
        <v>61374415.139467038</v>
      </c>
      <c r="K16" s="680">
        <f t="shared" si="2"/>
        <v>69598070.731670335</v>
      </c>
    </row>
    <row r="17" spans="1:11">
      <c r="A17" s="267" t="s">
        <v>500</v>
      </c>
      <c r="B17" s="259"/>
      <c r="C17" s="676"/>
      <c r="D17" s="259"/>
      <c r="E17" s="268"/>
      <c r="F17" s="676"/>
      <c r="G17" s="259"/>
      <c r="H17" s="268"/>
      <c r="I17" s="259"/>
      <c r="J17" s="259"/>
      <c r="K17" s="268"/>
    </row>
    <row r="18" spans="1:11">
      <c r="A18" s="269">
        <v>9</v>
      </c>
      <c r="B18" s="243" t="s">
        <v>501</v>
      </c>
      <c r="C18" s="684"/>
      <c r="D18" s="244"/>
      <c r="E18" s="680">
        <f>C18+D18</f>
        <v>0</v>
      </c>
      <c r="F18" s="684"/>
      <c r="G18" s="244"/>
      <c r="H18" s="680">
        <f>F18+G18</f>
        <v>0</v>
      </c>
      <c r="I18" s="685"/>
      <c r="J18" s="244"/>
      <c r="K18" s="680">
        <f>I18+J18</f>
        <v>0</v>
      </c>
    </row>
    <row r="19" spans="1:11">
      <c r="A19" s="269">
        <v>10</v>
      </c>
      <c r="B19" s="243" t="s">
        <v>502</v>
      </c>
      <c r="C19" s="678">
        <v>84585552.917441756</v>
      </c>
      <c r="D19" s="682">
        <v>186047892.82334805</v>
      </c>
      <c r="E19" s="680">
        <f t="shared" ref="E19:E21" si="3">C19+D19</f>
        <v>270633445.74078977</v>
      </c>
      <c r="F19" s="678">
        <v>7280872.8326351689</v>
      </c>
      <c r="G19" s="682">
        <v>6851537.3380864505</v>
      </c>
      <c r="H19" s="680">
        <f t="shared" ref="H19:H21" si="4">F19+G19</f>
        <v>14132410.17072162</v>
      </c>
      <c r="I19" s="681">
        <v>13219662.878825646</v>
      </c>
      <c r="J19" s="682">
        <v>49076713.37336117</v>
      </c>
      <c r="K19" s="680">
        <f t="shared" ref="K19:K21" si="5">I19+J19</f>
        <v>62296376.25218682</v>
      </c>
    </row>
    <row r="20" spans="1:11">
      <c r="A20" s="269">
        <v>11</v>
      </c>
      <c r="B20" s="243" t="s">
        <v>503</v>
      </c>
      <c r="C20" s="683">
        <v>3774049.7716968097</v>
      </c>
      <c r="D20" s="690">
        <v>17356741.026656181</v>
      </c>
      <c r="E20" s="680">
        <f t="shared" si="3"/>
        <v>21130790.79835299</v>
      </c>
      <c r="F20" s="683">
        <v>439637.4470769969</v>
      </c>
      <c r="G20" s="690">
        <v>115754.3699500728</v>
      </c>
      <c r="H20" s="680">
        <f t="shared" si="4"/>
        <v>555391.81702706974</v>
      </c>
      <c r="I20" s="691">
        <v>439637.4470769969</v>
      </c>
      <c r="J20" s="690">
        <v>115754.3699500728</v>
      </c>
      <c r="K20" s="680">
        <f t="shared" si="5"/>
        <v>555391.81702706974</v>
      </c>
    </row>
    <row r="21" spans="1:11" ht="13.5" thickBot="1">
      <c r="A21" s="196">
        <v>12</v>
      </c>
      <c r="B21" s="270" t="s">
        <v>504</v>
      </c>
      <c r="C21" s="692">
        <f>SUM(C18:C20)</f>
        <v>88359602.689138561</v>
      </c>
      <c r="D21" s="693">
        <f>SUM(D18:D20)</f>
        <v>203404633.85000423</v>
      </c>
      <c r="E21" s="694">
        <f t="shared" si="3"/>
        <v>291764236.53914279</v>
      </c>
      <c r="F21" s="695">
        <f>SUM(F18:F20)</f>
        <v>7720510.2797121657</v>
      </c>
      <c r="G21" s="696">
        <f>SUM(G18:G20)</f>
        <v>6967291.7080365233</v>
      </c>
      <c r="H21" s="694">
        <f t="shared" si="4"/>
        <v>14687801.98774869</v>
      </c>
      <c r="I21" s="693">
        <f>SUM(I18:I20)</f>
        <v>13659300.325902643</v>
      </c>
      <c r="J21" s="696">
        <f>SUM(J18:J20)</f>
        <v>49192467.743311241</v>
      </c>
      <c r="K21" s="694">
        <f t="shared" si="5"/>
        <v>62851768.069213882</v>
      </c>
    </row>
    <row r="22" spans="1:11" ht="38.25" customHeight="1" thickBot="1">
      <c r="A22" s="256"/>
      <c r="B22" s="257"/>
      <c r="C22" s="257"/>
      <c r="D22" s="257"/>
      <c r="E22" s="257"/>
      <c r="F22" s="812" t="s">
        <v>505</v>
      </c>
      <c r="G22" s="813"/>
      <c r="H22" s="813"/>
      <c r="I22" s="812" t="s">
        <v>506</v>
      </c>
      <c r="J22" s="813"/>
      <c r="K22" s="814"/>
    </row>
    <row r="23" spans="1:11">
      <c r="A23" s="249">
        <v>13</v>
      </c>
      <c r="B23" s="246" t="s">
        <v>491</v>
      </c>
      <c r="C23" s="255"/>
      <c r="D23" s="255"/>
      <c r="E23" s="255"/>
      <c r="F23" s="697">
        <f>F8</f>
        <v>22744976.55421244</v>
      </c>
      <c r="G23" s="698">
        <f>G8</f>
        <v>76248876.325457886</v>
      </c>
      <c r="H23" s="699">
        <f>F23+G23</f>
        <v>98993852.879670322</v>
      </c>
      <c r="I23" s="697">
        <f>I8</f>
        <v>16806186.508021969</v>
      </c>
      <c r="J23" s="698">
        <f>J8</f>
        <v>39810773.61069598</v>
      </c>
      <c r="K23" s="699">
        <f>I23+J23</f>
        <v>56616960.118717954</v>
      </c>
    </row>
    <row r="24" spans="1:11" ht="13.5" thickBot="1">
      <c r="A24" s="250">
        <v>14</v>
      </c>
      <c r="B24" s="247" t="s">
        <v>507</v>
      </c>
      <c r="C24" s="271"/>
      <c r="D24" s="253"/>
      <c r="E24" s="254"/>
      <c r="F24" s="700">
        <f>F16-F21</f>
        <v>3305965.9971294058</v>
      </c>
      <c r="G24" s="701">
        <f>G16-G21</f>
        <v>61993879.156531438</v>
      </c>
      <c r="H24" s="702">
        <f>F24+G24</f>
        <v>65299845.153660841</v>
      </c>
      <c r="I24" s="703">
        <f>I16-MIN(I16*75%,I21)</f>
        <v>2055913.8980508242</v>
      </c>
      <c r="J24" s="704">
        <f>J16-MIN(J16*75%,J21)</f>
        <v>15343603.784866758</v>
      </c>
      <c r="K24" s="702">
        <f t="shared" ref="K24" si="6">I24+J24</f>
        <v>17399517.68291758</v>
      </c>
    </row>
    <row r="25" spans="1:11" ht="13.5" thickBot="1">
      <c r="A25" s="251">
        <v>15</v>
      </c>
      <c r="B25" s="248" t="s">
        <v>508</v>
      </c>
      <c r="C25" s="252"/>
      <c r="D25" s="252"/>
      <c r="E25" s="252"/>
      <c r="F25" s="705">
        <f t="shared" ref="F25:G25" si="7">F23/F24</f>
        <v>6.8799789755738772</v>
      </c>
      <c r="G25" s="706">
        <f t="shared" si="7"/>
        <v>1.2299420098060534</v>
      </c>
      <c r="H25" s="707">
        <f>H23/H24</f>
        <v>1.5159890907355471</v>
      </c>
      <c r="I25" s="705">
        <f t="shared" ref="I25:J25" si="8">I23/I24</f>
        <v>8.174557564864763</v>
      </c>
      <c r="J25" s="706">
        <f t="shared" si="8"/>
        <v>2.5946168950192097</v>
      </c>
      <c r="K25" s="707">
        <f>K23/K24</f>
        <v>3.2539384798179261</v>
      </c>
    </row>
    <row r="28" spans="1:11" ht="38.25">
      <c r="B28" s="24" t="s">
        <v>552</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52" bestFit="1" customWidth="1"/>
    <col min="2" max="2" width="95" style="52" customWidth="1"/>
    <col min="3" max="3" width="12.5703125" style="52" bestFit="1" customWidth="1"/>
    <col min="4" max="4" width="10" style="52" bestFit="1" customWidth="1"/>
    <col min="5" max="5" width="18.28515625" style="52" bestFit="1" customWidth="1"/>
    <col min="6" max="13" width="10.7109375" style="52" customWidth="1"/>
    <col min="14" max="14" width="31" style="52" bestFit="1" customWidth="1"/>
    <col min="15" max="16384" width="9.140625" style="13"/>
  </cols>
  <sheetData>
    <row r="1" spans="1:14">
      <c r="A1" s="527" t="s">
        <v>188</v>
      </c>
      <c r="B1" s="528" t="s">
        <v>954</v>
      </c>
    </row>
    <row r="2" spans="1:14" ht="14.25" customHeight="1">
      <c r="A2" s="527" t="s">
        <v>189</v>
      </c>
      <c r="B2" s="529">
        <f>'1. key ratios'!B2</f>
        <v>44834</v>
      </c>
    </row>
    <row r="3" spans="1:14" ht="14.25" customHeight="1"/>
    <row r="4" spans="1:14" ht="15.75" thickBot="1">
      <c r="A4" s="2" t="s">
        <v>418</v>
      </c>
      <c r="B4" s="77" t="s">
        <v>77</v>
      </c>
    </row>
    <row r="5" spans="1:14" s="26" customFormat="1" ht="12.75">
      <c r="A5" s="153"/>
      <c r="B5" s="154"/>
      <c r="C5" s="155" t="s">
        <v>0</v>
      </c>
      <c r="D5" s="155" t="s">
        <v>1</v>
      </c>
      <c r="E5" s="155" t="s">
        <v>2</v>
      </c>
      <c r="F5" s="155" t="s">
        <v>3</v>
      </c>
      <c r="G5" s="155" t="s">
        <v>4</v>
      </c>
      <c r="H5" s="155" t="s">
        <v>5</v>
      </c>
      <c r="I5" s="155" t="s">
        <v>238</v>
      </c>
      <c r="J5" s="155" t="s">
        <v>239</v>
      </c>
      <c r="K5" s="155" t="s">
        <v>240</v>
      </c>
      <c r="L5" s="155" t="s">
        <v>241</v>
      </c>
      <c r="M5" s="155" t="s">
        <v>242</v>
      </c>
      <c r="N5" s="156" t="s">
        <v>243</v>
      </c>
    </row>
    <row r="6" spans="1:14" ht="45">
      <c r="A6" s="145"/>
      <c r="B6" s="89"/>
      <c r="C6" s="90" t="s">
        <v>87</v>
      </c>
      <c r="D6" s="91" t="s">
        <v>76</v>
      </c>
      <c r="E6" s="92" t="s">
        <v>86</v>
      </c>
      <c r="F6" s="93">
        <v>0</v>
      </c>
      <c r="G6" s="93">
        <v>0.2</v>
      </c>
      <c r="H6" s="93">
        <v>0.35</v>
      </c>
      <c r="I6" s="93">
        <v>0.5</v>
      </c>
      <c r="J6" s="93">
        <v>0.75</v>
      </c>
      <c r="K6" s="93">
        <v>1</v>
      </c>
      <c r="L6" s="93">
        <v>1.5</v>
      </c>
      <c r="M6" s="93">
        <v>2.5</v>
      </c>
      <c r="N6" s="146" t="s">
        <v>77</v>
      </c>
    </row>
    <row r="7" spans="1:14">
      <c r="A7" s="147">
        <v>1</v>
      </c>
      <c r="B7" s="94" t="s">
        <v>78</v>
      </c>
      <c r="C7" s="222">
        <f>SUM(C8:C13)</f>
        <v>0</v>
      </c>
      <c r="D7" s="89"/>
      <c r="E7" s="225">
        <f t="shared" ref="E7:M7" si="0">SUM(E8:E13)</f>
        <v>0</v>
      </c>
      <c r="F7" s="222">
        <f>SUM(F8:F13)</f>
        <v>0</v>
      </c>
      <c r="G7" s="222">
        <f t="shared" si="0"/>
        <v>0</v>
      </c>
      <c r="H7" s="222">
        <f t="shared" si="0"/>
        <v>0</v>
      </c>
      <c r="I7" s="222">
        <f t="shared" si="0"/>
        <v>0</v>
      </c>
      <c r="J7" s="222">
        <f t="shared" si="0"/>
        <v>0</v>
      </c>
      <c r="K7" s="222">
        <f t="shared" si="0"/>
        <v>0</v>
      </c>
      <c r="L7" s="222">
        <f t="shared" si="0"/>
        <v>0</v>
      </c>
      <c r="M7" s="222">
        <f t="shared" si="0"/>
        <v>0</v>
      </c>
      <c r="N7" s="148">
        <f>SUM(N8:N13)</f>
        <v>0</v>
      </c>
    </row>
    <row r="8" spans="1:14">
      <c r="A8" s="147">
        <v>1.1000000000000001</v>
      </c>
      <c r="B8" s="95" t="s">
        <v>79</v>
      </c>
      <c r="C8" s="223">
        <v>0</v>
      </c>
      <c r="D8" s="96">
        <v>0.02</v>
      </c>
      <c r="E8" s="225">
        <f>C8*D8</f>
        <v>0</v>
      </c>
      <c r="F8" s="223"/>
      <c r="G8" s="223"/>
      <c r="H8" s="223"/>
      <c r="I8" s="223"/>
      <c r="J8" s="223"/>
      <c r="K8" s="223"/>
      <c r="L8" s="223"/>
      <c r="M8" s="223"/>
      <c r="N8" s="148">
        <f>SUMPRODUCT($F$6:$M$6,F8:M8)</f>
        <v>0</v>
      </c>
    </row>
    <row r="9" spans="1:14">
      <c r="A9" s="147">
        <v>1.2</v>
      </c>
      <c r="B9" s="95" t="s">
        <v>80</v>
      </c>
      <c r="C9" s="223">
        <v>0</v>
      </c>
      <c r="D9" s="96">
        <v>0.05</v>
      </c>
      <c r="E9" s="225">
        <f>C9*D9</f>
        <v>0</v>
      </c>
      <c r="F9" s="223"/>
      <c r="G9" s="223"/>
      <c r="H9" s="223"/>
      <c r="I9" s="223"/>
      <c r="J9" s="223"/>
      <c r="K9" s="223"/>
      <c r="L9" s="223"/>
      <c r="M9" s="223"/>
      <c r="N9" s="148">
        <f t="shared" ref="N9:N12" si="1">SUMPRODUCT($F$6:$M$6,F9:M9)</f>
        <v>0</v>
      </c>
    </row>
    <row r="10" spans="1:14">
      <c r="A10" s="147">
        <v>1.3</v>
      </c>
      <c r="B10" s="95" t="s">
        <v>81</v>
      </c>
      <c r="C10" s="223">
        <v>0</v>
      </c>
      <c r="D10" s="96">
        <v>0.08</v>
      </c>
      <c r="E10" s="225">
        <f>C10*D10</f>
        <v>0</v>
      </c>
      <c r="F10" s="223"/>
      <c r="G10" s="223"/>
      <c r="H10" s="223"/>
      <c r="I10" s="223"/>
      <c r="J10" s="223"/>
      <c r="K10" s="223"/>
      <c r="L10" s="223"/>
      <c r="M10" s="223"/>
      <c r="N10" s="148">
        <f>SUMPRODUCT($F$6:$M$6,F10:M10)</f>
        <v>0</v>
      </c>
    </row>
    <row r="11" spans="1:14">
      <c r="A11" s="147">
        <v>1.4</v>
      </c>
      <c r="B11" s="95" t="s">
        <v>82</v>
      </c>
      <c r="C11" s="223">
        <v>0</v>
      </c>
      <c r="D11" s="96">
        <v>0.11</v>
      </c>
      <c r="E11" s="225">
        <f>C11*D11</f>
        <v>0</v>
      </c>
      <c r="F11" s="223"/>
      <c r="G11" s="223"/>
      <c r="H11" s="223"/>
      <c r="I11" s="223"/>
      <c r="J11" s="223"/>
      <c r="K11" s="223"/>
      <c r="L11" s="223"/>
      <c r="M11" s="223"/>
      <c r="N11" s="148">
        <f t="shared" si="1"/>
        <v>0</v>
      </c>
    </row>
    <row r="12" spans="1:14">
      <c r="A12" s="147">
        <v>1.5</v>
      </c>
      <c r="B12" s="95" t="s">
        <v>83</v>
      </c>
      <c r="C12" s="223">
        <v>0</v>
      </c>
      <c r="D12" s="96">
        <v>0.14000000000000001</v>
      </c>
      <c r="E12" s="225">
        <f>C12*D12</f>
        <v>0</v>
      </c>
      <c r="F12" s="223"/>
      <c r="G12" s="223"/>
      <c r="H12" s="223"/>
      <c r="I12" s="223"/>
      <c r="J12" s="223"/>
      <c r="K12" s="223"/>
      <c r="L12" s="223"/>
      <c r="M12" s="223"/>
      <c r="N12" s="148">
        <f t="shared" si="1"/>
        <v>0</v>
      </c>
    </row>
    <row r="13" spans="1:14">
      <c r="A13" s="147">
        <v>1.6</v>
      </c>
      <c r="B13" s="97" t="s">
        <v>84</v>
      </c>
      <c r="C13" s="223">
        <v>0</v>
      </c>
      <c r="D13" s="98"/>
      <c r="E13" s="223"/>
      <c r="F13" s="223"/>
      <c r="G13" s="223"/>
      <c r="H13" s="223"/>
      <c r="I13" s="223"/>
      <c r="J13" s="223"/>
      <c r="K13" s="223"/>
      <c r="L13" s="223"/>
      <c r="M13" s="223"/>
      <c r="N13" s="148">
        <f>SUMPRODUCT($F$6:$M$6,F13:M13)</f>
        <v>0</v>
      </c>
    </row>
    <row r="14" spans="1:14">
      <c r="A14" s="147">
        <v>2</v>
      </c>
      <c r="B14" s="99" t="s">
        <v>85</v>
      </c>
      <c r="C14" s="222">
        <f>SUM(C15:C20)</f>
        <v>0</v>
      </c>
      <c r="D14" s="89"/>
      <c r="E14" s="225">
        <f t="shared" ref="E14:M14" si="2">SUM(E15:E20)</f>
        <v>0</v>
      </c>
      <c r="F14" s="223">
        <f t="shared" si="2"/>
        <v>0</v>
      </c>
      <c r="G14" s="223">
        <f t="shared" si="2"/>
        <v>0</v>
      </c>
      <c r="H14" s="223">
        <f t="shared" si="2"/>
        <v>0</v>
      </c>
      <c r="I14" s="223">
        <f t="shared" si="2"/>
        <v>0</v>
      </c>
      <c r="J14" s="223">
        <f t="shared" si="2"/>
        <v>0</v>
      </c>
      <c r="K14" s="223">
        <f t="shared" si="2"/>
        <v>0</v>
      </c>
      <c r="L14" s="223">
        <f t="shared" si="2"/>
        <v>0</v>
      </c>
      <c r="M14" s="223">
        <f t="shared" si="2"/>
        <v>0</v>
      </c>
      <c r="N14" s="148">
        <f>SUM(N15:N20)</f>
        <v>0</v>
      </c>
    </row>
    <row r="15" spans="1:14">
      <c r="A15" s="147">
        <v>2.1</v>
      </c>
      <c r="B15" s="97" t="s">
        <v>79</v>
      </c>
      <c r="C15" s="223"/>
      <c r="D15" s="96">
        <v>5.0000000000000001E-3</v>
      </c>
      <c r="E15" s="225">
        <f>C15*D15</f>
        <v>0</v>
      </c>
      <c r="F15" s="223"/>
      <c r="G15" s="223"/>
      <c r="H15" s="223"/>
      <c r="I15" s="223"/>
      <c r="J15" s="223"/>
      <c r="K15" s="223"/>
      <c r="L15" s="223"/>
      <c r="M15" s="223"/>
      <c r="N15" s="148">
        <f>SUMPRODUCT($F$6:$M$6,F15:M15)</f>
        <v>0</v>
      </c>
    </row>
    <row r="16" spans="1:14">
      <c r="A16" s="147">
        <v>2.2000000000000002</v>
      </c>
      <c r="B16" s="97" t="s">
        <v>80</v>
      </c>
      <c r="C16" s="223"/>
      <c r="D16" s="96">
        <v>0.01</v>
      </c>
      <c r="E16" s="225">
        <f>C16*D16</f>
        <v>0</v>
      </c>
      <c r="F16" s="223"/>
      <c r="G16" s="223"/>
      <c r="H16" s="223"/>
      <c r="I16" s="223"/>
      <c r="J16" s="223"/>
      <c r="K16" s="223"/>
      <c r="L16" s="223"/>
      <c r="M16" s="223"/>
      <c r="N16" s="148">
        <f t="shared" ref="N16:N20" si="3">SUMPRODUCT($F$6:$M$6,F16:M16)</f>
        <v>0</v>
      </c>
    </row>
    <row r="17" spans="1:14">
      <c r="A17" s="147">
        <v>2.2999999999999998</v>
      </c>
      <c r="B17" s="97" t="s">
        <v>81</v>
      </c>
      <c r="C17" s="223"/>
      <c r="D17" s="96">
        <v>0.02</v>
      </c>
      <c r="E17" s="225">
        <f>C17*D17</f>
        <v>0</v>
      </c>
      <c r="F17" s="223"/>
      <c r="G17" s="223"/>
      <c r="H17" s="223"/>
      <c r="I17" s="223"/>
      <c r="J17" s="223"/>
      <c r="K17" s="223"/>
      <c r="L17" s="223"/>
      <c r="M17" s="223"/>
      <c r="N17" s="148">
        <f t="shared" si="3"/>
        <v>0</v>
      </c>
    </row>
    <row r="18" spans="1:14">
      <c r="A18" s="147">
        <v>2.4</v>
      </c>
      <c r="B18" s="97" t="s">
        <v>82</v>
      </c>
      <c r="C18" s="223"/>
      <c r="D18" s="96">
        <v>0.03</v>
      </c>
      <c r="E18" s="225">
        <f>C18*D18</f>
        <v>0</v>
      </c>
      <c r="F18" s="223"/>
      <c r="G18" s="223"/>
      <c r="H18" s="223"/>
      <c r="I18" s="223"/>
      <c r="J18" s="223"/>
      <c r="K18" s="223"/>
      <c r="L18" s="223"/>
      <c r="M18" s="223"/>
      <c r="N18" s="148">
        <f t="shared" si="3"/>
        <v>0</v>
      </c>
    </row>
    <row r="19" spans="1:14">
      <c r="A19" s="147">
        <v>2.5</v>
      </c>
      <c r="B19" s="97" t="s">
        <v>83</v>
      </c>
      <c r="C19" s="223"/>
      <c r="D19" s="96">
        <v>0.04</v>
      </c>
      <c r="E19" s="225">
        <f>C19*D19</f>
        <v>0</v>
      </c>
      <c r="F19" s="223"/>
      <c r="G19" s="223"/>
      <c r="H19" s="223"/>
      <c r="I19" s="223"/>
      <c r="J19" s="223"/>
      <c r="K19" s="223"/>
      <c r="L19" s="223"/>
      <c r="M19" s="223"/>
      <c r="N19" s="148">
        <f t="shared" si="3"/>
        <v>0</v>
      </c>
    </row>
    <row r="20" spans="1:14">
      <c r="A20" s="147">
        <v>2.6</v>
      </c>
      <c r="B20" s="97" t="s">
        <v>84</v>
      </c>
      <c r="C20" s="223"/>
      <c r="D20" s="98"/>
      <c r="E20" s="226"/>
      <c r="F20" s="223"/>
      <c r="G20" s="223"/>
      <c r="H20" s="223"/>
      <c r="I20" s="223"/>
      <c r="J20" s="223"/>
      <c r="K20" s="223"/>
      <c r="L20" s="223"/>
      <c r="M20" s="223"/>
      <c r="N20" s="148">
        <f t="shared" si="3"/>
        <v>0</v>
      </c>
    </row>
    <row r="21" spans="1:14" ht="15.75" thickBot="1">
      <c r="A21" s="149">
        <v>3</v>
      </c>
      <c r="B21" s="150" t="s">
        <v>68</v>
      </c>
      <c r="C21" s="224">
        <f>C14+C7</f>
        <v>0</v>
      </c>
      <c r="D21" s="151"/>
      <c r="E21" s="227">
        <f>E14+E7</f>
        <v>0</v>
      </c>
      <c r="F21" s="228">
        <f>F7+F14</f>
        <v>0</v>
      </c>
      <c r="G21" s="228">
        <f t="shared" ref="G21:L21" si="4">G7+G14</f>
        <v>0</v>
      </c>
      <c r="H21" s="228">
        <f t="shared" si="4"/>
        <v>0</v>
      </c>
      <c r="I21" s="228">
        <f t="shared" si="4"/>
        <v>0</v>
      </c>
      <c r="J21" s="228">
        <f t="shared" si="4"/>
        <v>0</v>
      </c>
      <c r="K21" s="228">
        <f t="shared" si="4"/>
        <v>0</v>
      </c>
      <c r="L21" s="228">
        <f t="shared" si="4"/>
        <v>0</v>
      </c>
      <c r="M21" s="228">
        <f>M7+M14</f>
        <v>0</v>
      </c>
      <c r="N21" s="152">
        <f>N14+N7</f>
        <v>0</v>
      </c>
    </row>
    <row r="22" spans="1:14">
      <c r="E22" s="229"/>
      <c r="F22" s="229"/>
      <c r="G22" s="229"/>
      <c r="H22" s="229"/>
      <c r="I22" s="229"/>
      <c r="J22" s="229"/>
      <c r="K22" s="229"/>
      <c r="L22" s="229"/>
      <c r="M22" s="229"/>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showGridLines="0" workbookViewId="0">
      <selection activeCell="B4" sqref="B4"/>
    </sheetView>
  </sheetViews>
  <sheetFormatPr defaultRowHeight="15"/>
  <cols>
    <col min="1" max="1" width="11.42578125" customWidth="1"/>
    <col min="2" max="2" width="76.85546875" style="4" customWidth="1"/>
    <col min="3" max="3" width="22.85546875" customWidth="1"/>
  </cols>
  <sheetData>
    <row r="1" spans="1:3" ht="15.75">
      <c r="A1" s="527" t="s">
        <v>188</v>
      </c>
      <c r="B1" s="528" t="s">
        <v>954</v>
      </c>
    </row>
    <row r="2" spans="1:3" ht="15.75">
      <c r="A2" s="527" t="s">
        <v>189</v>
      </c>
      <c r="B2" s="529">
        <f>'1. key ratios'!B2</f>
        <v>44834</v>
      </c>
    </row>
    <row r="3" spans="1:3">
      <c r="A3" s="262"/>
      <c r="B3"/>
    </row>
    <row r="4" spans="1:3">
      <c r="A4" s="262" t="s">
        <v>597</v>
      </c>
      <c r="B4" t="s">
        <v>556</v>
      </c>
    </row>
    <row r="5" spans="1:3">
      <c r="A5" s="314"/>
      <c r="B5" s="314" t="s">
        <v>557</v>
      </c>
      <c r="C5" s="326"/>
    </row>
    <row r="6" spans="1:3">
      <c r="A6" s="315">
        <v>1</v>
      </c>
      <c r="B6" s="327" t="s">
        <v>608</v>
      </c>
      <c r="C6" s="708">
        <v>415436267.85689515</v>
      </c>
    </row>
    <row r="7" spans="1:3">
      <c r="A7" s="315">
        <v>2</v>
      </c>
      <c r="B7" s="327" t="s">
        <v>558</v>
      </c>
      <c r="C7" s="708">
        <v>-250017.72000000003</v>
      </c>
    </row>
    <row r="8" spans="1:3">
      <c r="A8" s="316">
        <v>3</v>
      </c>
      <c r="B8" s="329" t="s">
        <v>559</v>
      </c>
      <c r="C8" s="330">
        <f>C6+C7</f>
        <v>415186250.13689512</v>
      </c>
    </row>
    <row r="9" spans="1:3">
      <c r="A9" s="317"/>
      <c r="B9" s="317" t="s">
        <v>560</v>
      </c>
      <c r="C9" s="331"/>
    </row>
    <row r="10" spans="1:3">
      <c r="A10" s="318">
        <v>4</v>
      </c>
      <c r="B10" s="332" t="s">
        <v>561</v>
      </c>
      <c r="C10" s="328"/>
    </row>
    <row r="11" spans="1:3">
      <c r="A11" s="318">
        <v>5</v>
      </c>
      <c r="B11" s="333" t="s">
        <v>562</v>
      </c>
      <c r="C11" s="328"/>
    </row>
    <row r="12" spans="1:3">
      <c r="A12" s="318" t="s">
        <v>563</v>
      </c>
      <c r="B12" s="327" t="s">
        <v>564</v>
      </c>
      <c r="C12" s="330">
        <f>'15. CCR'!E21</f>
        <v>0</v>
      </c>
    </row>
    <row r="13" spans="1:3">
      <c r="A13" s="319">
        <v>6</v>
      </c>
      <c r="B13" s="334" t="s">
        <v>565</v>
      </c>
      <c r="C13" s="328"/>
    </row>
    <row r="14" spans="1:3">
      <c r="A14" s="319">
        <v>7</v>
      </c>
      <c r="B14" s="335" t="s">
        <v>566</v>
      </c>
      <c r="C14" s="328"/>
    </row>
    <row r="15" spans="1:3">
      <c r="A15" s="320">
        <v>8</v>
      </c>
      <c r="B15" s="327" t="s">
        <v>567</v>
      </c>
      <c r="C15" s="328"/>
    </row>
    <row r="16" spans="1:3" ht="24">
      <c r="A16" s="319">
        <v>9</v>
      </c>
      <c r="B16" s="335" t="s">
        <v>568</v>
      </c>
      <c r="C16" s="328"/>
    </row>
    <row r="17" spans="1:3">
      <c r="A17" s="319">
        <v>10</v>
      </c>
      <c r="B17" s="335" t="s">
        <v>569</v>
      </c>
      <c r="C17" s="328"/>
    </row>
    <row r="18" spans="1:3">
      <c r="A18" s="321">
        <v>11</v>
      </c>
      <c r="B18" s="336" t="s">
        <v>570</v>
      </c>
      <c r="C18" s="330">
        <f>SUM(C10:C17)</f>
        <v>0</v>
      </c>
    </row>
    <row r="19" spans="1:3">
      <c r="A19" s="317"/>
      <c r="B19" s="317" t="s">
        <v>571</v>
      </c>
      <c r="C19" s="337"/>
    </row>
    <row r="20" spans="1:3">
      <c r="A20" s="319">
        <v>12</v>
      </c>
      <c r="B20" s="332" t="s">
        <v>572</v>
      </c>
      <c r="C20" s="328"/>
    </row>
    <row r="21" spans="1:3">
      <c r="A21" s="319">
        <v>13</v>
      </c>
      <c r="B21" s="332" t="s">
        <v>573</v>
      </c>
      <c r="C21" s="328"/>
    </row>
    <row r="22" spans="1:3">
      <c r="A22" s="319">
        <v>14</v>
      </c>
      <c r="B22" s="332" t="s">
        <v>574</v>
      </c>
      <c r="C22" s="328"/>
    </row>
    <row r="23" spans="1:3" ht="24">
      <c r="A23" s="319" t="s">
        <v>575</v>
      </c>
      <c r="B23" s="332" t="s">
        <v>576</v>
      </c>
      <c r="C23" s="328"/>
    </row>
    <row r="24" spans="1:3">
      <c r="A24" s="319">
        <v>15</v>
      </c>
      <c r="B24" s="332" t="s">
        <v>577</v>
      </c>
      <c r="C24" s="328"/>
    </row>
    <row r="25" spans="1:3">
      <c r="A25" s="319" t="s">
        <v>578</v>
      </c>
      <c r="B25" s="327" t="s">
        <v>579</v>
      </c>
      <c r="C25" s="328"/>
    </row>
    <row r="26" spans="1:3">
      <c r="A26" s="321">
        <v>16</v>
      </c>
      <c r="B26" s="336" t="s">
        <v>580</v>
      </c>
      <c r="C26" s="330">
        <f>SUM(C20:C25)</f>
        <v>0</v>
      </c>
    </row>
    <row r="27" spans="1:3">
      <c r="A27" s="317"/>
      <c r="B27" s="317" t="s">
        <v>581</v>
      </c>
      <c r="C27" s="331"/>
    </row>
    <row r="28" spans="1:3">
      <c r="A28" s="318">
        <v>17</v>
      </c>
      <c r="B28" s="327" t="s">
        <v>582</v>
      </c>
      <c r="C28" s="708">
        <f>'8. LI2'!C6</f>
        <v>117545592.91</v>
      </c>
    </row>
    <row r="29" spans="1:3">
      <c r="A29" s="318">
        <v>18</v>
      </c>
      <c r="B29" s="327" t="s">
        <v>583</v>
      </c>
      <c r="C29" s="708">
        <f>'8. LI2'!C10</f>
        <v>-49151926.765000001</v>
      </c>
    </row>
    <row r="30" spans="1:3">
      <c r="A30" s="321">
        <v>19</v>
      </c>
      <c r="B30" s="336" t="s">
        <v>584</v>
      </c>
      <c r="C30" s="330">
        <f>C28+C29</f>
        <v>68393666.144999996</v>
      </c>
    </row>
    <row r="31" spans="1:3">
      <c r="A31" s="322"/>
      <c r="B31" s="317" t="s">
        <v>585</v>
      </c>
      <c r="C31" s="331"/>
    </row>
    <row r="32" spans="1:3">
      <c r="A32" s="318" t="s">
        <v>586</v>
      </c>
      <c r="B32" s="332" t="s">
        <v>587</v>
      </c>
      <c r="C32" s="338"/>
    </row>
    <row r="33" spans="1:3">
      <c r="A33" s="318" t="s">
        <v>588</v>
      </c>
      <c r="B33" s="333" t="s">
        <v>589</v>
      </c>
      <c r="C33" s="338"/>
    </row>
    <row r="34" spans="1:3">
      <c r="A34" s="317"/>
      <c r="B34" s="317" t="s">
        <v>590</v>
      </c>
      <c r="C34" s="331"/>
    </row>
    <row r="35" spans="1:3">
      <c r="A35" s="321">
        <v>20</v>
      </c>
      <c r="B35" s="336" t="s">
        <v>89</v>
      </c>
      <c r="C35" s="330">
        <f>'9. Capital'!C28</f>
        <v>108015685.42111553</v>
      </c>
    </row>
    <row r="36" spans="1:3">
      <c r="A36" s="321">
        <v>21</v>
      </c>
      <c r="B36" s="336" t="s">
        <v>591</v>
      </c>
      <c r="C36" s="330">
        <f>C8+C18+C26+C30</f>
        <v>483579916.2818951</v>
      </c>
    </row>
    <row r="37" spans="1:3">
      <c r="A37" s="323"/>
      <c r="B37" s="323" t="s">
        <v>556</v>
      </c>
      <c r="C37" s="331"/>
    </row>
    <row r="38" spans="1:3">
      <c r="A38" s="321">
        <v>22</v>
      </c>
      <c r="B38" s="336" t="s">
        <v>556</v>
      </c>
      <c r="C38" s="709">
        <f>IFERROR(C35/C36,0)</f>
        <v>0.22336677306951999</v>
      </c>
    </row>
    <row r="39" spans="1:3">
      <c r="A39" s="323"/>
      <c r="B39" s="323" t="s">
        <v>592</v>
      </c>
      <c r="C39" s="331"/>
    </row>
    <row r="40" spans="1:3">
      <c r="A40" s="324" t="s">
        <v>593</v>
      </c>
      <c r="B40" s="332" t="s">
        <v>594</v>
      </c>
      <c r="C40" s="338"/>
    </row>
    <row r="41" spans="1:3">
      <c r="A41" s="325" t="s">
        <v>595</v>
      </c>
      <c r="B41" s="333" t="s">
        <v>596</v>
      </c>
      <c r="C41" s="338"/>
    </row>
    <row r="43" spans="1:3">
      <c r="B43" s="348" t="s">
        <v>609</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showGridLines="0" zoomScale="90" zoomScaleNormal="90" workbookViewId="0">
      <pane xSplit="2" ySplit="6" topLeftCell="C7" activePane="bottomRight" state="frozen"/>
      <selection pane="topRight" activeCell="C1" sqref="C1"/>
      <selection pane="bottomLeft" activeCell="A7" sqref="A7"/>
      <selection pane="bottomRight" activeCell="B4" sqref="B4"/>
    </sheetView>
  </sheetViews>
  <sheetFormatPr defaultRowHeight="15"/>
  <cols>
    <col min="1" max="1" width="9.85546875" style="262" bestFit="1" customWidth="1"/>
    <col min="2" max="2" width="82.5703125" style="24" customWidth="1"/>
    <col min="3" max="7" width="17.5703125" style="262" customWidth="1"/>
  </cols>
  <sheetData>
    <row r="1" spans="1:7" ht="15.75">
      <c r="A1" s="527" t="s">
        <v>188</v>
      </c>
      <c r="B1" s="528" t="s">
        <v>954</v>
      </c>
    </row>
    <row r="2" spans="1:7" ht="15.75">
      <c r="A2" s="527" t="s">
        <v>189</v>
      </c>
      <c r="B2" s="529">
        <f>'1. key ratios'!B2</f>
        <v>44834</v>
      </c>
    </row>
    <row r="3" spans="1:7">
      <c r="B3" s="371"/>
    </row>
    <row r="4" spans="1:7" ht="15.75" thickBot="1">
      <c r="A4" s="262" t="s">
        <v>658</v>
      </c>
      <c r="B4" s="372" t="s">
        <v>623</v>
      </c>
    </row>
    <row r="5" spans="1:7">
      <c r="A5" s="373"/>
      <c r="B5" s="374"/>
      <c r="C5" s="817" t="s">
        <v>624</v>
      </c>
      <c r="D5" s="817"/>
      <c r="E5" s="817"/>
      <c r="F5" s="817"/>
      <c r="G5" s="818" t="s">
        <v>625</v>
      </c>
    </row>
    <row r="6" spans="1:7">
      <c r="A6" s="375"/>
      <c r="B6" s="376"/>
      <c r="C6" s="712" t="s">
        <v>626</v>
      </c>
      <c r="D6" s="713" t="s">
        <v>627</v>
      </c>
      <c r="E6" s="713" t="s">
        <v>628</v>
      </c>
      <c r="F6" s="713" t="s">
        <v>629</v>
      </c>
      <c r="G6" s="819"/>
    </row>
    <row r="7" spans="1:7">
      <c r="A7" s="377"/>
      <c r="B7" s="378" t="s">
        <v>630</v>
      </c>
      <c r="C7" s="379"/>
      <c r="D7" s="379"/>
      <c r="E7" s="379"/>
      <c r="F7" s="379"/>
      <c r="G7" s="380"/>
    </row>
    <row r="8" spans="1:7">
      <c r="A8" s="381">
        <v>1</v>
      </c>
      <c r="B8" s="382" t="s">
        <v>631</v>
      </c>
      <c r="C8" s="714">
        <f>SUM(C9:C10)</f>
        <v>108015685.42111552</v>
      </c>
      <c r="D8" s="714">
        <f>SUM(D9:D10)</f>
        <v>0</v>
      </c>
      <c r="E8" s="714">
        <f>SUM(E9:E10)</f>
        <v>0</v>
      </c>
      <c r="F8" s="714">
        <f>SUM(F9:F10)</f>
        <v>59488668.760000005</v>
      </c>
      <c r="G8" s="715">
        <f>SUM(G9:G10)</f>
        <v>167504354.18111551</v>
      </c>
    </row>
    <row r="9" spans="1:7">
      <c r="A9" s="381">
        <v>2</v>
      </c>
      <c r="B9" s="385" t="s">
        <v>88</v>
      </c>
      <c r="C9" s="383">
        <v>108015685.42111552</v>
      </c>
      <c r="D9" s="383"/>
      <c r="E9" s="383"/>
      <c r="F9" s="383"/>
      <c r="G9" s="384">
        <v>108015685.42111552</v>
      </c>
    </row>
    <row r="10" spans="1:7">
      <c r="A10" s="381">
        <v>3</v>
      </c>
      <c r="B10" s="385" t="s">
        <v>632</v>
      </c>
      <c r="C10" s="386"/>
      <c r="D10" s="386"/>
      <c r="E10" s="386"/>
      <c r="F10" s="383">
        <v>59488668.760000005</v>
      </c>
      <c r="G10" s="384">
        <v>59488668.760000005</v>
      </c>
    </row>
    <row r="11" spans="1:7" ht="26.25">
      <c r="A11" s="381">
        <v>4</v>
      </c>
      <c r="B11" s="382" t="s">
        <v>633</v>
      </c>
      <c r="C11" s="714">
        <f t="shared" ref="C11:F11" si="0">SUM(C12:C13)</f>
        <v>5997848.4500000002</v>
      </c>
      <c r="D11" s="714">
        <f t="shared" si="0"/>
        <v>10610641.219999999</v>
      </c>
      <c r="E11" s="714">
        <f t="shared" si="0"/>
        <v>3936195.6599999997</v>
      </c>
      <c r="F11" s="714">
        <f t="shared" si="0"/>
        <v>453632</v>
      </c>
      <c r="G11" s="715">
        <f>SUM(G12:G13)</f>
        <v>12344202.481499996</v>
      </c>
    </row>
    <row r="12" spans="1:7">
      <c r="A12" s="381">
        <v>5</v>
      </c>
      <c r="B12" s="385" t="s">
        <v>634</v>
      </c>
      <c r="C12" s="383">
        <v>862181.82000000123</v>
      </c>
      <c r="D12" s="387">
        <v>1873756.0699999998</v>
      </c>
      <c r="E12" s="383">
        <v>1364159.48</v>
      </c>
      <c r="F12" s="383">
        <v>0</v>
      </c>
      <c r="G12" s="384">
        <v>3895092.501499997</v>
      </c>
    </row>
    <row r="13" spans="1:7">
      <c r="A13" s="381">
        <v>6</v>
      </c>
      <c r="B13" s="385" t="s">
        <v>635</v>
      </c>
      <c r="C13" s="383">
        <v>5135666.629999999</v>
      </c>
      <c r="D13" s="387">
        <v>8736885.1499999985</v>
      </c>
      <c r="E13" s="383">
        <v>2572036.1799999997</v>
      </c>
      <c r="F13" s="383">
        <v>453632</v>
      </c>
      <c r="G13" s="384">
        <v>8449109.9799999986</v>
      </c>
    </row>
    <row r="14" spans="1:7">
      <c r="A14" s="381">
        <v>7</v>
      </c>
      <c r="B14" s="382" t="s">
        <v>636</v>
      </c>
      <c r="C14" s="714">
        <f t="shared" ref="C14:F14" si="1">SUM(C15:C16)</f>
        <v>72749752.679999977</v>
      </c>
      <c r="D14" s="714">
        <f t="shared" si="1"/>
        <v>115579687.77</v>
      </c>
      <c r="E14" s="714">
        <f t="shared" si="1"/>
        <v>21009721.07</v>
      </c>
      <c r="F14" s="714">
        <f t="shared" si="1"/>
        <v>0</v>
      </c>
      <c r="G14" s="715">
        <f>SUM(G15:G16)</f>
        <v>53746124.440000057</v>
      </c>
    </row>
    <row r="15" spans="1:7" ht="51.75">
      <c r="A15" s="381">
        <v>8</v>
      </c>
      <c r="B15" s="385" t="s">
        <v>637</v>
      </c>
      <c r="C15" s="716">
        <v>62918581.149999984</v>
      </c>
      <c r="D15" s="716">
        <v>23563946.66</v>
      </c>
      <c r="E15" s="716">
        <v>7031311.0700000003</v>
      </c>
      <c r="F15" s="716">
        <v>0</v>
      </c>
      <c r="G15" s="717">
        <v>46756919.440000057</v>
      </c>
    </row>
    <row r="16" spans="1:7" ht="26.25">
      <c r="A16" s="381">
        <v>9</v>
      </c>
      <c r="B16" s="385" t="s">
        <v>638</v>
      </c>
      <c r="C16" s="716">
        <v>9831171.5299999993</v>
      </c>
      <c r="D16" s="716">
        <v>92015741.109999999</v>
      </c>
      <c r="E16" s="716">
        <v>13978410</v>
      </c>
      <c r="F16" s="716">
        <v>0</v>
      </c>
      <c r="G16" s="717">
        <v>6989205</v>
      </c>
    </row>
    <row r="17" spans="1:7">
      <c r="A17" s="381">
        <v>10</v>
      </c>
      <c r="B17" s="382" t="s">
        <v>639</v>
      </c>
      <c r="C17" s="383"/>
      <c r="D17" s="387"/>
      <c r="E17" s="383"/>
      <c r="F17" s="383"/>
      <c r="G17" s="384"/>
    </row>
    <row r="18" spans="1:7">
      <c r="A18" s="381">
        <v>11</v>
      </c>
      <c r="B18" s="382" t="s">
        <v>95</v>
      </c>
      <c r="C18" s="714">
        <f>SUM(C19:C20)</f>
        <v>17214202.590767674</v>
      </c>
      <c r="D18" s="718">
        <f t="shared" ref="D18:G18" si="2">SUM(D19:D20)</f>
        <v>0</v>
      </c>
      <c r="E18" s="714">
        <f t="shared" si="2"/>
        <v>0</v>
      </c>
      <c r="F18" s="714">
        <f t="shared" si="2"/>
        <v>0</v>
      </c>
      <c r="G18" s="715">
        <f t="shared" si="2"/>
        <v>0</v>
      </c>
    </row>
    <row r="19" spans="1:7">
      <c r="A19" s="381">
        <v>12</v>
      </c>
      <c r="B19" s="385" t="s">
        <v>640</v>
      </c>
      <c r="C19" s="386"/>
      <c r="D19" s="387"/>
      <c r="E19" s="383"/>
      <c r="F19" s="383"/>
      <c r="G19" s="384"/>
    </row>
    <row r="20" spans="1:7" ht="26.25">
      <c r="A20" s="381">
        <v>13</v>
      </c>
      <c r="B20" s="385" t="s">
        <v>641</v>
      </c>
      <c r="C20" s="383">
        <v>17214202.590767674</v>
      </c>
      <c r="D20" s="383"/>
      <c r="E20" s="383"/>
      <c r="F20" s="383"/>
      <c r="G20" s="384"/>
    </row>
    <row r="21" spans="1:7">
      <c r="A21" s="388">
        <v>14</v>
      </c>
      <c r="B21" s="389" t="s">
        <v>642</v>
      </c>
      <c r="C21" s="386"/>
      <c r="D21" s="386"/>
      <c r="E21" s="386"/>
      <c r="F21" s="386"/>
      <c r="G21" s="390">
        <f>SUM(G8,G11,G14,G17,G18)</f>
        <v>233594681.10261557</v>
      </c>
    </row>
    <row r="22" spans="1:7">
      <c r="A22" s="391"/>
      <c r="B22" s="408" t="s">
        <v>643</v>
      </c>
      <c r="C22" s="392"/>
      <c r="D22" s="393"/>
      <c r="E22" s="392"/>
      <c r="F22" s="392"/>
      <c r="G22" s="394"/>
    </row>
    <row r="23" spans="1:7">
      <c r="A23" s="381">
        <v>15</v>
      </c>
      <c r="B23" s="382" t="s">
        <v>491</v>
      </c>
      <c r="C23" s="395">
        <v>90010465.511003166</v>
      </c>
      <c r="D23" s="396">
        <v>0</v>
      </c>
      <c r="E23" s="395">
        <v>0</v>
      </c>
      <c r="F23" s="395">
        <v>0</v>
      </c>
      <c r="G23" s="384">
        <v>2382232.8090501586</v>
      </c>
    </row>
    <row r="24" spans="1:7">
      <c r="A24" s="381">
        <v>16</v>
      </c>
      <c r="B24" s="382" t="s">
        <v>644</v>
      </c>
      <c r="C24" s="714">
        <f>SUM(C25:C27,C29,C31)</f>
        <v>79740.329935999995</v>
      </c>
      <c r="D24" s="718">
        <f t="shared" ref="D24:G24" si="3">SUM(D25:D27,D29,D31)</f>
        <v>143007927.91957471</v>
      </c>
      <c r="E24" s="714">
        <f t="shared" si="3"/>
        <v>72397855.463200077</v>
      </c>
      <c r="F24" s="714">
        <f t="shared" si="3"/>
        <v>75310998.869244695</v>
      </c>
      <c r="G24" s="715">
        <f t="shared" si="3"/>
        <v>153613095.46767586</v>
      </c>
    </row>
    <row r="25" spans="1:7" ht="26.25">
      <c r="A25" s="381">
        <v>17</v>
      </c>
      <c r="B25" s="385" t="s">
        <v>645</v>
      </c>
      <c r="C25" s="383"/>
      <c r="D25" s="387"/>
      <c r="E25" s="383"/>
      <c r="F25" s="383"/>
      <c r="G25" s="384">
        <v>0</v>
      </c>
    </row>
    <row r="26" spans="1:7" ht="26.25">
      <c r="A26" s="381">
        <v>18</v>
      </c>
      <c r="B26" s="385" t="s">
        <v>646</v>
      </c>
      <c r="C26" s="383">
        <v>79740.329935999995</v>
      </c>
      <c r="D26" s="387">
        <v>55101160.89159999</v>
      </c>
      <c r="E26" s="383">
        <v>22825803.397599999</v>
      </c>
      <c r="F26" s="383">
        <v>0</v>
      </c>
      <c r="G26" s="384">
        <v>19690036.882030398</v>
      </c>
    </row>
    <row r="27" spans="1:7">
      <c r="A27" s="381">
        <v>19</v>
      </c>
      <c r="B27" s="385" t="s">
        <v>647</v>
      </c>
      <c r="C27" s="383">
        <v>0</v>
      </c>
      <c r="D27" s="387">
        <v>87742892.581574738</v>
      </c>
      <c r="E27" s="383">
        <v>49287031.017400086</v>
      </c>
      <c r="F27" s="383">
        <v>51865193.679599956</v>
      </c>
      <c r="G27" s="384">
        <v>113776219.42514744</v>
      </c>
    </row>
    <row r="28" spans="1:7">
      <c r="A28" s="381">
        <v>20</v>
      </c>
      <c r="B28" s="397" t="s">
        <v>648</v>
      </c>
      <c r="C28" s="383"/>
      <c r="D28" s="387"/>
      <c r="E28" s="383"/>
      <c r="F28" s="383"/>
      <c r="G28" s="384"/>
    </row>
    <row r="29" spans="1:7">
      <c r="A29" s="381">
        <v>21</v>
      </c>
      <c r="B29" s="385" t="s">
        <v>649</v>
      </c>
      <c r="C29" s="383">
        <v>0</v>
      </c>
      <c r="D29" s="387">
        <v>163874.44640000007</v>
      </c>
      <c r="E29" s="383">
        <v>285021.04819999996</v>
      </c>
      <c r="F29" s="383">
        <v>2856561.0653999955</v>
      </c>
      <c r="G29" s="384">
        <v>2645981.6548899962</v>
      </c>
    </row>
    <row r="30" spans="1:7">
      <c r="A30" s="381">
        <v>22</v>
      </c>
      <c r="B30" s="397" t="s">
        <v>648</v>
      </c>
      <c r="C30" s="383"/>
      <c r="D30" s="387"/>
      <c r="E30" s="383"/>
      <c r="F30" s="383"/>
      <c r="G30" s="384"/>
    </row>
    <row r="31" spans="1:7" ht="26.25">
      <c r="A31" s="381">
        <v>23</v>
      </c>
      <c r="B31" s="385" t="s">
        <v>650</v>
      </c>
      <c r="C31" s="383"/>
      <c r="D31" s="387"/>
      <c r="E31" s="383"/>
      <c r="F31" s="383">
        <v>20589244.12424475</v>
      </c>
      <c r="G31" s="384">
        <v>17500857.505608037</v>
      </c>
    </row>
    <row r="32" spans="1:7">
      <c r="A32" s="381">
        <v>24</v>
      </c>
      <c r="B32" s="382" t="s">
        <v>651</v>
      </c>
      <c r="C32" s="383">
        <v>0</v>
      </c>
      <c r="D32" s="387"/>
      <c r="E32" s="383"/>
      <c r="F32" s="383"/>
      <c r="G32" s="384">
        <v>0</v>
      </c>
    </row>
    <row r="33" spans="1:7">
      <c r="A33" s="381">
        <v>25</v>
      </c>
      <c r="B33" s="382" t="s">
        <v>165</v>
      </c>
      <c r="C33" s="714">
        <f>SUM(C34:C35)</f>
        <v>14880274.544185024</v>
      </c>
      <c r="D33" s="714">
        <f>SUM(D34:D35)</f>
        <v>2338600</v>
      </c>
      <c r="E33" s="714">
        <f>SUM(E34:E35)</f>
        <v>0</v>
      </c>
      <c r="F33" s="714">
        <f>SUM(F34:F35)</f>
        <v>11696424.809199991</v>
      </c>
      <c r="G33" s="715">
        <f>SUM(G34:G35)</f>
        <v>26576699.353385016</v>
      </c>
    </row>
    <row r="34" spans="1:7">
      <c r="A34" s="381">
        <v>26</v>
      </c>
      <c r="B34" s="385" t="s">
        <v>652</v>
      </c>
      <c r="C34" s="386"/>
      <c r="D34" s="387"/>
      <c r="E34" s="383"/>
      <c r="F34" s="383"/>
      <c r="G34" s="384"/>
    </row>
    <row r="35" spans="1:7">
      <c r="A35" s="381">
        <v>27</v>
      </c>
      <c r="B35" s="385" t="s">
        <v>653</v>
      </c>
      <c r="C35" s="383">
        <v>14880274.544185024</v>
      </c>
      <c r="D35" s="387">
        <v>2338600</v>
      </c>
      <c r="E35" s="383">
        <v>0</v>
      </c>
      <c r="F35" s="383">
        <v>11696424.809199991</v>
      </c>
      <c r="G35" s="384">
        <v>26576699.353385016</v>
      </c>
    </row>
    <row r="36" spans="1:7">
      <c r="A36" s="381">
        <v>28</v>
      </c>
      <c r="B36" s="382" t="s">
        <v>654</v>
      </c>
      <c r="C36" s="383">
        <v>41751.440000000017</v>
      </c>
      <c r="D36" s="387">
        <v>34102187.199200004</v>
      </c>
      <c r="E36" s="383">
        <v>20873759.310200002</v>
      </c>
      <c r="F36" s="383">
        <v>61946513.122000001</v>
      </c>
      <c r="G36" s="384">
        <v>14791659.191240001</v>
      </c>
    </row>
    <row r="37" spans="1:7">
      <c r="A37" s="388">
        <v>29</v>
      </c>
      <c r="B37" s="389" t="s">
        <v>655</v>
      </c>
      <c r="C37" s="386"/>
      <c r="D37" s="386"/>
      <c r="E37" s="386"/>
      <c r="F37" s="386"/>
      <c r="G37" s="390">
        <f>SUM(G23:G24,G32:G33,G36)</f>
        <v>197363686.82135105</v>
      </c>
    </row>
    <row r="38" spans="1:7">
      <c r="A38" s="377"/>
      <c r="B38" s="398"/>
      <c r="C38" s="399"/>
      <c r="D38" s="399"/>
      <c r="E38" s="399"/>
      <c r="F38" s="399"/>
      <c r="G38" s="400"/>
    </row>
    <row r="39" spans="1:7" ht="15.75" thickBot="1">
      <c r="A39" s="401">
        <v>30</v>
      </c>
      <c r="B39" s="402" t="s">
        <v>623</v>
      </c>
      <c r="C39" s="271"/>
      <c r="D39" s="253"/>
      <c r="E39" s="253"/>
      <c r="F39" s="403"/>
      <c r="G39" s="404">
        <f>IFERROR(G21/G37,0)</f>
        <v>1.183574774391299</v>
      </c>
    </row>
    <row r="42" spans="1:7" ht="39">
      <c r="B42" s="24" t="s">
        <v>656</v>
      </c>
    </row>
  </sheetData>
  <mergeCells count="2">
    <mergeCell ref="C5:F5"/>
    <mergeCell ref="G5:G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B4" sqref="B4"/>
    </sheetView>
  </sheetViews>
  <sheetFormatPr defaultRowHeight="15.75"/>
  <cols>
    <col min="1" max="1" width="9.5703125" style="20" bestFit="1" customWidth="1"/>
    <col min="2" max="2" width="88.42578125" style="17" customWidth="1"/>
    <col min="3" max="3" width="12.7109375" style="17" customWidth="1"/>
    <col min="4" max="7" width="12.7109375" style="2" customWidth="1"/>
    <col min="8" max="13" width="6.7109375" customWidth="1"/>
  </cols>
  <sheetData>
    <row r="1" spans="1:8">
      <c r="A1" s="527" t="s">
        <v>188</v>
      </c>
      <c r="B1" s="528" t="s">
        <v>954</v>
      </c>
    </row>
    <row r="2" spans="1:8">
      <c r="A2" s="527" t="s">
        <v>189</v>
      </c>
      <c r="B2" s="529">
        <v>44834</v>
      </c>
      <c r="C2" s="30"/>
      <c r="D2" s="19"/>
      <c r="E2" s="19"/>
      <c r="F2" s="19"/>
      <c r="G2" s="19"/>
      <c r="H2" s="1"/>
    </row>
    <row r="3" spans="1:8">
      <c r="A3" s="18"/>
      <c r="C3" s="30"/>
      <c r="D3" s="19"/>
      <c r="E3" s="19"/>
      <c r="F3" s="19"/>
      <c r="G3" s="19"/>
      <c r="H3" s="1"/>
    </row>
    <row r="4" spans="1:8" ht="16.5" thickBot="1">
      <c r="A4" s="53" t="s">
        <v>405</v>
      </c>
      <c r="B4" s="186" t="s">
        <v>223</v>
      </c>
      <c r="C4" s="187"/>
      <c r="D4" s="188"/>
      <c r="E4" s="188"/>
      <c r="F4" s="188"/>
      <c r="G4" s="188"/>
      <c r="H4" s="1"/>
    </row>
    <row r="5" spans="1:8" ht="15">
      <c r="A5" s="238" t="s">
        <v>26</v>
      </c>
      <c r="B5" s="239"/>
      <c r="C5" s="530" t="str">
        <f>INT((MONTH($B$2))/3)&amp;"Q"&amp;"-"&amp;YEAR($B$2)</f>
        <v>3Q-2022</v>
      </c>
      <c r="D5" s="530" t="str">
        <f>IF(INT(MONTH($B$2))=3, "4"&amp;"Q"&amp;"-"&amp;YEAR($B$2)-1, IF(INT(MONTH($B$2))=6, "1"&amp;"Q"&amp;"-"&amp;YEAR($B$2), IF(INT(MONTH($B$2))=9, "2"&amp;"Q"&amp;"-"&amp;YEAR($B$2),IF(INT(MONTH($B$2))=12, "3"&amp;"Q"&amp;"-"&amp;YEAR($B$2), 0))))</f>
        <v>2Q-2022</v>
      </c>
      <c r="E5" s="530" t="str">
        <f>IF(INT(MONTH($B$2))=3, "3"&amp;"Q"&amp;"-"&amp;YEAR($B$2)-1, IF(INT(MONTH($B$2))=6, "4"&amp;"Q"&amp;"-"&amp;YEAR($B$2)-1, IF(INT(MONTH($B$2))=9, "1"&amp;"Q"&amp;"-"&amp;YEAR($B$2),IF(INT(MONTH($B$2))=12, "2"&amp;"Q"&amp;"-"&amp;YEAR($B$2), 0))))</f>
        <v>1Q-2022</v>
      </c>
      <c r="F5" s="530" t="str">
        <f>IF(INT(MONTH($B$2))=3, "2"&amp;"Q"&amp;"-"&amp;YEAR($B$2)-1, IF(INT(MONTH($B$2))=6, "3"&amp;"Q"&amp;"-"&amp;YEAR($B$2)-1, IF(INT(MONTH($B$2))=9, "4"&amp;"Q"&amp;"-"&amp;YEAR($B$2)-1,IF(INT(MONTH($B$2))=12, "1"&amp;"Q"&amp;"-"&amp;YEAR($B$2), 0))))</f>
        <v>4Q-2021</v>
      </c>
      <c r="G5" s="531" t="str">
        <f>IF(INT(MONTH($B$2))=3, "1"&amp;"Q"&amp;"-"&amp;YEAR($B$2)-1, IF(INT(MONTH($B$2))=6, "2"&amp;"Q"&amp;"-"&amp;YEAR($B$2)-1, IF(INT(MONTH($B$2))=9, "3"&amp;"Q"&amp;"-"&amp;YEAR($B$2)-1,IF(INT(MONTH($B$2))=12, "4"&amp;"Q"&amp;"-"&amp;YEAR($B$2)-1, 0))))</f>
        <v>3Q-2021</v>
      </c>
    </row>
    <row r="6" spans="1:8" ht="15">
      <c r="A6" s="363"/>
      <c r="B6" s="364" t="s">
        <v>186</v>
      </c>
      <c r="C6" s="240"/>
      <c r="D6" s="240"/>
      <c r="E6" s="240"/>
      <c r="F6" s="240"/>
      <c r="G6" s="241"/>
    </row>
    <row r="7" spans="1:8" ht="15">
      <c r="A7" s="363"/>
      <c r="B7" s="365" t="s">
        <v>190</v>
      </c>
      <c r="C7" s="240"/>
      <c r="D7" s="240"/>
      <c r="E7" s="240"/>
      <c r="F7" s="240"/>
      <c r="G7" s="241"/>
    </row>
    <row r="8" spans="1:8" ht="15">
      <c r="A8" s="352">
        <v>1</v>
      </c>
      <c r="B8" s="353" t="s">
        <v>23</v>
      </c>
      <c r="C8" s="532">
        <v>108015685.42111553</v>
      </c>
      <c r="D8" s="533">
        <v>103115610.2218947</v>
      </c>
      <c r="E8" s="533">
        <v>98827281.936013564</v>
      </c>
      <c r="F8" s="533">
        <v>94391539.438289478</v>
      </c>
      <c r="G8" s="534">
        <v>91694973.630918115</v>
      </c>
    </row>
    <row r="9" spans="1:8" ht="15">
      <c r="A9" s="352">
        <v>2</v>
      </c>
      <c r="B9" s="353" t="s">
        <v>89</v>
      </c>
      <c r="C9" s="532">
        <v>108015685.42111553</v>
      </c>
      <c r="D9" s="533">
        <v>103115610.2218947</v>
      </c>
      <c r="E9" s="533">
        <v>98827281.936013564</v>
      </c>
      <c r="F9" s="533">
        <v>94391539.438289478</v>
      </c>
      <c r="G9" s="534">
        <v>91694973.630918115</v>
      </c>
    </row>
    <row r="10" spans="1:8" ht="15">
      <c r="A10" s="352">
        <v>3</v>
      </c>
      <c r="B10" s="353" t="s">
        <v>88</v>
      </c>
      <c r="C10" s="532">
        <v>113349434.0005872</v>
      </c>
      <c r="D10" s="533">
        <v>108155050.23530801</v>
      </c>
      <c r="E10" s="533">
        <v>103889686.47667365</v>
      </c>
      <c r="F10" s="533">
        <v>99323573.353612155</v>
      </c>
      <c r="G10" s="534">
        <v>96668973.423466802</v>
      </c>
    </row>
    <row r="11" spans="1:8" ht="15">
      <c r="A11" s="352">
        <v>4</v>
      </c>
      <c r="B11" s="353" t="s">
        <v>614</v>
      </c>
      <c r="C11" s="532">
        <v>42079324.841049828</v>
      </c>
      <c r="D11" s="533">
        <v>40253514.95966386</v>
      </c>
      <c r="E11" s="533">
        <v>37226442.465223998</v>
      </c>
      <c r="F11" s="533">
        <v>30365791.76327312</v>
      </c>
      <c r="G11" s="534">
        <v>30247107.251175225</v>
      </c>
    </row>
    <row r="12" spans="1:8" ht="15">
      <c r="A12" s="352">
        <v>5</v>
      </c>
      <c r="B12" s="353" t="s">
        <v>615</v>
      </c>
      <c r="C12" s="532">
        <v>56133703.288483441</v>
      </c>
      <c r="D12" s="533">
        <v>53695890.925003864</v>
      </c>
      <c r="E12" s="533">
        <v>49645661.87830551</v>
      </c>
      <c r="F12" s="533">
        <v>40497710.010722086</v>
      </c>
      <c r="G12" s="534">
        <v>40339196.63428393</v>
      </c>
    </row>
    <row r="13" spans="1:8" ht="15">
      <c r="A13" s="352">
        <v>6</v>
      </c>
      <c r="B13" s="353" t="s">
        <v>616</v>
      </c>
      <c r="C13" s="532">
        <v>82243994.484565258</v>
      </c>
      <c r="D13" s="533">
        <v>78878230.883147791</v>
      </c>
      <c r="E13" s="533">
        <v>73122385.552514225</v>
      </c>
      <c r="F13" s="533">
        <v>68536720.062944934</v>
      </c>
      <c r="G13" s="534">
        <v>68323887.634272546</v>
      </c>
    </row>
    <row r="14" spans="1:8" ht="15">
      <c r="A14" s="363"/>
      <c r="B14" s="364" t="s">
        <v>618</v>
      </c>
      <c r="C14" s="535"/>
      <c r="D14" s="535"/>
      <c r="E14" s="535"/>
      <c r="F14" s="535"/>
      <c r="G14" s="536"/>
    </row>
    <row r="15" spans="1:8" ht="25.5">
      <c r="A15" s="352">
        <v>7</v>
      </c>
      <c r="B15" s="353" t="s">
        <v>617</v>
      </c>
      <c r="C15" s="537">
        <v>460845756.58156025</v>
      </c>
      <c r="D15" s="533">
        <v>438729862.48107547</v>
      </c>
      <c r="E15" s="533">
        <v>441999494.70743102</v>
      </c>
      <c r="F15" s="533">
        <v>429797061.35576224</v>
      </c>
      <c r="G15" s="534">
        <v>428178933.76047593</v>
      </c>
    </row>
    <row r="16" spans="1:8" ht="15">
      <c r="A16" s="363"/>
      <c r="B16" s="364" t="s">
        <v>622</v>
      </c>
      <c r="C16" s="535"/>
      <c r="D16" s="535"/>
      <c r="E16" s="535"/>
      <c r="F16" s="535"/>
      <c r="G16" s="536"/>
    </row>
    <row r="17" spans="1:7" s="3" customFormat="1" ht="15">
      <c r="A17" s="352"/>
      <c r="B17" s="365" t="s">
        <v>604</v>
      </c>
      <c r="C17" s="538"/>
      <c r="D17" s="533"/>
      <c r="E17" s="533"/>
      <c r="F17" s="533"/>
      <c r="G17" s="534"/>
    </row>
    <row r="18" spans="1:7" ht="15">
      <c r="A18" s="351">
        <v>8</v>
      </c>
      <c r="B18" s="366" t="s">
        <v>612</v>
      </c>
      <c r="C18" s="539">
        <v>0.23438576547248507</v>
      </c>
      <c r="D18" s="540">
        <v>0.23503212122093142</v>
      </c>
      <c r="E18" s="540">
        <v>0.22359139121059282</v>
      </c>
      <c r="F18" s="540">
        <v>0.21961885718934077</v>
      </c>
      <c r="G18" s="541">
        <v>0.21415106256071076</v>
      </c>
    </row>
    <row r="19" spans="1:7" ht="15" customHeight="1">
      <c r="A19" s="351">
        <v>9</v>
      </c>
      <c r="B19" s="366" t="s">
        <v>611</v>
      </c>
      <c r="C19" s="539">
        <v>0.23438576547248507</v>
      </c>
      <c r="D19" s="540">
        <v>0.23503212122093142</v>
      </c>
      <c r="E19" s="540">
        <v>0.22359139121059282</v>
      </c>
      <c r="F19" s="540">
        <v>0.21961885718934077</v>
      </c>
      <c r="G19" s="541">
        <v>0.21415106256071076</v>
      </c>
    </row>
    <row r="20" spans="1:7" ht="15">
      <c r="A20" s="351">
        <v>10</v>
      </c>
      <c r="B20" s="366" t="s">
        <v>613</v>
      </c>
      <c r="C20" s="539">
        <v>0.2459595914289962</v>
      </c>
      <c r="D20" s="540">
        <v>0.24651855158360289</v>
      </c>
      <c r="E20" s="540">
        <v>0.23504480824223672</v>
      </c>
      <c r="F20" s="540">
        <v>0.23109411925782711</v>
      </c>
      <c r="G20" s="541">
        <v>0.225767700840564</v>
      </c>
    </row>
    <row r="21" spans="1:7" ht="15">
      <c r="A21" s="351">
        <v>11</v>
      </c>
      <c r="B21" s="353" t="s">
        <v>614</v>
      </c>
      <c r="C21" s="539">
        <v>9.1308912450846547E-2</v>
      </c>
      <c r="D21" s="540">
        <v>9.1750114140908723E-2</v>
      </c>
      <c r="E21" s="540">
        <v>8.4222816792731817E-2</v>
      </c>
      <c r="F21" s="540">
        <v>7.0651464362009669E-2</v>
      </c>
      <c r="G21" s="541">
        <v>7.0641278368205551E-2</v>
      </c>
    </row>
    <row r="22" spans="1:7" ht="15">
      <c r="A22" s="351">
        <v>12</v>
      </c>
      <c r="B22" s="353" t="s">
        <v>615</v>
      </c>
      <c r="C22" s="539">
        <v>0.12180583739095127</v>
      </c>
      <c r="D22" s="540">
        <v>0.12238941434564424</v>
      </c>
      <c r="E22" s="540">
        <v>0.1123206303915959</v>
      </c>
      <c r="F22" s="540">
        <v>9.4225190565461595E-2</v>
      </c>
      <c r="G22" s="541">
        <v>9.4211072646674748E-2</v>
      </c>
    </row>
    <row r="23" spans="1:7" ht="15">
      <c r="A23" s="351">
        <v>13</v>
      </c>
      <c r="B23" s="353" t="s">
        <v>616</v>
      </c>
      <c r="C23" s="539">
        <v>0.17846316974822737</v>
      </c>
      <c r="D23" s="540">
        <v>0.17978769541029405</v>
      </c>
      <c r="E23" s="540">
        <v>0.16543545055614942</v>
      </c>
      <c r="F23" s="540">
        <v>0.15946297968336742</v>
      </c>
      <c r="G23" s="541">
        <v>0.15956854073650678</v>
      </c>
    </row>
    <row r="24" spans="1:7" ht="15">
      <c r="A24" s="363"/>
      <c r="B24" s="364" t="s">
        <v>6</v>
      </c>
      <c r="C24" s="535"/>
      <c r="D24" s="535"/>
      <c r="E24" s="535"/>
      <c r="F24" s="535"/>
      <c r="G24" s="536"/>
    </row>
    <row r="25" spans="1:7" ht="15" customHeight="1">
      <c r="A25" s="367">
        <v>14</v>
      </c>
      <c r="B25" s="368" t="s">
        <v>7</v>
      </c>
      <c r="C25" s="542">
        <v>6.9323935917644186E-2</v>
      </c>
      <c r="D25" s="543">
        <v>6.5363720416624624E-2</v>
      </c>
      <c r="E25" s="543">
        <v>6.310912285263591E-2</v>
      </c>
      <c r="F25" s="543">
        <v>6.0645098206081605E-2</v>
      </c>
      <c r="G25" s="544">
        <v>5.9717560254534591E-2</v>
      </c>
    </row>
    <row r="26" spans="1:7" ht="15">
      <c r="A26" s="367">
        <v>15</v>
      </c>
      <c r="B26" s="368" t="s">
        <v>8</v>
      </c>
      <c r="C26" s="542">
        <v>1.6254578585638401E-2</v>
      </c>
      <c r="D26" s="543">
        <v>1.4700230406153612E-2</v>
      </c>
      <c r="E26" s="543">
        <v>1.5241362930500317E-2</v>
      </c>
      <c r="F26" s="543">
        <v>1.27317933077205E-2</v>
      </c>
      <c r="G26" s="544">
        <v>1.2545143304743597E-2</v>
      </c>
    </row>
    <row r="27" spans="1:7" ht="15">
      <c r="A27" s="367">
        <v>16</v>
      </c>
      <c r="B27" s="368" t="s">
        <v>9</v>
      </c>
      <c r="C27" s="542">
        <v>4.9287157635566188E-2</v>
      </c>
      <c r="D27" s="543">
        <v>4.5985376465826705E-2</v>
      </c>
      <c r="E27" s="543">
        <v>4.0685832785419741E-2</v>
      </c>
      <c r="F27" s="543">
        <v>3.8802065051453394E-2</v>
      </c>
      <c r="G27" s="544">
        <v>3.9701938548779361E-2</v>
      </c>
    </row>
    <row r="28" spans="1:7" ht="15">
      <c r="A28" s="367">
        <v>17</v>
      </c>
      <c r="B28" s="368" t="s">
        <v>224</v>
      </c>
      <c r="C28" s="542">
        <v>5.3069357332005795E-2</v>
      </c>
      <c r="D28" s="543">
        <v>5.0663490010471005E-2</v>
      </c>
      <c r="E28" s="543">
        <v>4.7867759922135593E-2</v>
      </c>
      <c r="F28" s="543">
        <v>4.7913304898361105E-2</v>
      </c>
      <c r="G28" s="544">
        <v>4.7172416949790991E-2</v>
      </c>
    </row>
    <row r="29" spans="1:7" ht="15">
      <c r="A29" s="367">
        <v>18</v>
      </c>
      <c r="B29" s="368" t="s">
        <v>10</v>
      </c>
      <c r="C29" s="542">
        <v>4.535760469972934E-2</v>
      </c>
      <c r="D29" s="543">
        <v>4.4138673584522711E-2</v>
      </c>
      <c r="E29" s="543">
        <v>4.5167881572930627E-2</v>
      </c>
      <c r="F29" s="543">
        <v>3.0891846404561427E-2</v>
      </c>
      <c r="G29" s="544">
        <v>3.2232686628001481E-2</v>
      </c>
    </row>
    <row r="30" spans="1:7" ht="15">
      <c r="A30" s="367">
        <v>19</v>
      </c>
      <c r="B30" s="368" t="s">
        <v>11</v>
      </c>
      <c r="C30" s="542">
        <v>0.17966446601688946</v>
      </c>
      <c r="D30" s="543">
        <v>0.17692251238848036</v>
      </c>
      <c r="E30" s="543">
        <v>0.18197728344349209</v>
      </c>
      <c r="F30" s="543">
        <v>0.12713781187574952</v>
      </c>
      <c r="G30" s="544">
        <v>0.13164857753279574</v>
      </c>
    </row>
    <row r="31" spans="1:7" ht="15">
      <c r="A31" s="363"/>
      <c r="B31" s="364" t="s">
        <v>12</v>
      </c>
      <c r="C31" s="535"/>
      <c r="D31" s="535"/>
      <c r="E31" s="535"/>
      <c r="F31" s="535"/>
      <c r="G31" s="536"/>
    </row>
    <row r="32" spans="1:7" ht="15">
      <c r="A32" s="367">
        <v>20</v>
      </c>
      <c r="B32" s="368" t="s">
        <v>13</v>
      </c>
      <c r="C32" s="542">
        <v>2.8265026263008846E-2</v>
      </c>
      <c r="D32" s="543">
        <v>3.1793272706786099E-2</v>
      </c>
      <c r="E32" s="543">
        <v>4.3664209761993505E-2</v>
      </c>
      <c r="F32" s="543">
        <v>4.4892463194140371E-2</v>
      </c>
      <c r="G32" s="544">
        <v>4.992137891796708E-2</v>
      </c>
    </row>
    <row r="33" spans="1:7" ht="15" customHeight="1">
      <c r="A33" s="367">
        <v>21</v>
      </c>
      <c r="B33" s="368" t="s">
        <v>14</v>
      </c>
      <c r="C33" s="542">
        <v>3.0938804531056994E-2</v>
      </c>
      <c r="D33" s="543">
        <v>3.2784036159047951E-2</v>
      </c>
      <c r="E33" s="543">
        <v>3.80624459497374E-2</v>
      </c>
      <c r="F33" s="543">
        <v>4.4301825005523099E-2</v>
      </c>
      <c r="G33" s="544">
        <v>4.7350288688212373E-2</v>
      </c>
    </row>
    <row r="34" spans="1:7" ht="15">
      <c r="A34" s="367">
        <v>22</v>
      </c>
      <c r="B34" s="368" t="s">
        <v>15</v>
      </c>
      <c r="C34" s="542">
        <v>0.55026036863305616</v>
      </c>
      <c r="D34" s="543">
        <v>0.6366650409119371</v>
      </c>
      <c r="E34" s="543">
        <v>0.68932753333814445</v>
      </c>
      <c r="F34" s="543">
        <v>0.68670573055008355</v>
      </c>
      <c r="G34" s="544">
        <v>0.69693506007053119</v>
      </c>
    </row>
    <row r="35" spans="1:7" ht="15" customHeight="1">
      <c r="A35" s="367">
        <v>23</v>
      </c>
      <c r="B35" s="368" t="s">
        <v>16</v>
      </c>
      <c r="C35" s="542">
        <v>0.59384448327133066</v>
      </c>
      <c r="D35" s="543">
        <v>0.66739250025924512</v>
      </c>
      <c r="E35" s="543">
        <v>0.67843974773577032</v>
      </c>
      <c r="F35" s="543">
        <v>0.66342292371955547</v>
      </c>
      <c r="G35" s="544">
        <v>0.67507341181983893</v>
      </c>
    </row>
    <row r="36" spans="1:7" ht="15">
      <c r="A36" s="367">
        <v>24</v>
      </c>
      <c r="B36" s="368" t="s">
        <v>17</v>
      </c>
      <c r="C36" s="542">
        <v>0.11972762844349358</v>
      </c>
      <c r="D36" s="543">
        <v>9.8644695728322518E-2</v>
      </c>
      <c r="E36" s="543">
        <v>6.6903534745348853E-2</v>
      </c>
      <c r="F36" s="543">
        <v>7.8794316306747283E-2</v>
      </c>
      <c r="G36" s="544">
        <v>2.9355743932674691E-2</v>
      </c>
    </row>
    <row r="37" spans="1:7" ht="15" customHeight="1">
      <c r="A37" s="363"/>
      <c r="B37" s="364" t="s">
        <v>18</v>
      </c>
      <c r="C37" s="535"/>
      <c r="D37" s="535"/>
      <c r="E37" s="535"/>
      <c r="F37" s="535"/>
      <c r="G37" s="536"/>
    </row>
    <row r="38" spans="1:7" ht="15" customHeight="1">
      <c r="A38" s="367">
        <v>25</v>
      </c>
      <c r="B38" s="368" t="s">
        <v>19</v>
      </c>
      <c r="C38" s="545">
        <v>0.15710923277885569</v>
      </c>
      <c r="D38" s="546">
        <v>0.17281157625092275</v>
      </c>
      <c r="E38" s="546">
        <v>0.2432166731999956</v>
      </c>
      <c r="F38" s="546">
        <v>0.18312355387542167</v>
      </c>
      <c r="G38" s="547">
        <v>0.21723594158188281</v>
      </c>
    </row>
    <row r="39" spans="1:7" ht="15" customHeight="1">
      <c r="A39" s="367">
        <v>26</v>
      </c>
      <c r="B39" s="368" t="s">
        <v>20</v>
      </c>
      <c r="C39" s="545">
        <v>0.82225848263923629</v>
      </c>
      <c r="D39" s="546">
        <v>0.91570934719187502</v>
      </c>
      <c r="E39" s="546">
        <v>0.92638084918734687</v>
      </c>
      <c r="F39" s="546">
        <v>0.91024141756054833</v>
      </c>
      <c r="G39" s="547">
        <v>0.9110599413810283</v>
      </c>
    </row>
    <row r="40" spans="1:7" ht="15" customHeight="1">
      <c r="A40" s="367">
        <v>27</v>
      </c>
      <c r="B40" s="369" t="s">
        <v>21</v>
      </c>
      <c r="C40" s="545">
        <v>0.18261594663740496</v>
      </c>
      <c r="D40" s="546">
        <v>0.16843183148370816</v>
      </c>
      <c r="E40" s="546">
        <v>0.17217382356191499</v>
      </c>
      <c r="F40" s="546">
        <v>0.14342699142330984</v>
      </c>
      <c r="G40" s="547">
        <v>0.18068084839977919</v>
      </c>
    </row>
    <row r="41" spans="1:7" ht="15" customHeight="1">
      <c r="A41" s="370"/>
      <c r="B41" s="364" t="s">
        <v>525</v>
      </c>
      <c r="C41" s="535"/>
      <c r="D41" s="535"/>
      <c r="E41" s="535"/>
      <c r="F41" s="535"/>
      <c r="G41" s="536"/>
    </row>
    <row r="42" spans="1:7" ht="15" customHeight="1">
      <c r="A42" s="367">
        <v>28</v>
      </c>
      <c r="B42" s="407" t="s">
        <v>509</v>
      </c>
      <c r="C42" s="548">
        <v>89137438.829999998</v>
      </c>
      <c r="D42" s="549">
        <v>106179025.34999998</v>
      </c>
      <c r="E42" s="549">
        <v>119202950.7</v>
      </c>
      <c r="F42" s="549">
        <v>125961060.67</v>
      </c>
      <c r="G42" s="550">
        <v>138221816.16999999</v>
      </c>
    </row>
    <row r="43" spans="1:7" ht="15">
      <c r="A43" s="367">
        <v>29</v>
      </c>
      <c r="B43" s="368" t="s">
        <v>510</v>
      </c>
      <c r="C43" s="548">
        <v>67044637.556638002</v>
      </c>
      <c r="D43" s="549">
        <v>73976166.371080011</v>
      </c>
      <c r="E43" s="549">
        <v>76582814.708628148</v>
      </c>
      <c r="F43" s="549">
        <v>62369833.322127774</v>
      </c>
      <c r="G43" s="550">
        <v>92930041.167475656</v>
      </c>
    </row>
    <row r="44" spans="1:7" ht="15">
      <c r="A44" s="405">
        <v>30</v>
      </c>
      <c r="B44" s="406" t="s">
        <v>508</v>
      </c>
      <c r="C44" s="551">
        <v>1.3295237632494983</v>
      </c>
      <c r="D44" s="552">
        <v>1.4353139741979011</v>
      </c>
      <c r="E44" s="552">
        <v>1.5565234988231647</v>
      </c>
      <c r="F44" s="552">
        <v>2.0195830894630773</v>
      </c>
      <c r="G44" s="553">
        <v>1.4873749589855545</v>
      </c>
    </row>
    <row r="45" spans="1:7" ht="15">
      <c r="A45" s="405"/>
      <c r="B45" s="364" t="s">
        <v>623</v>
      </c>
      <c r="C45" s="554"/>
      <c r="D45" s="555"/>
      <c r="E45" s="555"/>
      <c r="F45" s="555"/>
      <c r="G45" s="556"/>
    </row>
    <row r="46" spans="1:7" ht="15">
      <c r="A46" s="405">
        <v>31</v>
      </c>
      <c r="B46" s="406" t="s">
        <v>630</v>
      </c>
      <c r="C46" s="554">
        <v>233594681.10261557</v>
      </c>
      <c r="D46" s="555">
        <v>216035611.71239471</v>
      </c>
      <c r="E46" s="555">
        <v>230296060.9620136</v>
      </c>
      <c r="F46" s="555">
        <v>225376140.44278947</v>
      </c>
      <c r="G46" s="556">
        <v>217710441.46391809</v>
      </c>
    </row>
    <row r="47" spans="1:7" ht="15">
      <c r="A47" s="405">
        <v>32</v>
      </c>
      <c r="B47" s="406" t="s">
        <v>643</v>
      </c>
      <c r="C47" s="554">
        <v>197363686.82135105</v>
      </c>
      <c r="D47" s="555">
        <v>196066292.09883821</v>
      </c>
      <c r="E47" s="555">
        <v>192417041.2049503</v>
      </c>
      <c r="F47" s="555">
        <v>186291223.8106674</v>
      </c>
      <c r="G47" s="556">
        <v>184610398.94422942</v>
      </c>
    </row>
    <row r="48" spans="1:7" thickBot="1">
      <c r="A48" s="105">
        <v>33</v>
      </c>
      <c r="B48" s="213" t="s">
        <v>657</v>
      </c>
      <c r="C48" s="557">
        <v>1.183574774391299</v>
      </c>
      <c r="D48" s="558">
        <v>1.101849835582599</v>
      </c>
      <c r="E48" s="558">
        <v>1.1968589659203677</v>
      </c>
      <c r="F48" s="558">
        <v>1.209805463900141</v>
      </c>
      <c r="G48" s="559">
        <v>1.179296739018955</v>
      </c>
    </row>
    <row r="49" spans="1:7">
      <c r="A49" s="21"/>
    </row>
    <row r="50" spans="1:7" ht="39.75">
      <c r="B50" s="24" t="s">
        <v>603</v>
      </c>
    </row>
    <row r="51" spans="1:7" ht="65.25">
      <c r="B51" s="283" t="s">
        <v>524</v>
      </c>
      <c r="D51" s="262"/>
      <c r="E51" s="262"/>
      <c r="F51" s="262"/>
      <c r="G51" s="2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Normal="100" workbookViewId="0">
      <selection activeCell="A5" sqref="A5:B7"/>
    </sheetView>
  </sheetViews>
  <sheetFormatPr defaultColWidth="9.140625" defaultRowHeight="12.75"/>
  <cols>
    <col min="1" max="1" width="11.85546875" style="413" bestFit="1" customWidth="1"/>
    <col min="2" max="2" width="91.140625" style="413" bestFit="1" customWidth="1"/>
    <col min="3" max="6" width="14.85546875" style="413" customWidth="1"/>
    <col min="7" max="7" width="17.140625" style="413" customWidth="1"/>
    <col min="8" max="8" width="14.85546875" style="413" customWidth="1"/>
    <col min="9" max="16384" width="9.140625" style="413"/>
  </cols>
  <sheetData>
    <row r="1" spans="1:8" ht="15">
      <c r="A1" s="527" t="s">
        <v>188</v>
      </c>
      <c r="B1" s="528" t="s">
        <v>954</v>
      </c>
    </row>
    <row r="2" spans="1:8" ht="15">
      <c r="A2" s="527" t="s">
        <v>189</v>
      </c>
      <c r="B2" s="529">
        <f>'1. key ratios'!B2</f>
        <v>44834</v>
      </c>
    </row>
    <row r="3" spans="1:8">
      <c r="A3" s="415" t="s">
        <v>663</v>
      </c>
      <c r="B3" s="416"/>
    </row>
    <row r="5" spans="1:8" ht="12.75" customHeight="1">
      <c r="A5" s="820" t="s">
        <v>664</v>
      </c>
      <c r="B5" s="821"/>
      <c r="C5" s="826" t="s">
        <v>665</v>
      </c>
      <c r="D5" s="827"/>
      <c r="E5" s="827"/>
      <c r="F5" s="827"/>
      <c r="G5" s="827"/>
      <c r="H5" s="828"/>
    </row>
    <row r="6" spans="1:8">
      <c r="A6" s="822"/>
      <c r="B6" s="823"/>
      <c r="C6" s="829"/>
      <c r="D6" s="830"/>
      <c r="E6" s="830"/>
      <c r="F6" s="830"/>
      <c r="G6" s="830"/>
      <c r="H6" s="831"/>
    </row>
    <row r="7" spans="1:8" ht="25.5">
      <c r="A7" s="824"/>
      <c r="B7" s="825"/>
      <c r="C7" s="417" t="s">
        <v>666</v>
      </c>
      <c r="D7" s="417" t="s">
        <v>667</v>
      </c>
      <c r="E7" s="417" t="s">
        <v>668</v>
      </c>
      <c r="F7" s="417" t="s">
        <v>669</v>
      </c>
      <c r="G7" s="522" t="s">
        <v>941</v>
      </c>
      <c r="H7" s="417" t="s">
        <v>68</v>
      </c>
    </row>
    <row r="8" spans="1:8">
      <c r="A8" s="418">
        <v>1</v>
      </c>
      <c r="B8" s="419" t="s">
        <v>216</v>
      </c>
      <c r="C8" s="721">
        <v>40371271.460000001</v>
      </c>
      <c r="D8" s="721">
        <v>973386.82</v>
      </c>
      <c r="E8" s="721">
        <v>5928318.2062857421</v>
      </c>
      <c r="F8" s="721">
        <v>0</v>
      </c>
      <c r="G8" s="721"/>
      <c r="H8" s="722">
        <f>SUM(C8:G8)</f>
        <v>47272976.486285746</v>
      </c>
    </row>
    <row r="9" spans="1:8">
      <c r="A9" s="418">
        <v>2</v>
      </c>
      <c r="B9" s="419" t="s">
        <v>217</v>
      </c>
      <c r="C9" s="721"/>
      <c r="D9" s="721"/>
      <c r="E9" s="721"/>
      <c r="F9" s="721"/>
      <c r="G9" s="721"/>
      <c r="H9" s="722">
        <f t="shared" ref="H9:H21" si="0">SUM(C9:G9)</f>
        <v>0</v>
      </c>
    </row>
    <row r="10" spans="1:8">
      <c r="A10" s="418">
        <v>3</v>
      </c>
      <c r="B10" s="419" t="s">
        <v>218</v>
      </c>
      <c r="C10" s="721"/>
      <c r="D10" s="721"/>
      <c r="E10" s="721"/>
      <c r="F10" s="721"/>
      <c r="G10" s="721"/>
      <c r="H10" s="722">
        <f t="shared" si="0"/>
        <v>0</v>
      </c>
    </row>
    <row r="11" spans="1:8">
      <c r="A11" s="418">
        <v>4</v>
      </c>
      <c r="B11" s="419" t="s">
        <v>219</v>
      </c>
      <c r="C11" s="721"/>
      <c r="D11" s="721"/>
      <c r="E11" s="721"/>
      <c r="F11" s="721"/>
      <c r="G11" s="721"/>
      <c r="H11" s="722">
        <f t="shared" si="0"/>
        <v>0</v>
      </c>
    </row>
    <row r="12" spans="1:8">
      <c r="A12" s="418">
        <v>5</v>
      </c>
      <c r="B12" s="419" t="s">
        <v>220</v>
      </c>
      <c r="C12" s="721"/>
      <c r="D12" s="721"/>
      <c r="E12" s="721"/>
      <c r="F12" s="721"/>
      <c r="G12" s="721"/>
      <c r="H12" s="722">
        <f t="shared" si="0"/>
        <v>0</v>
      </c>
    </row>
    <row r="13" spans="1:8">
      <c r="A13" s="418">
        <v>6</v>
      </c>
      <c r="B13" s="419" t="s">
        <v>221</v>
      </c>
      <c r="C13" s="721">
        <v>34039790.477936</v>
      </c>
      <c r="D13" s="721">
        <v>34093387.530000009</v>
      </c>
      <c r="E13" s="721">
        <v>5626518.3237252804</v>
      </c>
      <c r="F13" s="721">
        <v>0</v>
      </c>
      <c r="G13" s="721"/>
      <c r="H13" s="722">
        <f t="shared" si="0"/>
        <v>73759696.331661284</v>
      </c>
    </row>
    <row r="14" spans="1:8">
      <c r="A14" s="418">
        <v>7</v>
      </c>
      <c r="B14" s="419" t="s">
        <v>73</v>
      </c>
      <c r="C14" s="721"/>
      <c r="D14" s="721">
        <v>172966617.77911186</v>
      </c>
      <c r="E14" s="721">
        <v>74966797.700435251</v>
      </c>
      <c r="F14" s="721">
        <v>22977408.235000003</v>
      </c>
      <c r="G14" s="721">
        <v>1129886.375</v>
      </c>
      <c r="H14" s="722">
        <f t="shared" si="0"/>
        <v>272040710.0895471</v>
      </c>
    </row>
    <row r="15" spans="1:8">
      <c r="A15" s="418">
        <v>8</v>
      </c>
      <c r="B15" s="421" t="s">
        <v>74</v>
      </c>
      <c r="C15" s="721"/>
      <c r="D15" s="721"/>
      <c r="E15" s="721"/>
      <c r="F15" s="721"/>
      <c r="G15" s="721"/>
      <c r="H15" s="722">
        <f t="shared" si="0"/>
        <v>0</v>
      </c>
    </row>
    <row r="16" spans="1:8">
      <c r="A16" s="418">
        <v>9</v>
      </c>
      <c r="B16" s="419" t="s">
        <v>75</v>
      </c>
      <c r="C16" s="721"/>
      <c r="D16" s="721"/>
      <c r="E16" s="721"/>
      <c r="F16" s="721"/>
      <c r="G16" s="721"/>
      <c r="H16" s="722">
        <f t="shared" si="0"/>
        <v>0</v>
      </c>
    </row>
    <row r="17" spans="1:8">
      <c r="A17" s="418">
        <v>10</v>
      </c>
      <c r="B17" s="719" t="s">
        <v>691</v>
      </c>
      <c r="C17" s="721"/>
      <c r="D17" s="721">
        <v>349238.80499999999</v>
      </c>
      <c r="E17" s="721">
        <v>1788.4099999999999</v>
      </c>
      <c r="F17" s="721">
        <v>0</v>
      </c>
      <c r="G17" s="721">
        <v>1129516.8149999999</v>
      </c>
      <c r="H17" s="722">
        <f t="shared" si="0"/>
        <v>1480544.0299999998</v>
      </c>
    </row>
    <row r="18" spans="1:8">
      <c r="A18" s="418">
        <v>11</v>
      </c>
      <c r="B18" s="419" t="s">
        <v>70</v>
      </c>
      <c r="C18" s="721"/>
      <c r="D18" s="721">
        <v>0</v>
      </c>
      <c r="E18" s="721">
        <v>0</v>
      </c>
      <c r="F18" s="721">
        <v>0</v>
      </c>
      <c r="G18" s="721">
        <v>0</v>
      </c>
      <c r="H18" s="722">
        <f t="shared" si="0"/>
        <v>0</v>
      </c>
    </row>
    <row r="19" spans="1:8">
      <c r="A19" s="418">
        <v>12</v>
      </c>
      <c r="B19" s="419" t="s">
        <v>71</v>
      </c>
      <c r="C19" s="721"/>
      <c r="D19" s="721"/>
      <c r="E19" s="721"/>
      <c r="F19" s="721"/>
      <c r="G19" s="721"/>
      <c r="H19" s="722">
        <f t="shared" si="0"/>
        <v>0</v>
      </c>
    </row>
    <row r="20" spans="1:8">
      <c r="A20" s="422">
        <v>13</v>
      </c>
      <c r="B20" s="421" t="s">
        <v>72</v>
      </c>
      <c r="C20" s="721"/>
      <c r="D20" s="721"/>
      <c r="E20" s="721"/>
      <c r="F20" s="721"/>
      <c r="G20" s="721"/>
      <c r="H20" s="722">
        <f t="shared" si="0"/>
        <v>0</v>
      </c>
    </row>
    <row r="21" spans="1:8">
      <c r="A21" s="418">
        <v>14</v>
      </c>
      <c r="B21" s="419" t="s">
        <v>670</v>
      </c>
      <c r="C21" s="721">
        <v>1994537.87</v>
      </c>
      <c r="D21" s="721">
        <v>192679.34000000005</v>
      </c>
      <c r="E21" s="721">
        <v>3530966.2470000004</v>
      </c>
      <c r="F21" s="721">
        <v>3758802.0519999992</v>
      </c>
      <c r="G21" s="721">
        <v>12635881.720401026</v>
      </c>
      <c r="H21" s="722">
        <f t="shared" si="0"/>
        <v>22112867.229401026</v>
      </c>
    </row>
    <row r="22" spans="1:8">
      <c r="A22" s="423">
        <v>15</v>
      </c>
      <c r="B22" s="420" t="s">
        <v>68</v>
      </c>
      <c r="C22" s="722">
        <f>+SUM(C8:C16)+SUM(C18:C21)</f>
        <v>76405599.807936013</v>
      </c>
      <c r="D22" s="722">
        <f t="shared" ref="D22:G22" si="1">+SUM(D8:D16)+SUM(D18:D21)</f>
        <v>208226071.46911189</v>
      </c>
      <c r="E22" s="722">
        <f t="shared" si="1"/>
        <v>90052600.477446273</v>
      </c>
      <c r="F22" s="722">
        <f t="shared" si="1"/>
        <v>26736210.287</v>
      </c>
      <c r="G22" s="722">
        <f t="shared" si="1"/>
        <v>13765768.095401026</v>
      </c>
      <c r="H22" s="722">
        <f>+SUM(H8:H16)+SUM(H18:H21)</f>
        <v>415186250.13689518</v>
      </c>
    </row>
    <row r="26" spans="1:8" ht="38.25">
      <c r="B26" s="720" t="s">
        <v>940</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140625" defaultRowHeight="12.75"/>
  <cols>
    <col min="1" max="1" width="11.85546875" style="424" bestFit="1" customWidth="1"/>
    <col min="2" max="2" width="112.85546875" style="413" bestFit="1" customWidth="1"/>
    <col min="3" max="3" width="19.140625" style="413" bestFit="1" customWidth="1"/>
    <col min="4" max="4" width="23" style="413" bestFit="1" customWidth="1"/>
    <col min="5" max="5" width="19.5703125" style="434" bestFit="1" customWidth="1"/>
    <col min="6" max="6" width="15.42578125" style="434" bestFit="1" customWidth="1"/>
    <col min="7" max="7" width="14.85546875" style="434" customWidth="1"/>
    <col min="8" max="8" width="14" style="413" customWidth="1"/>
    <col min="9" max="9" width="20.7109375" style="413" bestFit="1" customWidth="1"/>
    <col min="10" max="16384" width="9.140625" style="413"/>
  </cols>
  <sheetData>
    <row r="1" spans="1:9" ht="15">
      <c r="A1" s="527" t="s">
        <v>188</v>
      </c>
      <c r="B1" s="528" t="s">
        <v>954</v>
      </c>
      <c r="E1" s="413"/>
      <c r="F1" s="413"/>
      <c r="G1" s="413"/>
    </row>
    <row r="2" spans="1:9" ht="15">
      <c r="A2" s="527" t="s">
        <v>189</v>
      </c>
      <c r="B2" s="529">
        <f>'1. key ratios'!B2</f>
        <v>44834</v>
      </c>
      <c r="E2" s="413"/>
      <c r="F2" s="413"/>
      <c r="G2" s="413"/>
    </row>
    <row r="3" spans="1:9">
      <c r="A3" s="415" t="s">
        <v>671</v>
      </c>
      <c r="B3" s="416"/>
      <c r="E3" s="413"/>
      <c r="F3" s="413"/>
      <c r="G3" s="413"/>
    </row>
    <row r="4" spans="1:9">
      <c r="C4" s="425" t="s">
        <v>672</v>
      </c>
      <c r="D4" s="425" t="s">
        <v>673</v>
      </c>
      <c r="E4" s="425" t="s">
        <v>674</v>
      </c>
      <c r="F4" s="425" t="s">
        <v>675</v>
      </c>
      <c r="G4" s="425" t="s">
        <v>676</v>
      </c>
      <c r="H4" s="425" t="s">
        <v>677</v>
      </c>
      <c r="I4" s="425" t="s">
        <v>678</v>
      </c>
    </row>
    <row r="5" spans="1:9" ht="33.950000000000003" customHeight="1">
      <c r="A5" s="820" t="s">
        <v>681</v>
      </c>
      <c r="B5" s="821"/>
      <c r="C5" s="834" t="s">
        <v>682</v>
      </c>
      <c r="D5" s="834"/>
      <c r="E5" s="834" t="s">
        <v>683</v>
      </c>
      <c r="F5" s="834" t="s">
        <v>684</v>
      </c>
      <c r="G5" s="832" t="s">
        <v>685</v>
      </c>
      <c r="H5" s="832" t="s">
        <v>686</v>
      </c>
      <c r="I5" s="521" t="s">
        <v>687</v>
      </c>
    </row>
    <row r="6" spans="1:9" ht="38.25">
      <c r="A6" s="824"/>
      <c r="B6" s="825"/>
      <c r="C6" s="473" t="s">
        <v>688</v>
      </c>
      <c r="D6" s="473" t="s">
        <v>689</v>
      </c>
      <c r="E6" s="834"/>
      <c r="F6" s="834"/>
      <c r="G6" s="833"/>
      <c r="H6" s="833"/>
      <c r="I6" s="521" t="s">
        <v>690</v>
      </c>
    </row>
    <row r="7" spans="1:9">
      <c r="A7" s="426">
        <v>1</v>
      </c>
      <c r="B7" s="419" t="s">
        <v>216</v>
      </c>
      <c r="C7" s="723">
        <v>0</v>
      </c>
      <c r="D7" s="723">
        <v>47272976.486285746</v>
      </c>
      <c r="E7" s="723">
        <v>0</v>
      </c>
      <c r="F7" s="723">
        <v>118070.81029147485</v>
      </c>
      <c r="G7" s="723"/>
      <c r="H7" s="723"/>
      <c r="I7" s="724">
        <f t="shared" ref="I7:I23" si="0">C7+D7-E7-F7-G7</f>
        <v>47154905.67599427</v>
      </c>
    </row>
    <row r="8" spans="1:9">
      <c r="A8" s="426">
        <v>2</v>
      </c>
      <c r="B8" s="419" t="s">
        <v>217</v>
      </c>
      <c r="C8" s="723"/>
      <c r="D8" s="723"/>
      <c r="E8" s="723"/>
      <c r="F8" s="723"/>
      <c r="G8" s="723"/>
      <c r="H8" s="723"/>
      <c r="I8" s="724">
        <f t="shared" si="0"/>
        <v>0</v>
      </c>
    </row>
    <row r="9" spans="1:9">
      <c r="A9" s="426">
        <v>3</v>
      </c>
      <c r="B9" s="419" t="s">
        <v>218</v>
      </c>
      <c r="C9" s="723"/>
      <c r="D9" s="723"/>
      <c r="E9" s="723"/>
      <c r="F9" s="723"/>
      <c r="G9" s="723"/>
      <c r="H9" s="723"/>
      <c r="I9" s="724">
        <f t="shared" si="0"/>
        <v>0</v>
      </c>
    </row>
    <row r="10" spans="1:9">
      <c r="A10" s="426">
        <v>4</v>
      </c>
      <c r="B10" s="419" t="s">
        <v>219</v>
      </c>
      <c r="C10" s="723"/>
      <c r="D10" s="723"/>
      <c r="E10" s="723"/>
      <c r="F10" s="723"/>
      <c r="G10" s="723"/>
      <c r="H10" s="723"/>
      <c r="I10" s="724">
        <f t="shared" si="0"/>
        <v>0</v>
      </c>
    </row>
    <row r="11" spans="1:9">
      <c r="A11" s="426">
        <v>5</v>
      </c>
      <c r="B11" s="419" t="s">
        <v>220</v>
      </c>
      <c r="C11" s="723"/>
      <c r="D11" s="723"/>
      <c r="E11" s="723"/>
      <c r="F11" s="723"/>
      <c r="G11" s="723"/>
      <c r="H11" s="723"/>
      <c r="I11" s="724">
        <f t="shared" si="0"/>
        <v>0</v>
      </c>
    </row>
    <row r="12" spans="1:9">
      <c r="A12" s="426">
        <v>6</v>
      </c>
      <c r="B12" s="419" t="s">
        <v>221</v>
      </c>
      <c r="C12" s="723">
        <v>0</v>
      </c>
      <c r="D12" s="723">
        <v>73759696.331661284</v>
      </c>
      <c r="E12" s="723">
        <v>0</v>
      </c>
      <c r="F12" s="723">
        <v>112148.65487308736</v>
      </c>
      <c r="G12" s="723"/>
      <c r="H12" s="723"/>
      <c r="I12" s="724">
        <f t="shared" si="0"/>
        <v>73647547.676788196</v>
      </c>
    </row>
    <row r="13" spans="1:9">
      <c r="A13" s="426">
        <v>7</v>
      </c>
      <c r="B13" s="419" t="s">
        <v>73</v>
      </c>
      <c r="C13" s="723">
        <v>7397227.2700000005</v>
      </c>
      <c r="D13" s="723">
        <v>268084594.0635471</v>
      </c>
      <c r="E13" s="723">
        <v>3441111.2439999999</v>
      </c>
      <c r="F13" s="723">
        <v>5088051.8384976415</v>
      </c>
      <c r="G13" s="723"/>
      <c r="H13" s="723"/>
      <c r="I13" s="724">
        <f t="shared" si="0"/>
        <v>266952658.25104946</v>
      </c>
    </row>
    <row r="14" spans="1:9">
      <c r="A14" s="426">
        <v>8</v>
      </c>
      <c r="B14" s="421" t="s">
        <v>74</v>
      </c>
      <c r="C14" s="723"/>
      <c r="D14" s="723"/>
      <c r="E14" s="723"/>
      <c r="F14" s="723"/>
      <c r="G14" s="723"/>
      <c r="H14" s="723"/>
      <c r="I14" s="724">
        <f t="shared" si="0"/>
        <v>0</v>
      </c>
    </row>
    <row r="15" spans="1:9">
      <c r="A15" s="426">
        <v>9</v>
      </c>
      <c r="B15" s="419" t="s">
        <v>75</v>
      </c>
      <c r="C15" s="723"/>
      <c r="D15" s="723"/>
      <c r="E15" s="723"/>
      <c r="F15" s="723"/>
      <c r="G15" s="723"/>
      <c r="H15" s="723"/>
      <c r="I15" s="724">
        <f t="shared" si="0"/>
        <v>0</v>
      </c>
    </row>
    <row r="16" spans="1:9">
      <c r="A16" s="426">
        <v>10</v>
      </c>
      <c r="B16" s="719" t="s">
        <v>691</v>
      </c>
      <c r="C16" s="723">
        <v>2364532.5600000005</v>
      </c>
      <c r="D16" s="723">
        <v>0</v>
      </c>
      <c r="E16" s="723">
        <v>883988.52999999991</v>
      </c>
      <c r="F16" s="723">
        <v>0</v>
      </c>
      <c r="G16" s="723"/>
      <c r="H16" s="723"/>
      <c r="I16" s="724">
        <f t="shared" si="0"/>
        <v>1480544.0300000007</v>
      </c>
    </row>
    <row r="17" spans="1:9">
      <c r="A17" s="426">
        <v>11</v>
      </c>
      <c r="B17" s="419" t="s">
        <v>70</v>
      </c>
      <c r="C17" s="723">
        <v>0</v>
      </c>
      <c r="D17" s="723">
        <v>0</v>
      </c>
      <c r="E17" s="723">
        <v>0</v>
      </c>
      <c r="F17" s="723">
        <v>0</v>
      </c>
      <c r="G17" s="723"/>
      <c r="H17" s="723"/>
      <c r="I17" s="724">
        <f t="shared" si="0"/>
        <v>0</v>
      </c>
    </row>
    <row r="18" spans="1:9">
      <c r="A18" s="426">
        <v>12</v>
      </c>
      <c r="B18" s="419" t="s">
        <v>71</v>
      </c>
      <c r="C18" s="723"/>
      <c r="D18" s="723"/>
      <c r="E18" s="723"/>
      <c r="F18" s="723"/>
      <c r="G18" s="723"/>
      <c r="H18" s="723"/>
      <c r="I18" s="724">
        <f t="shared" si="0"/>
        <v>0</v>
      </c>
    </row>
    <row r="19" spans="1:9">
      <c r="A19" s="429">
        <v>13</v>
      </c>
      <c r="B19" s="421" t="s">
        <v>72</v>
      </c>
      <c r="C19" s="723"/>
      <c r="D19" s="723"/>
      <c r="E19" s="723"/>
      <c r="F19" s="723"/>
      <c r="G19" s="723"/>
      <c r="H19" s="723"/>
      <c r="I19" s="724">
        <f t="shared" si="0"/>
        <v>0</v>
      </c>
    </row>
    <row r="20" spans="1:9">
      <c r="A20" s="426">
        <v>14</v>
      </c>
      <c r="B20" s="419" t="s">
        <v>670</v>
      </c>
      <c r="C20" s="723">
        <v>1892266.15</v>
      </c>
      <c r="D20" s="723">
        <v>21659283.835401025</v>
      </c>
      <c r="E20" s="723">
        <v>1188665.0359999998</v>
      </c>
      <c r="F20" s="723">
        <v>145691.73060000001</v>
      </c>
      <c r="G20" s="723"/>
      <c r="H20" s="723"/>
      <c r="I20" s="724">
        <f t="shared" si="0"/>
        <v>22217193.218801025</v>
      </c>
    </row>
    <row r="21" spans="1:9" s="431" customFormat="1">
      <c r="A21" s="430">
        <v>15</v>
      </c>
      <c r="B21" s="420" t="s">
        <v>68</v>
      </c>
      <c r="C21" s="722">
        <f>SUM(C7:C15)+SUM(C17:C20)</f>
        <v>9289493.4199999999</v>
      </c>
      <c r="D21" s="722">
        <f t="shared" ref="D21:H21" si="1">SUM(D7:D15)+SUM(D17:D20)</f>
        <v>410776550.71689516</v>
      </c>
      <c r="E21" s="722">
        <f t="shared" si="1"/>
        <v>4629776.2799999993</v>
      </c>
      <c r="F21" s="722">
        <f t="shared" si="1"/>
        <v>5463963.0342622036</v>
      </c>
      <c r="G21" s="722">
        <v>0</v>
      </c>
      <c r="H21" s="722">
        <f t="shared" si="1"/>
        <v>0</v>
      </c>
      <c r="I21" s="724">
        <f t="shared" si="0"/>
        <v>409972304.82263303</v>
      </c>
    </row>
    <row r="22" spans="1:9">
      <c r="A22" s="432">
        <v>16</v>
      </c>
      <c r="B22" s="433" t="s">
        <v>692</v>
      </c>
      <c r="C22" s="723">
        <v>7940400.2400000002</v>
      </c>
      <c r="D22" s="723">
        <v>271396062.77999997</v>
      </c>
      <c r="E22" s="723">
        <v>3850508.4100000015</v>
      </c>
      <c r="F22" s="723">
        <v>4735312.5384000018</v>
      </c>
      <c r="G22" s="723">
        <v>0</v>
      </c>
      <c r="H22" s="723"/>
      <c r="I22" s="724">
        <f t="shared" si="0"/>
        <v>270750642.07159996</v>
      </c>
    </row>
    <row r="23" spans="1:9">
      <c r="A23" s="432">
        <v>17</v>
      </c>
      <c r="B23" s="433" t="s">
        <v>693</v>
      </c>
      <c r="C23" s="723">
        <v>0</v>
      </c>
      <c r="D23" s="723">
        <v>37793347.163558125</v>
      </c>
      <c r="E23" s="723">
        <v>0</v>
      </c>
      <c r="F23" s="723">
        <v>728650.49586220249</v>
      </c>
      <c r="G23" s="723"/>
      <c r="H23" s="723"/>
      <c r="I23" s="724">
        <f t="shared" si="0"/>
        <v>37064696.667695925</v>
      </c>
    </row>
    <row r="26" spans="1:9" ht="42.6" customHeight="1">
      <c r="B26" s="720" t="s">
        <v>940</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140625" defaultRowHeight="12.75"/>
  <cols>
    <col min="1" max="1" width="11" style="413" bestFit="1" customWidth="1"/>
    <col min="2" max="2" width="75.140625" style="413" customWidth="1"/>
    <col min="3" max="4" width="19.140625" style="413" bestFit="1" customWidth="1"/>
    <col min="5" max="5" width="19.5703125" style="413" bestFit="1" customWidth="1"/>
    <col min="6" max="6" width="15.42578125" style="413" bestFit="1" customWidth="1"/>
    <col min="7" max="7" width="18.28515625" style="413" bestFit="1" customWidth="1"/>
    <col min="8" max="8" width="21.5703125" style="413" bestFit="1" customWidth="1"/>
    <col min="9" max="9" width="20.7109375" style="413" bestFit="1" customWidth="1"/>
    <col min="10" max="16384" width="9.140625" style="413"/>
  </cols>
  <sheetData>
    <row r="1" spans="1:9" ht="15">
      <c r="A1" s="527" t="s">
        <v>188</v>
      </c>
      <c r="B1" s="528" t="s">
        <v>954</v>
      </c>
    </row>
    <row r="2" spans="1:9" ht="15">
      <c r="A2" s="527" t="s">
        <v>189</v>
      </c>
      <c r="B2" s="529">
        <f>'1. key ratios'!B2</f>
        <v>44834</v>
      </c>
    </row>
    <row r="3" spans="1:9">
      <c r="A3" s="415" t="s">
        <v>694</v>
      </c>
      <c r="B3" s="416"/>
    </row>
    <row r="4" spans="1:9">
      <c r="C4" s="425" t="s">
        <v>672</v>
      </c>
      <c r="D4" s="425" t="s">
        <v>673</v>
      </c>
      <c r="E4" s="425" t="s">
        <v>674</v>
      </c>
      <c r="F4" s="425" t="s">
        <v>675</v>
      </c>
      <c r="G4" s="425" t="s">
        <v>676</v>
      </c>
      <c r="H4" s="425" t="s">
        <v>677</v>
      </c>
      <c r="I4" s="425" t="s">
        <v>678</v>
      </c>
    </row>
    <row r="5" spans="1:9" ht="41.45" customHeight="1">
      <c r="A5" s="820" t="s">
        <v>951</v>
      </c>
      <c r="B5" s="821"/>
      <c r="C5" s="834" t="s">
        <v>682</v>
      </c>
      <c r="D5" s="834"/>
      <c r="E5" s="834" t="s">
        <v>683</v>
      </c>
      <c r="F5" s="834" t="s">
        <v>684</v>
      </c>
      <c r="G5" s="832" t="s">
        <v>685</v>
      </c>
      <c r="H5" s="832" t="s">
        <v>686</v>
      </c>
      <c r="I5" s="521" t="s">
        <v>687</v>
      </c>
    </row>
    <row r="6" spans="1:9" ht="41.45" customHeight="1">
      <c r="A6" s="824"/>
      <c r="B6" s="825"/>
      <c r="C6" s="473" t="s">
        <v>688</v>
      </c>
      <c r="D6" s="473" t="s">
        <v>689</v>
      </c>
      <c r="E6" s="834"/>
      <c r="F6" s="834"/>
      <c r="G6" s="833"/>
      <c r="H6" s="833"/>
      <c r="I6" s="521" t="s">
        <v>690</v>
      </c>
    </row>
    <row r="7" spans="1:9">
      <c r="A7" s="427">
        <v>1</v>
      </c>
      <c r="B7" s="435" t="s">
        <v>695</v>
      </c>
      <c r="C7" s="723">
        <v>7152.79</v>
      </c>
      <c r="D7" s="723">
        <v>56966173.136285745</v>
      </c>
      <c r="E7" s="723">
        <v>5490.3099999999995</v>
      </c>
      <c r="F7" s="723">
        <v>311675.29089147487</v>
      </c>
      <c r="G7" s="723"/>
      <c r="H7" s="723"/>
      <c r="I7" s="724">
        <f t="shared" ref="I7:I34" si="0">C7+D7-E7-F7-G7</f>
        <v>56656160.325394265</v>
      </c>
    </row>
    <row r="8" spans="1:9">
      <c r="A8" s="427">
        <v>2</v>
      </c>
      <c r="B8" s="435" t="s">
        <v>696</v>
      </c>
      <c r="C8" s="723">
        <v>0</v>
      </c>
      <c r="D8" s="723">
        <v>131542531.96296622</v>
      </c>
      <c r="E8" s="723">
        <v>0</v>
      </c>
      <c r="F8" s="723">
        <v>1259881.5815953244</v>
      </c>
      <c r="G8" s="723"/>
      <c r="H8" s="723"/>
      <c r="I8" s="724">
        <f t="shared" si="0"/>
        <v>130282650.38137089</v>
      </c>
    </row>
    <row r="9" spans="1:9">
      <c r="A9" s="427">
        <v>3</v>
      </c>
      <c r="B9" s="435" t="s">
        <v>697</v>
      </c>
      <c r="C9" s="723"/>
      <c r="D9" s="723"/>
      <c r="E9" s="723"/>
      <c r="F9" s="723"/>
      <c r="G9" s="723"/>
      <c r="H9" s="723"/>
      <c r="I9" s="724">
        <f t="shared" si="0"/>
        <v>0</v>
      </c>
    </row>
    <row r="10" spans="1:9">
      <c r="A10" s="427">
        <v>4</v>
      </c>
      <c r="B10" s="435" t="s">
        <v>698</v>
      </c>
      <c r="C10" s="723">
        <v>0</v>
      </c>
      <c r="D10" s="723">
        <v>13071885.16</v>
      </c>
      <c r="E10" s="723">
        <v>0</v>
      </c>
      <c r="F10" s="723">
        <v>220915.68720000001</v>
      </c>
      <c r="G10" s="723"/>
      <c r="H10" s="723"/>
      <c r="I10" s="724">
        <f t="shared" si="0"/>
        <v>12850969.4728</v>
      </c>
    </row>
    <row r="11" spans="1:9">
      <c r="A11" s="427">
        <v>5</v>
      </c>
      <c r="B11" s="435" t="s">
        <v>699</v>
      </c>
      <c r="C11" s="723">
        <v>0</v>
      </c>
      <c r="D11" s="723">
        <v>15693329.839232</v>
      </c>
      <c r="E11" s="723">
        <v>0</v>
      </c>
      <c r="F11" s="723">
        <v>312388.50149311998</v>
      </c>
      <c r="G11" s="723"/>
      <c r="H11" s="723"/>
      <c r="I11" s="724">
        <f t="shared" si="0"/>
        <v>15380941.337738879</v>
      </c>
    </row>
    <row r="12" spans="1:9">
      <c r="A12" s="427">
        <v>6</v>
      </c>
      <c r="B12" s="435" t="s">
        <v>700</v>
      </c>
      <c r="C12" s="723">
        <v>16092.720000000001</v>
      </c>
      <c r="D12" s="723">
        <v>1375767.8599999999</v>
      </c>
      <c r="E12" s="723">
        <v>9991.9500000000007</v>
      </c>
      <c r="F12" s="723">
        <v>27343.466999999997</v>
      </c>
      <c r="G12" s="723"/>
      <c r="H12" s="723"/>
      <c r="I12" s="724">
        <f t="shared" si="0"/>
        <v>1354525.1629999999</v>
      </c>
    </row>
    <row r="13" spans="1:9">
      <c r="A13" s="427">
        <v>7</v>
      </c>
      <c r="B13" s="435" t="s">
        <v>701</v>
      </c>
      <c r="C13" s="723">
        <v>0</v>
      </c>
      <c r="D13" s="723">
        <v>19602087.949999999</v>
      </c>
      <c r="E13" s="723">
        <v>0</v>
      </c>
      <c r="F13" s="723">
        <v>391009.02739999996</v>
      </c>
      <c r="G13" s="723"/>
      <c r="H13" s="723"/>
      <c r="I13" s="724">
        <f t="shared" si="0"/>
        <v>19211078.922600001</v>
      </c>
    </row>
    <row r="14" spans="1:9">
      <c r="A14" s="427">
        <v>8</v>
      </c>
      <c r="B14" s="435" t="s">
        <v>702</v>
      </c>
      <c r="C14" s="723">
        <v>735936.14999999991</v>
      </c>
      <c r="D14" s="723">
        <v>2312770.34</v>
      </c>
      <c r="E14" s="723">
        <v>389104.755</v>
      </c>
      <c r="F14" s="723">
        <v>46018.9254</v>
      </c>
      <c r="G14" s="723"/>
      <c r="H14" s="723"/>
      <c r="I14" s="724">
        <f t="shared" si="0"/>
        <v>2613582.8095999998</v>
      </c>
    </row>
    <row r="15" spans="1:9">
      <c r="A15" s="427">
        <v>9</v>
      </c>
      <c r="B15" s="435" t="s">
        <v>703</v>
      </c>
      <c r="C15" s="723">
        <v>0</v>
      </c>
      <c r="D15" s="723">
        <v>11681222.060421992</v>
      </c>
      <c r="E15" s="723">
        <v>0</v>
      </c>
      <c r="F15" s="723">
        <v>232604.31440843982</v>
      </c>
      <c r="G15" s="723"/>
      <c r="H15" s="723"/>
      <c r="I15" s="724">
        <f t="shared" si="0"/>
        <v>11448617.746013552</v>
      </c>
    </row>
    <row r="16" spans="1:9">
      <c r="A16" s="427">
        <v>10</v>
      </c>
      <c r="B16" s="435" t="s">
        <v>704</v>
      </c>
      <c r="C16" s="723">
        <v>1617776.89</v>
      </c>
      <c r="D16" s="723">
        <v>7104320.4500000002</v>
      </c>
      <c r="E16" s="723">
        <v>486169.35499999998</v>
      </c>
      <c r="F16" s="723">
        <v>141966.47520000002</v>
      </c>
      <c r="G16" s="723"/>
      <c r="H16" s="723"/>
      <c r="I16" s="724">
        <f t="shared" si="0"/>
        <v>8093961.5097999992</v>
      </c>
    </row>
    <row r="17" spans="1:10">
      <c r="A17" s="427">
        <v>11</v>
      </c>
      <c r="B17" s="435" t="s">
        <v>705</v>
      </c>
      <c r="C17" s="723">
        <v>25805.440000000002</v>
      </c>
      <c r="D17" s="723">
        <v>16047622.659999996</v>
      </c>
      <c r="E17" s="723">
        <v>870202.40700000001</v>
      </c>
      <c r="F17" s="723">
        <v>146435.2096</v>
      </c>
      <c r="G17" s="723"/>
      <c r="H17" s="723"/>
      <c r="I17" s="724">
        <f t="shared" si="0"/>
        <v>15056790.483399997</v>
      </c>
    </row>
    <row r="18" spans="1:10">
      <c r="A18" s="427">
        <v>12</v>
      </c>
      <c r="B18" s="435" t="s">
        <v>706</v>
      </c>
      <c r="C18" s="723">
        <v>153686.48000000001</v>
      </c>
      <c r="D18" s="723">
        <v>13457083.26</v>
      </c>
      <c r="E18" s="723">
        <v>98472.577000000005</v>
      </c>
      <c r="F18" s="723">
        <v>267611.78479999996</v>
      </c>
      <c r="G18" s="723"/>
      <c r="H18" s="723"/>
      <c r="I18" s="724">
        <f t="shared" si="0"/>
        <v>13244685.3782</v>
      </c>
    </row>
    <row r="19" spans="1:10">
      <c r="A19" s="427">
        <v>13</v>
      </c>
      <c r="B19" s="435" t="s">
        <v>707</v>
      </c>
      <c r="C19" s="723">
        <v>28171.419999999995</v>
      </c>
      <c r="D19" s="723">
        <v>2337867.5</v>
      </c>
      <c r="E19" s="723">
        <v>154692.715</v>
      </c>
      <c r="F19" s="723">
        <v>20611.501400000001</v>
      </c>
      <c r="G19" s="723"/>
      <c r="H19" s="723"/>
      <c r="I19" s="724">
        <f t="shared" si="0"/>
        <v>2190734.7036000001</v>
      </c>
    </row>
    <row r="20" spans="1:10">
      <c r="A20" s="427">
        <v>14</v>
      </c>
      <c r="B20" s="435" t="s">
        <v>708</v>
      </c>
      <c r="C20" s="723">
        <v>5002394.7</v>
      </c>
      <c r="D20" s="723">
        <v>8116178.7899999991</v>
      </c>
      <c r="E20" s="723">
        <v>1541705.165</v>
      </c>
      <c r="F20" s="723">
        <v>162048.82399999996</v>
      </c>
      <c r="G20" s="723"/>
      <c r="H20" s="723"/>
      <c r="I20" s="724">
        <f t="shared" si="0"/>
        <v>11414819.501</v>
      </c>
    </row>
    <row r="21" spans="1:10">
      <c r="A21" s="427">
        <v>15</v>
      </c>
      <c r="B21" s="435" t="s">
        <v>709</v>
      </c>
      <c r="C21" s="723">
        <v>0</v>
      </c>
      <c r="D21" s="723">
        <v>1528800.26</v>
      </c>
      <c r="E21" s="723">
        <v>0</v>
      </c>
      <c r="F21" s="723">
        <v>30340</v>
      </c>
      <c r="G21" s="723"/>
      <c r="H21" s="723"/>
      <c r="I21" s="724">
        <f t="shared" si="0"/>
        <v>1498460.26</v>
      </c>
    </row>
    <row r="22" spans="1:10">
      <c r="A22" s="427">
        <v>16</v>
      </c>
      <c r="B22" s="435" t="s">
        <v>710</v>
      </c>
      <c r="C22" s="723">
        <v>0</v>
      </c>
      <c r="D22" s="723">
        <v>0</v>
      </c>
      <c r="E22" s="723">
        <v>0</v>
      </c>
      <c r="F22" s="723">
        <v>0</v>
      </c>
      <c r="G22" s="723"/>
      <c r="H22" s="723"/>
      <c r="I22" s="724">
        <f t="shared" si="0"/>
        <v>0</v>
      </c>
    </row>
    <row r="23" spans="1:10">
      <c r="A23" s="427">
        <v>17</v>
      </c>
      <c r="B23" s="435" t="s">
        <v>711</v>
      </c>
      <c r="C23" s="723">
        <v>0</v>
      </c>
      <c r="D23" s="723">
        <v>0</v>
      </c>
      <c r="E23" s="723">
        <v>0</v>
      </c>
      <c r="F23" s="723">
        <v>0</v>
      </c>
      <c r="G23" s="723"/>
      <c r="H23" s="723"/>
      <c r="I23" s="724">
        <f t="shared" si="0"/>
        <v>0</v>
      </c>
    </row>
    <row r="24" spans="1:10">
      <c r="A24" s="427">
        <v>18</v>
      </c>
      <c r="B24" s="435" t="s">
        <v>712</v>
      </c>
      <c r="C24" s="723">
        <v>0</v>
      </c>
      <c r="D24" s="723">
        <v>47078546.460000001</v>
      </c>
      <c r="E24" s="723">
        <v>0</v>
      </c>
      <c r="F24" s="723">
        <v>931296.08760000009</v>
      </c>
      <c r="G24" s="723"/>
      <c r="H24" s="723"/>
      <c r="I24" s="724">
        <f t="shared" si="0"/>
        <v>46147250.372400001</v>
      </c>
    </row>
    <row r="25" spans="1:10">
      <c r="A25" s="427">
        <v>19</v>
      </c>
      <c r="B25" s="435" t="s">
        <v>713</v>
      </c>
      <c r="C25" s="723">
        <v>0</v>
      </c>
      <c r="D25" s="723">
        <v>4799125.1500000004</v>
      </c>
      <c r="E25" s="723">
        <v>0</v>
      </c>
      <c r="F25" s="723">
        <v>95959.443400000004</v>
      </c>
      <c r="G25" s="723"/>
      <c r="H25" s="723"/>
      <c r="I25" s="724">
        <f t="shared" si="0"/>
        <v>4703165.7066000002</v>
      </c>
    </row>
    <row r="26" spans="1:10">
      <c r="A26" s="427">
        <v>20</v>
      </c>
      <c r="B26" s="435" t="s">
        <v>714</v>
      </c>
      <c r="C26" s="723">
        <v>39998.660000000003</v>
      </c>
      <c r="D26" s="723">
        <v>10198884.23</v>
      </c>
      <c r="E26" s="723">
        <v>34928.950000000004</v>
      </c>
      <c r="F26" s="723">
        <v>203272.67819999999</v>
      </c>
      <c r="G26" s="723"/>
      <c r="H26" s="723"/>
      <c r="I26" s="724">
        <f t="shared" si="0"/>
        <v>10000681.2618</v>
      </c>
      <c r="J26" s="436"/>
    </row>
    <row r="27" spans="1:10">
      <c r="A27" s="427">
        <v>21</v>
      </c>
      <c r="B27" s="435" t="s">
        <v>715</v>
      </c>
      <c r="C27" s="723">
        <v>75552.62</v>
      </c>
      <c r="D27" s="723">
        <v>0</v>
      </c>
      <c r="E27" s="723">
        <v>22665.786</v>
      </c>
      <c r="F27" s="723">
        <v>0</v>
      </c>
      <c r="G27" s="723"/>
      <c r="H27" s="723"/>
      <c r="I27" s="724">
        <f t="shared" si="0"/>
        <v>52886.833999999995</v>
      </c>
      <c r="J27" s="436"/>
    </row>
    <row r="28" spans="1:10">
      <c r="A28" s="427">
        <v>22</v>
      </c>
      <c r="B28" s="435" t="s">
        <v>716</v>
      </c>
      <c r="C28" s="723">
        <v>0</v>
      </c>
      <c r="D28" s="723">
        <v>4217720.55</v>
      </c>
      <c r="E28" s="723">
        <v>0</v>
      </c>
      <c r="F28" s="723">
        <v>84000</v>
      </c>
      <c r="G28" s="723"/>
      <c r="H28" s="723"/>
      <c r="I28" s="724">
        <f t="shared" si="0"/>
        <v>4133720.55</v>
      </c>
      <c r="J28" s="436"/>
    </row>
    <row r="29" spans="1:10">
      <c r="A29" s="427">
        <v>23</v>
      </c>
      <c r="B29" s="435" t="s">
        <v>717</v>
      </c>
      <c r="C29" s="723">
        <v>43644.240000000005</v>
      </c>
      <c r="D29" s="723">
        <v>29124261.17258817</v>
      </c>
      <c r="E29" s="723">
        <v>43644.240000000005</v>
      </c>
      <c r="F29" s="723">
        <v>573630.5098738434</v>
      </c>
      <c r="G29" s="723"/>
      <c r="H29" s="723"/>
      <c r="I29" s="724">
        <f t="shared" si="0"/>
        <v>28550630.662714325</v>
      </c>
      <c r="J29" s="436"/>
    </row>
    <row r="30" spans="1:10">
      <c r="A30" s="427">
        <v>24</v>
      </c>
      <c r="B30" s="435" t="s">
        <v>718</v>
      </c>
      <c r="C30" s="723">
        <v>0</v>
      </c>
      <c r="D30" s="723">
        <v>69434.92</v>
      </c>
      <c r="E30" s="723">
        <v>0</v>
      </c>
      <c r="F30" s="723">
        <v>1388.1585999999998</v>
      </c>
      <c r="G30" s="723"/>
      <c r="H30" s="723"/>
      <c r="I30" s="724">
        <f t="shared" si="0"/>
        <v>68046.761400000003</v>
      </c>
      <c r="J30" s="436"/>
    </row>
    <row r="31" spans="1:10">
      <c r="A31" s="427">
        <v>25</v>
      </c>
      <c r="B31" s="435" t="s">
        <v>719</v>
      </c>
      <c r="C31" s="723">
        <v>194188.13</v>
      </c>
      <c r="D31" s="723">
        <v>178745.84</v>
      </c>
      <c r="E31" s="723">
        <v>193440.2</v>
      </c>
      <c r="F31" s="723">
        <v>3565.5662000000002</v>
      </c>
      <c r="G31" s="723"/>
      <c r="H31" s="723"/>
      <c r="I31" s="724">
        <f t="shared" si="0"/>
        <v>175928.20379999996</v>
      </c>
      <c r="J31" s="436"/>
    </row>
    <row r="32" spans="1:10">
      <c r="A32" s="427">
        <v>26</v>
      </c>
      <c r="B32" s="435" t="s">
        <v>720</v>
      </c>
      <c r="C32" s="723">
        <v>0</v>
      </c>
      <c r="D32" s="723">
        <v>0</v>
      </c>
      <c r="E32" s="723">
        <v>0</v>
      </c>
      <c r="F32" s="723">
        <v>0</v>
      </c>
      <c r="G32" s="723"/>
      <c r="H32" s="723"/>
      <c r="I32" s="724">
        <f t="shared" si="0"/>
        <v>0</v>
      </c>
      <c r="J32" s="436"/>
    </row>
    <row r="33" spans="1:10">
      <c r="A33" s="427">
        <v>27</v>
      </c>
      <c r="B33" s="428" t="s">
        <v>165</v>
      </c>
      <c r="C33" s="723">
        <v>1349093.18</v>
      </c>
      <c r="D33" s="723">
        <v>14272191.165401025</v>
      </c>
      <c r="E33" s="723">
        <v>779267.87</v>
      </c>
      <c r="F33" s="723"/>
      <c r="G33" s="723"/>
      <c r="H33" s="723"/>
      <c r="I33" s="724">
        <f t="shared" si="0"/>
        <v>14842016.475401025</v>
      </c>
      <c r="J33" s="436"/>
    </row>
    <row r="34" spans="1:10">
      <c r="A34" s="427">
        <v>28</v>
      </c>
      <c r="B34" s="437" t="s">
        <v>68</v>
      </c>
      <c r="C34" s="722">
        <f>SUM(C7:C33)</f>
        <v>9289493.4199999999</v>
      </c>
      <c r="D34" s="722">
        <f t="shared" ref="D34:H34" si="1">SUM(D7:D33)</f>
        <v>410776550.71689516</v>
      </c>
      <c r="E34" s="722">
        <f t="shared" si="1"/>
        <v>4629776.28</v>
      </c>
      <c r="F34" s="722">
        <f t="shared" si="1"/>
        <v>5463963.0342622036</v>
      </c>
      <c r="G34" s="722">
        <v>0</v>
      </c>
      <c r="H34" s="722">
        <f t="shared" si="1"/>
        <v>0</v>
      </c>
      <c r="I34" s="724">
        <f t="shared" si="0"/>
        <v>409972304.82263303</v>
      </c>
      <c r="J34" s="436"/>
    </row>
    <row r="35" spans="1:10">
      <c r="A35" s="436"/>
      <c r="B35" s="436"/>
      <c r="C35" s="436"/>
      <c r="D35" s="436"/>
      <c r="E35" s="436"/>
      <c r="F35" s="436"/>
      <c r="G35" s="436"/>
      <c r="H35" s="436"/>
      <c r="I35" s="436"/>
      <c r="J35" s="436"/>
    </row>
    <row r="36" spans="1:10">
      <c r="A36" s="436"/>
      <c r="B36" s="438"/>
      <c r="C36" s="436"/>
      <c r="D36" s="436"/>
      <c r="E36" s="436"/>
      <c r="F36" s="436"/>
      <c r="G36" s="436"/>
      <c r="H36" s="436"/>
      <c r="I36" s="436"/>
      <c r="J36" s="436"/>
    </row>
    <row r="37" spans="1:10">
      <c r="A37" s="436"/>
      <c r="B37" s="436"/>
      <c r="C37" s="436"/>
      <c r="D37" s="436"/>
      <c r="E37" s="436"/>
      <c r="F37" s="436"/>
      <c r="G37" s="436"/>
      <c r="H37" s="436"/>
      <c r="I37" s="436"/>
      <c r="J37" s="436"/>
    </row>
    <row r="38" spans="1:10">
      <c r="A38" s="436"/>
      <c r="B38" s="436"/>
      <c r="C38" s="436"/>
      <c r="D38" s="436"/>
      <c r="E38" s="436"/>
      <c r="F38" s="436"/>
      <c r="G38" s="436"/>
      <c r="H38" s="436"/>
      <c r="I38" s="436"/>
      <c r="J38" s="436"/>
    </row>
    <row r="39" spans="1:10">
      <c r="A39" s="436"/>
      <c r="B39" s="436"/>
      <c r="C39" s="436"/>
      <c r="D39" s="436"/>
      <c r="E39" s="436"/>
      <c r="F39" s="436"/>
      <c r="G39" s="436"/>
      <c r="H39" s="436"/>
      <c r="I39" s="436"/>
      <c r="J39" s="436"/>
    </row>
    <row r="40" spans="1:10">
      <c r="A40" s="436"/>
      <c r="B40" s="436"/>
      <c r="C40" s="436"/>
      <c r="D40" s="436"/>
      <c r="E40" s="436"/>
      <c r="F40" s="436"/>
      <c r="G40" s="436"/>
      <c r="H40" s="436"/>
      <c r="I40" s="436"/>
      <c r="J40" s="436"/>
    </row>
    <row r="41" spans="1:10">
      <c r="A41" s="436"/>
      <c r="B41" s="436"/>
      <c r="C41" s="436"/>
      <c r="D41" s="436"/>
      <c r="E41" s="436"/>
      <c r="F41" s="436"/>
      <c r="G41" s="436"/>
      <c r="H41" s="436"/>
      <c r="I41" s="436"/>
      <c r="J41" s="436"/>
    </row>
    <row r="42" spans="1:10">
      <c r="A42" s="439"/>
      <c r="B42" s="439"/>
      <c r="C42" s="436"/>
      <c r="D42" s="436"/>
      <c r="E42" s="436"/>
      <c r="F42" s="436"/>
      <c r="G42" s="436"/>
      <c r="H42" s="436"/>
      <c r="I42" s="436"/>
      <c r="J42" s="436"/>
    </row>
    <row r="43" spans="1:10">
      <c r="A43" s="439"/>
      <c r="B43" s="439"/>
      <c r="C43" s="436"/>
      <c r="D43" s="436"/>
      <c r="E43" s="436"/>
      <c r="F43" s="436"/>
      <c r="G43" s="436"/>
      <c r="H43" s="436"/>
      <c r="I43" s="436"/>
      <c r="J43" s="436"/>
    </row>
    <row r="44" spans="1:10">
      <c r="A44" s="436"/>
      <c r="B44" s="440"/>
      <c r="C44" s="436"/>
      <c r="D44" s="436"/>
      <c r="E44" s="436"/>
      <c r="F44" s="436"/>
      <c r="G44" s="436"/>
      <c r="H44" s="436"/>
      <c r="I44" s="436"/>
      <c r="J44" s="436"/>
    </row>
    <row r="45" spans="1:10">
      <c r="A45" s="436"/>
      <c r="B45" s="440"/>
      <c r="C45" s="436"/>
      <c r="D45" s="436"/>
      <c r="E45" s="436"/>
      <c r="F45" s="436"/>
      <c r="G45" s="436"/>
      <c r="H45" s="436"/>
      <c r="I45" s="436"/>
      <c r="J45" s="436"/>
    </row>
    <row r="46" spans="1:10">
      <c r="A46" s="436"/>
      <c r="B46" s="440"/>
      <c r="C46" s="436"/>
      <c r="D46" s="436"/>
      <c r="E46" s="436"/>
      <c r="F46" s="436"/>
      <c r="G46" s="436"/>
      <c r="H46" s="436"/>
      <c r="I46" s="436"/>
      <c r="J46" s="436"/>
    </row>
    <row r="47" spans="1:10">
      <c r="A47" s="436"/>
      <c r="B47" s="436"/>
      <c r="C47" s="436"/>
      <c r="D47" s="436"/>
      <c r="E47" s="436"/>
      <c r="F47" s="436"/>
      <c r="G47" s="436"/>
      <c r="H47" s="436"/>
      <c r="I47" s="436"/>
      <c r="J47" s="436"/>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140625" defaultRowHeight="12.75"/>
  <cols>
    <col min="1" max="1" width="11.85546875" style="413" bestFit="1" customWidth="1"/>
    <col min="2" max="2" width="93.28515625" style="413" bestFit="1" customWidth="1"/>
    <col min="3" max="3" width="31" style="413" bestFit="1" customWidth="1"/>
    <col min="4" max="4" width="33.42578125" style="434" bestFit="1" customWidth="1"/>
    <col min="5" max="16384" width="9.140625" style="413"/>
  </cols>
  <sheetData>
    <row r="1" spans="1:4" ht="15">
      <c r="A1" s="527" t="s">
        <v>188</v>
      </c>
      <c r="B1" s="528" t="s">
        <v>954</v>
      </c>
      <c r="D1" s="413"/>
    </row>
    <row r="2" spans="1:4" ht="15">
      <c r="A2" s="527" t="s">
        <v>189</v>
      </c>
      <c r="B2" s="529">
        <f>'1. key ratios'!B2</f>
        <v>44834</v>
      </c>
      <c r="D2" s="413"/>
    </row>
    <row r="3" spans="1:4">
      <c r="A3" s="415" t="s">
        <v>721</v>
      </c>
      <c r="B3" s="416"/>
      <c r="D3" s="413"/>
    </row>
    <row r="5" spans="1:4" ht="63.75">
      <c r="A5" s="835" t="s">
        <v>722</v>
      </c>
      <c r="B5" s="835"/>
      <c r="C5" s="522" t="s">
        <v>723</v>
      </c>
      <c r="D5" s="522" t="s">
        <v>724</v>
      </c>
    </row>
    <row r="6" spans="1:4" ht="25.5">
      <c r="A6" s="441">
        <v>1</v>
      </c>
      <c r="B6" s="442" t="s">
        <v>725</v>
      </c>
      <c r="C6" s="725">
        <v>8926589.9953999985</v>
      </c>
      <c r="D6" s="725">
        <v>700301.71222829423</v>
      </c>
    </row>
    <row r="7" spans="1:4">
      <c r="A7" s="443">
        <v>2</v>
      </c>
      <c r="B7" s="442" t="s">
        <v>726</v>
      </c>
      <c r="C7" s="725">
        <f>SUM(C8:C11)</f>
        <v>1843982.0782772005</v>
      </c>
      <c r="D7" s="725">
        <f>SUM(D8:D11)</f>
        <v>56941.690693120006</v>
      </c>
    </row>
    <row r="8" spans="1:4">
      <c r="A8" s="444">
        <v>2.1</v>
      </c>
      <c r="B8" s="445" t="s">
        <v>727</v>
      </c>
      <c r="C8" s="723">
        <v>1820276.2531441404</v>
      </c>
      <c r="D8" s="723">
        <v>56941.690693120006</v>
      </c>
    </row>
    <row r="9" spans="1:4">
      <c r="A9" s="444">
        <v>2.2000000000000002</v>
      </c>
      <c r="B9" s="445" t="s">
        <v>728</v>
      </c>
      <c r="C9" s="723">
        <v>23705.825133060196</v>
      </c>
      <c r="D9" s="723">
        <v>0</v>
      </c>
    </row>
    <row r="10" spans="1:4">
      <c r="A10" s="444">
        <v>2.2999999999999998</v>
      </c>
      <c r="B10" s="445" t="s">
        <v>729</v>
      </c>
      <c r="C10" s="723">
        <v>0</v>
      </c>
      <c r="D10" s="723">
        <v>0</v>
      </c>
    </row>
    <row r="11" spans="1:4">
      <c r="A11" s="444">
        <v>2.4</v>
      </c>
      <c r="B11" s="445" t="s">
        <v>730</v>
      </c>
      <c r="C11" s="723">
        <v>0</v>
      </c>
      <c r="D11" s="723">
        <v>0</v>
      </c>
    </row>
    <row r="12" spans="1:4">
      <c r="A12" s="441">
        <v>3</v>
      </c>
      <c r="B12" s="442" t="s">
        <v>731</v>
      </c>
      <c r="C12" s="725">
        <f>SUM(C13:C18)</f>
        <v>2184751.1252772007</v>
      </c>
      <c r="D12" s="725">
        <f>SUM(D13:D18)</f>
        <v>28592.907059211491</v>
      </c>
    </row>
    <row r="13" spans="1:4">
      <c r="A13" s="444">
        <v>3.1</v>
      </c>
      <c r="B13" s="445" t="s">
        <v>732</v>
      </c>
      <c r="C13" s="723"/>
      <c r="D13" s="723"/>
    </row>
    <row r="14" spans="1:4">
      <c r="A14" s="444">
        <v>3.2</v>
      </c>
      <c r="B14" s="445" t="s">
        <v>733</v>
      </c>
      <c r="C14" s="723">
        <v>1711851.5277510153</v>
      </c>
      <c r="D14" s="723">
        <v>16710.389207086664</v>
      </c>
    </row>
    <row r="15" spans="1:4">
      <c r="A15" s="444">
        <v>3.3</v>
      </c>
      <c r="B15" s="445" t="s">
        <v>734</v>
      </c>
      <c r="C15" s="723">
        <v>32369.861948649661</v>
      </c>
      <c r="D15" s="723">
        <v>0</v>
      </c>
    </row>
    <row r="16" spans="1:4">
      <c r="A16" s="444">
        <v>3.4</v>
      </c>
      <c r="B16" s="445" t="s">
        <v>735</v>
      </c>
      <c r="C16" s="723">
        <v>0</v>
      </c>
      <c r="D16" s="723"/>
    </row>
    <row r="17" spans="1:4" ht="25.5">
      <c r="A17" s="443">
        <v>3.5</v>
      </c>
      <c r="B17" s="445" t="s">
        <v>736</v>
      </c>
      <c r="C17" s="723">
        <v>440529.7355775357</v>
      </c>
      <c r="D17" s="723">
        <v>11882.517852124827</v>
      </c>
    </row>
    <row r="18" spans="1:4">
      <c r="A18" s="444">
        <v>3.6</v>
      </c>
      <c r="B18" s="445" t="s">
        <v>737</v>
      </c>
      <c r="C18" s="723">
        <v>0</v>
      </c>
      <c r="D18" s="723">
        <v>0</v>
      </c>
    </row>
    <row r="19" spans="1:4">
      <c r="A19" s="446">
        <v>4</v>
      </c>
      <c r="B19" s="442" t="s">
        <v>738</v>
      </c>
      <c r="C19" s="722">
        <f>C6+C7-C12</f>
        <v>8585820.9483999982</v>
      </c>
      <c r="D19" s="722">
        <f>D6+D7-D12</f>
        <v>728650.49586220272</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140625" defaultRowHeight="12.75"/>
  <cols>
    <col min="1" max="1" width="11.85546875" style="413" bestFit="1" customWidth="1"/>
    <col min="2" max="2" width="124.7109375" style="413" customWidth="1"/>
    <col min="3" max="3" width="33" style="413" customWidth="1"/>
    <col min="4" max="4" width="49.140625" style="434" customWidth="1"/>
    <col min="5" max="16384" width="9.140625" style="413"/>
  </cols>
  <sheetData>
    <row r="1" spans="1:4" ht="15">
      <c r="A1" s="527" t="s">
        <v>188</v>
      </c>
      <c r="B1" s="528" t="s">
        <v>954</v>
      </c>
      <c r="D1" s="413"/>
    </row>
    <row r="2" spans="1:4" ht="15">
      <c r="A2" s="527" t="s">
        <v>189</v>
      </c>
      <c r="B2" s="529">
        <f>'1. key ratios'!B2</f>
        <v>44834</v>
      </c>
      <c r="D2" s="413"/>
    </row>
    <row r="3" spans="1:4">
      <c r="A3" s="415" t="s">
        <v>739</v>
      </c>
      <c r="B3" s="416"/>
      <c r="D3" s="413"/>
    </row>
    <row r="4" spans="1:4">
      <c r="A4" s="415"/>
      <c r="D4" s="413"/>
    </row>
    <row r="5" spans="1:4" ht="15" customHeight="1">
      <c r="A5" s="836" t="s">
        <v>740</v>
      </c>
      <c r="B5" s="837"/>
      <c r="C5" s="826" t="s">
        <v>741</v>
      </c>
      <c r="D5" s="840" t="s">
        <v>742</v>
      </c>
    </row>
    <row r="6" spans="1:4">
      <c r="A6" s="838"/>
      <c r="B6" s="839"/>
      <c r="C6" s="829"/>
      <c r="D6" s="840"/>
    </row>
    <row r="7" spans="1:4">
      <c r="A7" s="437">
        <v>1</v>
      </c>
      <c r="B7" s="420" t="s">
        <v>743</v>
      </c>
      <c r="C7" s="723">
        <v>8656820.3100000024</v>
      </c>
      <c r="D7" s="447"/>
    </row>
    <row r="8" spans="1:4">
      <c r="A8" s="428">
        <v>2</v>
      </c>
      <c r="B8" s="428" t="s">
        <v>744</v>
      </c>
      <c r="C8" s="723">
        <v>325942.24777698115</v>
      </c>
      <c r="D8" s="447"/>
    </row>
    <row r="9" spans="1:4">
      <c r="A9" s="428">
        <v>3</v>
      </c>
      <c r="B9" s="448" t="s">
        <v>745</v>
      </c>
      <c r="C9" s="723">
        <v>0</v>
      </c>
      <c r="D9" s="447"/>
    </row>
    <row r="10" spans="1:4">
      <c r="A10" s="428">
        <v>4</v>
      </c>
      <c r="B10" s="428" t="s">
        <v>746</v>
      </c>
      <c r="C10" s="725">
        <f>SUM(C11:C18)</f>
        <v>1138941.23777698</v>
      </c>
      <c r="D10" s="447"/>
    </row>
    <row r="11" spans="1:4">
      <c r="A11" s="428">
        <v>5</v>
      </c>
      <c r="B11" s="449" t="s">
        <v>747</v>
      </c>
      <c r="C11" s="723">
        <v>0</v>
      </c>
      <c r="D11" s="447"/>
    </row>
    <row r="12" spans="1:4">
      <c r="A12" s="428">
        <v>6</v>
      </c>
      <c r="B12" s="449" t="s">
        <v>748</v>
      </c>
      <c r="C12" s="723">
        <v>0</v>
      </c>
      <c r="D12" s="447"/>
    </row>
    <row r="13" spans="1:4">
      <c r="A13" s="428">
        <v>7</v>
      </c>
      <c r="B13" s="449" t="s">
        <v>749</v>
      </c>
      <c r="C13" s="723">
        <v>473238.40145566111</v>
      </c>
      <c r="D13" s="447"/>
    </row>
    <row r="14" spans="1:4">
      <c r="A14" s="428">
        <v>8</v>
      </c>
      <c r="B14" s="449" t="s">
        <v>750</v>
      </c>
      <c r="C14" s="723">
        <v>0</v>
      </c>
      <c r="D14" s="428"/>
    </row>
    <row r="15" spans="1:4">
      <c r="A15" s="428">
        <v>9</v>
      </c>
      <c r="B15" s="449" t="s">
        <v>751</v>
      </c>
      <c r="C15" s="723">
        <v>0</v>
      </c>
      <c r="D15" s="428"/>
    </row>
    <row r="16" spans="1:4">
      <c r="A16" s="428">
        <v>10</v>
      </c>
      <c r="B16" s="449" t="s">
        <v>752</v>
      </c>
      <c r="C16" s="723">
        <v>0</v>
      </c>
      <c r="D16" s="447"/>
    </row>
    <row r="17" spans="1:4">
      <c r="A17" s="428">
        <v>11</v>
      </c>
      <c r="B17" s="449" t="s">
        <v>753</v>
      </c>
      <c r="C17" s="723"/>
      <c r="D17" s="428"/>
    </row>
    <row r="18" spans="1:4" ht="25.5">
      <c r="A18" s="428">
        <v>12</v>
      </c>
      <c r="B18" s="449" t="s">
        <v>754</v>
      </c>
      <c r="C18" s="723">
        <v>665702.83632131899</v>
      </c>
      <c r="D18" s="447"/>
    </row>
    <row r="19" spans="1:4">
      <c r="A19" s="437">
        <v>13</v>
      </c>
      <c r="B19" s="450" t="s">
        <v>755</v>
      </c>
      <c r="C19" s="722">
        <f>C7+C8+C9-C10</f>
        <v>7843821.320000004</v>
      </c>
      <c r="D19" s="451"/>
    </row>
    <row r="22" spans="1:4">
      <c r="B22" s="412"/>
    </row>
    <row r="23" spans="1:4">
      <c r="B23" s="414"/>
    </row>
    <row r="24" spans="1:4">
      <c r="B24" s="41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140625" defaultRowHeight="12.75"/>
  <cols>
    <col min="1" max="1" width="11.85546875" style="413" bestFit="1" customWidth="1"/>
    <col min="2" max="2" width="30" style="413" bestFit="1" customWidth="1"/>
    <col min="3" max="4" width="12.42578125" style="413" bestFit="1" customWidth="1"/>
    <col min="5" max="6" width="17.5703125" style="413" bestFit="1" customWidth="1"/>
    <col min="7" max="7" width="11.42578125" style="413" bestFit="1" customWidth="1"/>
    <col min="8" max="11" width="17.5703125" style="413" bestFit="1" customWidth="1"/>
    <col min="12" max="12" width="11.42578125" style="413" bestFit="1" customWidth="1"/>
    <col min="13" max="15" width="17.5703125" style="413" bestFit="1" customWidth="1"/>
    <col min="16" max="16" width="18.42578125" style="413" bestFit="1" customWidth="1"/>
    <col min="17" max="19" width="16.5703125" style="413" bestFit="1" customWidth="1"/>
    <col min="20" max="20" width="15.28515625" style="413" bestFit="1" customWidth="1"/>
    <col min="21" max="21" width="9.28515625" style="413" bestFit="1" customWidth="1"/>
    <col min="22" max="22" width="20" style="413" customWidth="1"/>
    <col min="23" max="16384" width="9.140625" style="413"/>
  </cols>
  <sheetData>
    <row r="1" spans="1:22" ht="15">
      <c r="A1" s="527" t="s">
        <v>188</v>
      </c>
      <c r="B1" s="528" t="s">
        <v>954</v>
      </c>
    </row>
    <row r="2" spans="1:22" ht="15">
      <c r="A2" s="527" t="s">
        <v>189</v>
      </c>
      <c r="B2" s="529">
        <f>'1. key ratios'!B2</f>
        <v>44834</v>
      </c>
      <c r="C2" s="424"/>
    </row>
    <row r="3" spans="1:22">
      <c r="A3" s="415" t="s">
        <v>756</v>
      </c>
      <c r="B3" s="416"/>
    </row>
    <row r="5" spans="1:22" ht="15" customHeight="1">
      <c r="A5" s="826" t="s">
        <v>757</v>
      </c>
      <c r="B5" s="828"/>
      <c r="C5" s="843" t="s">
        <v>758</v>
      </c>
      <c r="D5" s="844"/>
      <c r="E5" s="844"/>
      <c r="F5" s="844"/>
      <c r="G5" s="844"/>
      <c r="H5" s="844"/>
      <c r="I5" s="844"/>
      <c r="J5" s="844"/>
      <c r="K5" s="844"/>
      <c r="L5" s="844"/>
      <c r="M5" s="844"/>
      <c r="N5" s="844"/>
      <c r="O5" s="844"/>
      <c r="P5" s="844"/>
      <c r="Q5" s="844"/>
      <c r="R5" s="844"/>
      <c r="S5" s="844"/>
      <c r="T5" s="844"/>
      <c r="U5" s="845"/>
      <c r="V5" s="452"/>
    </row>
    <row r="6" spans="1:22" ht="12.75" customHeight="1">
      <c r="A6" s="841"/>
      <c r="B6" s="842"/>
      <c r="C6" s="846" t="s">
        <v>68</v>
      </c>
      <c r="D6" s="848" t="s">
        <v>759</v>
      </c>
      <c r="E6" s="848"/>
      <c r="F6" s="849"/>
      <c r="G6" s="850" t="s">
        <v>760</v>
      </c>
      <c r="H6" s="851"/>
      <c r="I6" s="851"/>
      <c r="J6" s="851"/>
      <c r="K6" s="852"/>
      <c r="L6" s="524"/>
      <c r="M6" s="853" t="s">
        <v>761</v>
      </c>
      <c r="N6" s="853"/>
      <c r="O6" s="833"/>
      <c r="P6" s="833"/>
      <c r="Q6" s="833"/>
      <c r="R6" s="833"/>
      <c r="S6" s="833"/>
      <c r="T6" s="833"/>
      <c r="U6" s="833"/>
      <c r="V6" s="453"/>
    </row>
    <row r="7" spans="1:22" ht="38.25">
      <c r="A7" s="829"/>
      <c r="B7" s="831"/>
      <c r="C7" s="847"/>
      <c r="D7" s="454"/>
      <c r="E7" s="521" t="s">
        <v>762</v>
      </c>
      <c r="F7" s="726" t="s">
        <v>763</v>
      </c>
      <c r="G7" s="424"/>
      <c r="H7" s="726" t="s">
        <v>762</v>
      </c>
      <c r="I7" s="521" t="s">
        <v>789</v>
      </c>
      <c r="J7" s="521" t="s">
        <v>764</v>
      </c>
      <c r="K7" s="726" t="s">
        <v>765</v>
      </c>
      <c r="L7" s="520"/>
      <c r="M7" s="473" t="s">
        <v>766</v>
      </c>
      <c r="N7" s="521" t="s">
        <v>764</v>
      </c>
      <c r="O7" s="521" t="s">
        <v>767</v>
      </c>
      <c r="P7" s="521" t="s">
        <v>768</v>
      </c>
      <c r="Q7" s="521" t="s">
        <v>769</v>
      </c>
      <c r="R7" s="521" t="s">
        <v>770</v>
      </c>
      <c r="S7" s="521" t="s">
        <v>771</v>
      </c>
      <c r="T7" s="455" t="s">
        <v>772</v>
      </c>
      <c r="U7" s="521" t="s">
        <v>773</v>
      </c>
      <c r="V7" s="452"/>
    </row>
    <row r="8" spans="1:22">
      <c r="A8" s="456">
        <v>1</v>
      </c>
      <c r="B8" s="420" t="s">
        <v>774</v>
      </c>
      <c r="C8" s="727">
        <f>SUM(C9:C14)</f>
        <v>277509783.54000008</v>
      </c>
      <c r="D8" s="727">
        <f t="shared" ref="D8:U8" si="0">SUM(D9:D14)</f>
        <v>259896940.51000002</v>
      </c>
      <c r="E8" s="727">
        <f t="shared" si="0"/>
        <v>8473164.0699999984</v>
      </c>
      <c r="F8" s="727">
        <f t="shared" si="0"/>
        <v>0</v>
      </c>
      <c r="G8" s="727">
        <f t="shared" si="0"/>
        <v>9769021.709999999</v>
      </c>
      <c r="H8" s="727">
        <f t="shared" si="0"/>
        <v>0</v>
      </c>
      <c r="I8" s="727">
        <f t="shared" si="0"/>
        <v>0</v>
      </c>
      <c r="J8" s="727">
        <f t="shared" si="0"/>
        <v>0</v>
      </c>
      <c r="K8" s="727">
        <f t="shared" si="0"/>
        <v>0</v>
      </c>
      <c r="L8" s="727">
        <f t="shared" si="0"/>
        <v>7843821.3200000003</v>
      </c>
      <c r="M8" s="727">
        <f t="shared" si="0"/>
        <v>85408.99</v>
      </c>
      <c r="N8" s="727">
        <f t="shared" si="0"/>
        <v>80254.94</v>
      </c>
      <c r="O8" s="727">
        <f t="shared" si="0"/>
        <v>503917.32999999996</v>
      </c>
      <c r="P8" s="727">
        <f t="shared" si="0"/>
        <v>0</v>
      </c>
      <c r="Q8" s="727">
        <f t="shared" si="0"/>
        <v>25091.530000000002</v>
      </c>
      <c r="R8" s="727">
        <f t="shared" si="0"/>
        <v>1614579.05</v>
      </c>
      <c r="S8" s="727">
        <f t="shared" si="0"/>
        <v>211801.69</v>
      </c>
      <c r="T8" s="727">
        <f t="shared" si="0"/>
        <v>9142.9599999999991</v>
      </c>
      <c r="U8" s="727">
        <f t="shared" si="0"/>
        <v>731161.31</v>
      </c>
      <c r="V8" s="436"/>
    </row>
    <row r="9" spans="1:22">
      <c r="A9" s="427">
        <v>1.1000000000000001</v>
      </c>
      <c r="B9" s="457" t="s">
        <v>775</v>
      </c>
      <c r="C9" s="728"/>
      <c r="D9" s="723"/>
      <c r="E9" s="723"/>
      <c r="F9" s="723"/>
      <c r="G9" s="723"/>
      <c r="H9" s="723"/>
      <c r="I9" s="723"/>
      <c r="J9" s="723"/>
      <c r="K9" s="723"/>
      <c r="L9" s="723"/>
      <c r="M9" s="723"/>
      <c r="N9" s="723"/>
      <c r="O9" s="723"/>
      <c r="P9" s="723"/>
      <c r="Q9" s="723"/>
      <c r="R9" s="723"/>
      <c r="S9" s="723"/>
      <c r="T9" s="723"/>
      <c r="U9" s="723"/>
      <c r="V9" s="436"/>
    </row>
    <row r="10" spans="1:22">
      <c r="A10" s="427">
        <v>1.2</v>
      </c>
      <c r="B10" s="457" t="s">
        <v>776</v>
      </c>
      <c r="C10" s="728"/>
      <c r="D10" s="723"/>
      <c r="E10" s="723"/>
      <c r="F10" s="723"/>
      <c r="G10" s="723"/>
      <c r="H10" s="723"/>
      <c r="I10" s="723"/>
      <c r="J10" s="723"/>
      <c r="K10" s="723"/>
      <c r="L10" s="723"/>
      <c r="M10" s="723"/>
      <c r="N10" s="723"/>
      <c r="O10" s="723"/>
      <c r="P10" s="723"/>
      <c r="Q10" s="723"/>
      <c r="R10" s="723"/>
      <c r="S10" s="723"/>
      <c r="T10" s="723"/>
      <c r="U10" s="723"/>
      <c r="V10" s="436"/>
    </row>
    <row r="11" spans="1:22">
      <c r="A11" s="427">
        <v>1.3</v>
      </c>
      <c r="B11" s="457" t="s">
        <v>777</v>
      </c>
      <c r="C11" s="728">
        <v>21086192.689999998</v>
      </c>
      <c r="D11" s="723">
        <v>21086192.689999998</v>
      </c>
      <c r="E11" s="723">
        <v>0</v>
      </c>
      <c r="F11" s="723">
        <v>0</v>
      </c>
      <c r="G11" s="723">
        <v>0</v>
      </c>
      <c r="H11" s="723">
        <v>0</v>
      </c>
      <c r="I11" s="723">
        <v>0</v>
      </c>
      <c r="J11" s="723">
        <v>0</v>
      </c>
      <c r="K11" s="723">
        <v>0</v>
      </c>
      <c r="L11" s="723">
        <v>0</v>
      </c>
      <c r="M11" s="723">
        <v>0</v>
      </c>
      <c r="N11" s="723">
        <v>0</v>
      </c>
      <c r="O11" s="723">
        <v>0</v>
      </c>
      <c r="P11" s="723">
        <v>0</v>
      </c>
      <c r="Q11" s="723">
        <v>0</v>
      </c>
      <c r="R11" s="723">
        <v>0</v>
      </c>
      <c r="S11" s="723">
        <v>0</v>
      </c>
      <c r="T11" s="723">
        <v>0</v>
      </c>
      <c r="U11" s="723">
        <v>0</v>
      </c>
      <c r="V11" s="436"/>
    </row>
    <row r="12" spans="1:22">
      <c r="A12" s="427">
        <v>1.4</v>
      </c>
      <c r="B12" s="457" t="s">
        <v>778</v>
      </c>
      <c r="C12" s="728">
        <v>32803575.850000001</v>
      </c>
      <c r="D12" s="723">
        <v>32803575.850000001</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723">
        <v>0</v>
      </c>
      <c r="V12" s="436"/>
    </row>
    <row r="13" spans="1:22">
      <c r="A13" s="427">
        <v>1.5</v>
      </c>
      <c r="B13" s="457" t="s">
        <v>779</v>
      </c>
      <c r="C13" s="728">
        <v>215728458.74000007</v>
      </c>
      <c r="D13" s="723">
        <v>198662104.54000002</v>
      </c>
      <c r="E13" s="723">
        <v>8469637.5399999991</v>
      </c>
      <c r="F13" s="723">
        <v>0</v>
      </c>
      <c r="G13" s="723">
        <v>9764722.2899999991</v>
      </c>
      <c r="H13" s="723">
        <v>0</v>
      </c>
      <c r="I13" s="723">
        <v>0</v>
      </c>
      <c r="J13" s="723">
        <v>0</v>
      </c>
      <c r="K13" s="723">
        <v>0</v>
      </c>
      <c r="L13" s="723">
        <v>7301631.9100000001</v>
      </c>
      <c r="M13" s="723">
        <v>0</v>
      </c>
      <c r="N13" s="723">
        <v>0</v>
      </c>
      <c r="O13" s="723">
        <v>495330.24999999994</v>
      </c>
      <c r="P13" s="723">
        <v>0</v>
      </c>
      <c r="Q13" s="723">
        <v>0</v>
      </c>
      <c r="R13" s="723">
        <v>1613595.45</v>
      </c>
      <c r="S13" s="723">
        <v>103816.47</v>
      </c>
      <c r="T13" s="723">
        <v>0</v>
      </c>
      <c r="U13" s="723">
        <v>391642.06000000006</v>
      </c>
      <c r="V13" s="436"/>
    </row>
    <row r="14" spans="1:22">
      <c r="A14" s="427">
        <v>1.6</v>
      </c>
      <c r="B14" s="457" t="s">
        <v>780</v>
      </c>
      <c r="C14" s="728">
        <v>7891556.2600000007</v>
      </c>
      <c r="D14" s="723">
        <v>7345067.4299999997</v>
      </c>
      <c r="E14" s="723">
        <v>3526.5299999999997</v>
      </c>
      <c r="F14" s="723">
        <v>0</v>
      </c>
      <c r="G14" s="723">
        <v>4299.42</v>
      </c>
      <c r="H14" s="723">
        <v>0</v>
      </c>
      <c r="I14" s="723">
        <v>0</v>
      </c>
      <c r="J14" s="723">
        <v>0</v>
      </c>
      <c r="K14" s="723">
        <v>0</v>
      </c>
      <c r="L14" s="723">
        <v>542189.40999999992</v>
      </c>
      <c r="M14" s="723">
        <v>85408.99</v>
      </c>
      <c r="N14" s="723">
        <v>80254.94</v>
      </c>
      <c r="O14" s="723">
        <v>8587.08</v>
      </c>
      <c r="P14" s="723">
        <v>0</v>
      </c>
      <c r="Q14" s="723">
        <v>25091.530000000002</v>
      </c>
      <c r="R14" s="723">
        <v>983.6</v>
      </c>
      <c r="S14" s="723">
        <v>107985.22000000002</v>
      </c>
      <c r="T14" s="723">
        <v>9142.9599999999991</v>
      </c>
      <c r="U14" s="723">
        <v>339519.24999999994</v>
      </c>
      <c r="V14" s="436"/>
    </row>
    <row r="15" spans="1:22">
      <c r="A15" s="456">
        <v>2</v>
      </c>
      <c r="B15" s="437" t="s">
        <v>781</v>
      </c>
      <c r="C15" s="727">
        <f>SUM(C16:C21)</f>
        <v>37341100.653110117</v>
      </c>
      <c r="D15" s="727">
        <f t="shared" ref="D15:U15" si="1">SUM(D16:D21)</f>
        <v>37341100.653110117</v>
      </c>
      <c r="E15" s="727">
        <f t="shared" si="1"/>
        <v>0</v>
      </c>
      <c r="F15" s="727">
        <f t="shared" si="1"/>
        <v>0</v>
      </c>
      <c r="G15" s="727">
        <f t="shared" si="1"/>
        <v>0</v>
      </c>
      <c r="H15" s="727">
        <f t="shared" si="1"/>
        <v>0</v>
      </c>
      <c r="I15" s="727">
        <f t="shared" si="1"/>
        <v>0</v>
      </c>
      <c r="J15" s="727">
        <f t="shared" si="1"/>
        <v>0</v>
      </c>
      <c r="K15" s="727">
        <f t="shared" si="1"/>
        <v>0</v>
      </c>
      <c r="L15" s="727">
        <f t="shared" si="1"/>
        <v>0</v>
      </c>
      <c r="M15" s="727">
        <f t="shared" si="1"/>
        <v>0</v>
      </c>
      <c r="N15" s="727">
        <f t="shared" si="1"/>
        <v>0</v>
      </c>
      <c r="O15" s="727">
        <f t="shared" si="1"/>
        <v>0</v>
      </c>
      <c r="P15" s="727">
        <f t="shared" si="1"/>
        <v>0</v>
      </c>
      <c r="Q15" s="727">
        <f t="shared" si="1"/>
        <v>0</v>
      </c>
      <c r="R15" s="727">
        <f t="shared" si="1"/>
        <v>0</v>
      </c>
      <c r="S15" s="727">
        <f t="shared" si="1"/>
        <v>0</v>
      </c>
      <c r="T15" s="727">
        <f t="shared" si="1"/>
        <v>0</v>
      </c>
      <c r="U15" s="727">
        <f t="shared" si="1"/>
        <v>0</v>
      </c>
      <c r="V15" s="436"/>
    </row>
    <row r="16" spans="1:22">
      <c r="A16" s="427">
        <v>2.1</v>
      </c>
      <c r="B16" s="457" t="s">
        <v>775</v>
      </c>
      <c r="C16" s="728">
        <v>0</v>
      </c>
      <c r="D16" s="723">
        <v>0</v>
      </c>
      <c r="E16" s="723"/>
      <c r="F16" s="723"/>
      <c r="G16" s="723">
        <v>0</v>
      </c>
      <c r="H16" s="723"/>
      <c r="I16" s="723"/>
      <c r="J16" s="723"/>
      <c r="K16" s="723"/>
      <c r="L16" s="723">
        <v>0</v>
      </c>
      <c r="M16" s="723"/>
      <c r="N16" s="723"/>
      <c r="O16" s="723"/>
      <c r="P16" s="723"/>
      <c r="Q16" s="723"/>
      <c r="R16" s="723"/>
      <c r="S16" s="723"/>
      <c r="T16" s="723"/>
      <c r="U16" s="723">
        <v>0</v>
      </c>
      <c r="V16" s="436"/>
    </row>
    <row r="17" spans="1:22">
      <c r="A17" s="427">
        <v>2.2000000000000002</v>
      </c>
      <c r="B17" s="457" t="s">
        <v>776</v>
      </c>
      <c r="C17" s="728">
        <v>6812116.374573742</v>
      </c>
      <c r="D17" s="723">
        <v>6812116.374573742</v>
      </c>
      <c r="E17" s="723"/>
      <c r="F17" s="723"/>
      <c r="G17" s="723">
        <v>0</v>
      </c>
      <c r="H17" s="723"/>
      <c r="I17" s="723"/>
      <c r="J17" s="723"/>
      <c r="K17" s="723"/>
      <c r="L17" s="723">
        <v>0</v>
      </c>
      <c r="M17" s="723"/>
      <c r="N17" s="723"/>
      <c r="O17" s="723"/>
      <c r="P17" s="723"/>
      <c r="Q17" s="723"/>
      <c r="R17" s="723"/>
      <c r="S17" s="723"/>
      <c r="T17" s="723"/>
      <c r="U17" s="723">
        <v>0</v>
      </c>
      <c r="V17" s="436"/>
    </row>
    <row r="18" spans="1:22">
      <c r="A18" s="427">
        <v>2.2999999999999998</v>
      </c>
      <c r="B18" s="457" t="s">
        <v>777</v>
      </c>
      <c r="C18" s="728">
        <v>5607432.7436543684</v>
      </c>
      <c r="D18" s="723">
        <v>5607432.7436543684</v>
      </c>
      <c r="E18" s="723"/>
      <c r="F18" s="723"/>
      <c r="G18" s="723"/>
      <c r="H18" s="723"/>
      <c r="I18" s="723"/>
      <c r="J18" s="723"/>
      <c r="K18" s="723"/>
      <c r="L18" s="723"/>
      <c r="M18" s="723"/>
      <c r="N18" s="723"/>
      <c r="O18" s="723"/>
      <c r="P18" s="723"/>
      <c r="Q18" s="723"/>
      <c r="R18" s="723"/>
      <c r="S18" s="723"/>
      <c r="T18" s="723"/>
      <c r="U18" s="723"/>
      <c r="V18" s="436"/>
    </row>
    <row r="19" spans="1:22">
      <c r="A19" s="427">
        <v>2.4</v>
      </c>
      <c r="B19" s="457" t="s">
        <v>778</v>
      </c>
      <c r="C19" s="728">
        <v>2835200</v>
      </c>
      <c r="D19" s="723">
        <v>2835200</v>
      </c>
      <c r="E19" s="723"/>
      <c r="F19" s="723"/>
      <c r="G19" s="723"/>
      <c r="H19" s="723"/>
      <c r="I19" s="723"/>
      <c r="J19" s="723"/>
      <c r="K19" s="723"/>
      <c r="L19" s="723"/>
      <c r="M19" s="723"/>
      <c r="N19" s="723"/>
      <c r="O19" s="723"/>
      <c r="P19" s="723"/>
      <c r="Q19" s="723"/>
      <c r="R19" s="723"/>
      <c r="S19" s="723"/>
      <c r="T19" s="723"/>
      <c r="U19" s="723"/>
      <c r="V19" s="436"/>
    </row>
    <row r="20" spans="1:22">
      <c r="A20" s="427">
        <v>2.5</v>
      </c>
      <c r="B20" s="457" t="s">
        <v>779</v>
      </c>
      <c r="C20" s="728">
        <v>22086351.534882009</v>
      </c>
      <c r="D20" s="723">
        <v>22086351.534882009</v>
      </c>
      <c r="E20" s="723"/>
      <c r="F20" s="723"/>
      <c r="G20" s="723">
        <v>0</v>
      </c>
      <c r="H20" s="723"/>
      <c r="I20" s="723"/>
      <c r="J20" s="723"/>
      <c r="K20" s="723"/>
      <c r="L20" s="723">
        <v>0</v>
      </c>
      <c r="M20" s="723"/>
      <c r="N20" s="723"/>
      <c r="O20" s="723"/>
      <c r="P20" s="723"/>
      <c r="Q20" s="723"/>
      <c r="R20" s="723"/>
      <c r="S20" s="723"/>
      <c r="T20" s="723"/>
      <c r="U20" s="723">
        <v>0</v>
      </c>
      <c r="V20" s="436"/>
    </row>
    <row r="21" spans="1:22">
      <c r="A21" s="427">
        <v>2.6</v>
      </c>
      <c r="B21" s="457" t="s">
        <v>780</v>
      </c>
      <c r="C21" s="728"/>
      <c r="D21" s="723"/>
      <c r="E21" s="723"/>
      <c r="F21" s="723"/>
      <c r="G21" s="723"/>
      <c r="H21" s="723"/>
      <c r="I21" s="723"/>
      <c r="J21" s="723"/>
      <c r="K21" s="723"/>
      <c r="L21" s="723"/>
      <c r="M21" s="723"/>
      <c r="N21" s="723"/>
      <c r="O21" s="723"/>
      <c r="P21" s="723"/>
      <c r="Q21" s="723"/>
      <c r="R21" s="723"/>
      <c r="S21" s="723"/>
      <c r="T21" s="723"/>
      <c r="U21" s="723"/>
      <c r="V21" s="436"/>
    </row>
    <row r="22" spans="1:22">
      <c r="A22" s="456">
        <v>3</v>
      </c>
      <c r="B22" s="420" t="s">
        <v>782</v>
      </c>
      <c r="C22" s="727">
        <f>SUM(C23:C28)</f>
        <v>117545592.91</v>
      </c>
      <c r="D22" s="727">
        <f t="shared" ref="D22:E22" si="2">SUM(D23:D28)</f>
        <v>117163617.47</v>
      </c>
      <c r="E22" s="727">
        <f t="shared" si="2"/>
        <v>0</v>
      </c>
      <c r="F22" s="458"/>
      <c r="G22" s="727">
        <f t="shared" ref="G22" si="3">SUM(G23:G28)</f>
        <v>340224</v>
      </c>
      <c r="H22" s="458"/>
      <c r="I22" s="458"/>
      <c r="J22" s="458"/>
      <c r="K22" s="458"/>
      <c r="L22" s="727">
        <f t="shared" ref="L22" si="4">SUM(L23:L28)</f>
        <v>0</v>
      </c>
      <c r="M22" s="458"/>
      <c r="N22" s="458"/>
      <c r="O22" s="458"/>
      <c r="P22" s="458"/>
      <c r="Q22" s="458"/>
      <c r="R22" s="458"/>
      <c r="S22" s="458"/>
      <c r="T22" s="458"/>
      <c r="U22" s="727">
        <f t="shared" ref="U22" si="5">SUM(U23:U28)</f>
        <v>0</v>
      </c>
      <c r="V22" s="436"/>
    </row>
    <row r="23" spans="1:22">
      <c r="A23" s="427">
        <v>3.1</v>
      </c>
      <c r="B23" s="457" t="s">
        <v>775</v>
      </c>
      <c r="C23" s="728"/>
      <c r="D23" s="723"/>
      <c r="E23" s="723"/>
      <c r="F23" s="458"/>
      <c r="G23" s="723"/>
      <c r="H23" s="458"/>
      <c r="I23" s="458"/>
      <c r="J23" s="458"/>
      <c r="K23" s="458"/>
      <c r="L23" s="723"/>
      <c r="M23" s="458"/>
      <c r="N23" s="458"/>
      <c r="O23" s="458"/>
      <c r="P23" s="458"/>
      <c r="Q23" s="458"/>
      <c r="R23" s="458"/>
      <c r="S23" s="458"/>
      <c r="T23" s="458"/>
      <c r="U23" s="723"/>
      <c r="V23" s="436"/>
    </row>
    <row r="24" spans="1:22">
      <c r="A24" s="427">
        <v>3.2</v>
      </c>
      <c r="B24" s="457" t="s">
        <v>776</v>
      </c>
      <c r="C24" s="728"/>
      <c r="D24" s="723"/>
      <c r="E24" s="723"/>
      <c r="F24" s="458"/>
      <c r="G24" s="723"/>
      <c r="H24" s="458"/>
      <c r="I24" s="458"/>
      <c r="J24" s="458"/>
      <c r="K24" s="458"/>
      <c r="L24" s="723"/>
      <c r="M24" s="458"/>
      <c r="N24" s="458"/>
      <c r="O24" s="458"/>
      <c r="P24" s="458"/>
      <c r="Q24" s="458"/>
      <c r="R24" s="458"/>
      <c r="S24" s="458"/>
      <c r="T24" s="458"/>
      <c r="U24" s="723"/>
      <c r="V24" s="436"/>
    </row>
    <row r="25" spans="1:22">
      <c r="A25" s="427">
        <v>3.3</v>
      </c>
      <c r="B25" s="457" t="s">
        <v>777</v>
      </c>
      <c r="C25" s="728">
        <v>89625533.539999992</v>
      </c>
      <c r="D25" s="723">
        <v>89625533.539999992</v>
      </c>
      <c r="E25" s="723"/>
      <c r="F25" s="458"/>
      <c r="G25" s="723">
        <v>0</v>
      </c>
      <c r="H25" s="458"/>
      <c r="I25" s="458"/>
      <c r="J25" s="458"/>
      <c r="K25" s="458"/>
      <c r="L25" s="723">
        <v>0</v>
      </c>
      <c r="M25" s="458"/>
      <c r="N25" s="458"/>
      <c r="O25" s="458"/>
      <c r="P25" s="458"/>
      <c r="Q25" s="458"/>
      <c r="R25" s="458"/>
      <c r="S25" s="458"/>
      <c r="T25" s="458"/>
      <c r="U25" s="723">
        <v>0</v>
      </c>
      <c r="V25" s="436"/>
    </row>
    <row r="26" spans="1:22">
      <c r="A26" s="427">
        <v>3.4</v>
      </c>
      <c r="B26" s="457" t="s">
        <v>778</v>
      </c>
      <c r="C26" s="728">
        <v>0</v>
      </c>
      <c r="D26" s="723">
        <v>0</v>
      </c>
      <c r="E26" s="723"/>
      <c r="F26" s="458"/>
      <c r="G26" s="723">
        <v>0</v>
      </c>
      <c r="H26" s="458"/>
      <c r="I26" s="458"/>
      <c r="J26" s="458"/>
      <c r="K26" s="458"/>
      <c r="L26" s="723">
        <v>0</v>
      </c>
      <c r="M26" s="458"/>
      <c r="N26" s="458"/>
      <c r="O26" s="458"/>
      <c r="P26" s="458"/>
      <c r="Q26" s="458"/>
      <c r="R26" s="458"/>
      <c r="S26" s="458"/>
      <c r="T26" s="458"/>
      <c r="U26" s="723">
        <v>0</v>
      </c>
      <c r="V26" s="436"/>
    </row>
    <row r="27" spans="1:22">
      <c r="A27" s="427">
        <v>3.5</v>
      </c>
      <c r="B27" s="457" t="s">
        <v>779</v>
      </c>
      <c r="C27" s="728">
        <v>27878307.93</v>
      </c>
      <c r="D27" s="723">
        <v>27538083.93</v>
      </c>
      <c r="E27" s="723"/>
      <c r="F27" s="458"/>
      <c r="G27" s="723">
        <v>340224</v>
      </c>
      <c r="H27" s="458"/>
      <c r="I27" s="458"/>
      <c r="J27" s="458"/>
      <c r="K27" s="458"/>
      <c r="L27" s="723">
        <v>0</v>
      </c>
      <c r="M27" s="458"/>
      <c r="N27" s="458"/>
      <c r="O27" s="458"/>
      <c r="P27" s="458"/>
      <c r="Q27" s="458"/>
      <c r="R27" s="458"/>
      <c r="S27" s="458"/>
      <c r="T27" s="458"/>
      <c r="U27" s="723">
        <v>0</v>
      </c>
      <c r="V27" s="436"/>
    </row>
    <row r="28" spans="1:22">
      <c r="A28" s="427">
        <v>3.6</v>
      </c>
      <c r="B28" s="457" t="s">
        <v>780</v>
      </c>
      <c r="C28" s="728">
        <v>41751.440000000017</v>
      </c>
      <c r="D28" s="723">
        <v>0</v>
      </c>
      <c r="E28" s="723"/>
      <c r="F28" s="458"/>
      <c r="G28" s="723">
        <v>0</v>
      </c>
      <c r="H28" s="458"/>
      <c r="I28" s="458"/>
      <c r="J28" s="458"/>
      <c r="K28" s="458"/>
      <c r="L28" s="723">
        <v>0</v>
      </c>
      <c r="M28" s="458"/>
      <c r="N28" s="458"/>
      <c r="O28" s="458"/>
      <c r="P28" s="458"/>
      <c r="Q28" s="458"/>
      <c r="R28" s="458"/>
      <c r="S28" s="458"/>
      <c r="T28" s="458"/>
      <c r="U28" s="723">
        <v>0</v>
      </c>
      <c r="V28" s="436"/>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140625" defaultRowHeight="12.75"/>
  <cols>
    <col min="1" max="1" width="11.85546875" style="413" bestFit="1" customWidth="1"/>
    <col min="2" max="2" width="88.140625" style="413" bestFit="1" customWidth="1"/>
    <col min="3" max="3" width="20.140625" style="413" customWidth="1"/>
    <col min="4" max="4" width="22.28515625" style="413" customWidth="1"/>
    <col min="5" max="5" width="17.140625" style="413" customWidth="1"/>
    <col min="6" max="7" width="22.28515625" style="413" customWidth="1"/>
    <col min="8" max="8" width="17.140625" style="413" customWidth="1"/>
    <col min="9" max="14" width="22.28515625" style="413" customWidth="1"/>
    <col min="15" max="15" width="23.28515625" style="413" bestFit="1" customWidth="1"/>
    <col min="16" max="16" width="21.7109375" style="413" bestFit="1" customWidth="1"/>
    <col min="17" max="19" width="19" style="413" bestFit="1" customWidth="1"/>
    <col min="20" max="20" width="15.42578125" style="413" customWidth="1"/>
    <col min="21" max="21" width="20" style="413" customWidth="1"/>
    <col min="22" max="16384" width="9.140625" style="413"/>
  </cols>
  <sheetData>
    <row r="1" spans="1:21" ht="15">
      <c r="A1" s="527" t="s">
        <v>188</v>
      </c>
      <c r="B1" s="528" t="s">
        <v>954</v>
      </c>
    </row>
    <row r="2" spans="1:21" ht="15">
      <c r="A2" s="527" t="s">
        <v>189</v>
      </c>
      <c r="B2" s="529">
        <f>'1. key ratios'!B2</f>
        <v>44834</v>
      </c>
    </row>
    <row r="3" spans="1:21">
      <c r="A3" s="415" t="s">
        <v>783</v>
      </c>
      <c r="B3" s="416"/>
      <c r="C3" s="416"/>
    </row>
    <row r="4" spans="1:21">
      <c r="A4" s="415"/>
      <c r="B4" s="416"/>
      <c r="C4" s="416"/>
    </row>
    <row r="5" spans="1:21" ht="13.5" customHeight="1">
      <c r="A5" s="854" t="s">
        <v>784</v>
      </c>
      <c r="B5" s="855"/>
      <c r="C5" s="860" t="s">
        <v>785</v>
      </c>
      <c r="D5" s="861"/>
      <c r="E5" s="861"/>
      <c r="F5" s="861"/>
      <c r="G5" s="861"/>
      <c r="H5" s="861"/>
      <c r="I5" s="861"/>
      <c r="J5" s="861"/>
      <c r="K5" s="861"/>
      <c r="L5" s="861"/>
      <c r="M5" s="861"/>
      <c r="N5" s="861"/>
      <c r="O5" s="861"/>
      <c r="P5" s="861"/>
      <c r="Q5" s="861"/>
      <c r="R5" s="861"/>
      <c r="S5" s="861"/>
      <c r="T5" s="862"/>
      <c r="U5" s="452"/>
    </row>
    <row r="6" spans="1:21" ht="12.75" customHeight="1">
      <c r="A6" s="856"/>
      <c r="B6" s="857"/>
      <c r="C6" s="840" t="s">
        <v>68</v>
      </c>
      <c r="D6" s="860" t="s">
        <v>786</v>
      </c>
      <c r="E6" s="861"/>
      <c r="F6" s="862"/>
      <c r="G6" s="860" t="s">
        <v>787</v>
      </c>
      <c r="H6" s="861"/>
      <c r="I6" s="861"/>
      <c r="J6" s="861"/>
      <c r="K6" s="862"/>
      <c r="L6" s="863" t="s">
        <v>788</v>
      </c>
      <c r="M6" s="864"/>
      <c r="N6" s="864"/>
      <c r="O6" s="864"/>
      <c r="P6" s="864"/>
      <c r="Q6" s="864"/>
      <c r="R6" s="864"/>
      <c r="S6" s="864"/>
      <c r="T6" s="865"/>
      <c r="U6" s="453"/>
    </row>
    <row r="7" spans="1:21" ht="25.5">
      <c r="A7" s="858"/>
      <c r="B7" s="859"/>
      <c r="C7" s="840"/>
      <c r="D7" s="434"/>
      <c r="E7" s="473" t="s">
        <v>762</v>
      </c>
      <c r="F7" s="726" t="s">
        <v>763</v>
      </c>
      <c r="G7" s="434"/>
      <c r="H7" s="473" t="s">
        <v>762</v>
      </c>
      <c r="I7" s="726" t="s">
        <v>789</v>
      </c>
      <c r="J7" s="726" t="s">
        <v>764</v>
      </c>
      <c r="K7" s="726" t="s">
        <v>765</v>
      </c>
      <c r="L7" s="729"/>
      <c r="M7" s="473" t="s">
        <v>766</v>
      </c>
      <c r="N7" s="726" t="s">
        <v>764</v>
      </c>
      <c r="O7" s="726" t="s">
        <v>767</v>
      </c>
      <c r="P7" s="726" t="s">
        <v>768</v>
      </c>
      <c r="Q7" s="726" t="s">
        <v>769</v>
      </c>
      <c r="R7" s="726" t="s">
        <v>770</v>
      </c>
      <c r="S7" s="726" t="s">
        <v>771</v>
      </c>
      <c r="T7" s="730" t="s">
        <v>772</v>
      </c>
      <c r="U7" s="452"/>
    </row>
    <row r="8" spans="1:21">
      <c r="A8" s="459">
        <v>1</v>
      </c>
      <c r="B8" s="450" t="s">
        <v>774</v>
      </c>
      <c r="C8" s="731">
        <v>272284655.61999995</v>
      </c>
      <c r="D8" s="723">
        <v>252899377.96000001</v>
      </c>
      <c r="E8" s="723">
        <v>29839.66</v>
      </c>
      <c r="F8" s="723">
        <v>2265.29</v>
      </c>
      <c r="G8" s="723">
        <v>10728457.35</v>
      </c>
      <c r="H8" s="723">
        <v>4761.4399999999996</v>
      </c>
      <c r="I8" s="723">
        <v>4181.4399999999996</v>
      </c>
      <c r="J8" s="723">
        <v>0</v>
      </c>
      <c r="K8" s="723">
        <v>0</v>
      </c>
      <c r="L8" s="723">
        <v>8656820.3100000005</v>
      </c>
      <c r="M8" s="723">
        <v>6604.38</v>
      </c>
      <c r="N8" s="723">
        <v>85440.86</v>
      </c>
      <c r="O8" s="723">
        <v>583693.73</v>
      </c>
      <c r="P8" s="723">
        <v>22247.230000000003</v>
      </c>
      <c r="Q8" s="723">
        <v>3556.0299999999997</v>
      </c>
      <c r="R8" s="723">
        <v>1667919.7000000002</v>
      </c>
      <c r="S8" s="723">
        <v>220944.65000000002</v>
      </c>
      <c r="T8" s="723">
        <v>0</v>
      </c>
      <c r="U8" s="436"/>
    </row>
    <row r="9" spans="1:21">
      <c r="A9" s="457">
        <v>1.1000000000000001</v>
      </c>
      <c r="B9" s="457" t="s">
        <v>790</v>
      </c>
      <c r="C9" s="728">
        <v>225683920.62999985</v>
      </c>
      <c r="D9" s="723">
        <v>208229475.36999992</v>
      </c>
      <c r="E9" s="723">
        <v>8469637.5399999991</v>
      </c>
      <c r="F9" s="723">
        <v>0</v>
      </c>
      <c r="G9" s="723">
        <v>9764722.290000001</v>
      </c>
      <c r="H9" s="723">
        <v>0</v>
      </c>
      <c r="I9" s="723">
        <v>0</v>
      </c>
      <c r="J9" s="723">
        <v>0</v>
      </c>
      <c r="K9" s="723">
        <v>0</v>
      </c>
      <c r="L9" s="723">
        <v>7689722.9700000025</v>
      </c>
      <c r="M9" s="723">
        <v>85408.99</v>
      </c>
      <c r="N9" s="723">
        <v>75552.62</v>
      </c>
      <c r="O9" s="723">
        <v>499735.88999999996</v>
      </c>
      <c r="P9" s="723">
        <v>0</v>
      </c>
      <c r="Q9" s="723">
        <v>25091.529999999995</v>
      </c>
      <c r="R9" s="723">
        <v>1613595.45</v>
      </c>
      <c r="S9" s="723">
        <v>149568.93000000002</v>
      </c>
      <c r="T9" s="723">
        <v>7710.08</v>
      </c>
      <c r="U9" s="436"/>
    </row>
    <row r="10" spans="1:21">
      <c r="A10" s="460" t="s">
        <v>252</v>
      </c>
      <c r="B10" s="460" t="s">
        <v>791</v>
      </c>
      <c r="C10" s="732">
        <v>137359150.34999993</v>
      </c>
      <c r="D10" s="723">
        <v>128866713.91000004</v>
      </c>
      <c r="E10" s="723">
        <v>8469637.5399999991</v>
      </c>
      <c r="F10" s="723">
        <v>0</v>
      </c>
      <c r="G10" s="723">
        <v>1294487.67</v>
      </c>
      <c r="H10" s="723">
        <v>0</v>
      </c>
      <c r="I10" s="723">
        <v>0</v>
      </c>
      <c r="J10" s="723">
        <v>0</v>
      </c>
      <c r="K10" s="723">
        <v>0</v>
      </c>
      <c r="L10" s="723">
        <v>7197948.7700000014</v>
      </c>
      <c r="M10" s="723">
        <v>85408.99</v>
      </c>
      <c r="N10" s="723">
        <v>75552.62</v>
      </c>
      <c r="O10" s="723">
        <v>495342.74999999994</v>
      </c>
      <c r="P10" s="723">
        <v>0</v>
      </c>
      <c r="Q10" s="723">
        <v>21535.499999999996</v>
      </c>
      <c r="R10" s="723">
        <v>1613595.45</v>
      </c>
      <c r="S10" s="723">
        <v>0</v>
      </c>
      <c r="T10" s="723">
        <v>0</v>
      </c>
      <c r="U10" s="436"/>
    </row>
    <row r="11" spans="1:21">
      <c r="A11" s="461" t="s">
        <v>792</v>
      </c>
      <c r="B11" s="462" t="s">
        <v>793</v>
      </c>
      <c r="C11" s="733">
        <v>60751302.619999997</v>
      </c>
      <c r="D11" s="723">
        <v>52334418.799999997</v>
      </c>
      <c r="E11" s="723">
        <v>8277272.7299999995</v>
      </c>
      <c r="F11" s="723">
        <v>0</v>
      </c>
      <c r="G11" s="723">
        <v>1294487.67</v>
      </c>
      <c r="H11" s="723">
        <v>0</v>
      </c>
      <c r="I11" s="723">
        <v>0</v>
      </c>
      <c r="J11" s="723">
        <v>0</v>
      </c>
      <c r="K11" s="723">
        <v>0</v>
      </c>
      <c r="L11" s="723">
        <v>7122396.1500000013</v>
      </c>
      <c r="M11" s="723">
        <v>85408.99</v>
      </c>
      <c r="N11" s="723">
        <v>0</v>
      </c>
      <c r="O11" s="723">
        <v>495342.74999999994</v>
      </c>
      <c r="P11" s="723">
        <v>0</v>
      </c>
      <c r="Q11" s="723">
        <v>21535.499999999996</v>
      </c>
      <c r="R11" s="723">
        <v>1613595.45</v>
      </c>
      <c r="S11" s="723">
        <v>0</v>
      </c>
      <c r="T11" s="723">
        <v>0</v>
      </c>
      <c r="U11" s="436"/>
    </row>
    <row r="12" spans="1:21">
      <c r="A12" s="461" t="s">
        <v>794</v>
      </c>
      <c r="B12" s="462" t="s">
        <v>795</v>
      </c>
      <c r="C12" s="733">
        <v>2516671.2600000002</v>
      </c>
      <c r="D12" s="723">
        <v>2516671.2600000002</v>
      </c>
      <c r="E12" s="723">
        <v>0</v>
      </c>
      <c r="F12" s="723">
        <v>0</v>
      </c>
      <c r="G12" s="723">
        <v>0</v>
      </c>
      <c r="H12" s="723">
        <v>0</v>
      </c>
      <c r="I12" s="723">
        <v>0</v>
      </c>
      <c r="J12" s="723">
        <v>0</v>
      </c>
      <c r="K12" s="723">
        <v>0</v>
      </c>
      <c r="L12" s="723">
        <v>0</v>
      </c>
      <c r="M12" s="723">
        <v>0</v>
      </c>
      <c r="N12" s="723">
        <v>0</v>
      </c>
      <c r="O12" s="723">
        <v>0</v>
      </c>
      <c r="P12" s="723">
        <v>0</v>
      </c>
      <c r="Q12" s="723">
        <v>0</v>
      </c>
      <c r="R12" s="723">
        <v>0</v>
      </c>
      <c r="S12" s="723">
        <v>0</v>
      </c>
      <c r="T12" s="723">
        <v>0</v>
      </c>
      <c r="U12" s="436"/>
    </row>
    <row r="13" spans="1:21">
      <c r="A13" s="461" t="s">
        <v>796</v>
      </c>
      <c r="B13" s="462" t="s">
        <v>797</v>
      </c>
      <c r="C13" s="733">
        <v>24475983.130000003</v>
      </c>
      <c r="D13" s="723">
        <v>24400430.510000002</v>
      </c>
      <c r="E13" s="723">
        <v>0</v>
      </c>
      <c r="F13" s="723">
        <v>0</v>
      </c>
      <c r="G13" s="723">
        <v>0</v>
      </c>
      <c r="H13" s="723">
        <v>0</v>
      </c>
      <c r="I13" s="723">
        <v>0</v>
      </c>
      <c r="J13" s="723">
        <v>0</v>
      </c>
      <c r="K13" s="723">
        <v>0</v>
      </c>
      <c r="L13" s="723">
        <v>75552.62</v>
      </c>
      <c r="M13" s="723">
        <v>0</v>
      </c>
      <c r="N13" s="723">
        <v>75552.62</v>
      </c>
      <c r="O13" s="723">
        <v>0</v>
      </c>
      <c r="P13" s="723">
        <v>0</v>
      </c>
      <c r="Q13" s="723">
        <v>0</v>
      </c>
      <c r="R13" s="723">
        <v>0</v>
      </c>
      <c r="S13" s="723">
        <v>0</v>
      </c>
      <c r="T13" s="723">
        <v>0</v>
      </c>
      <c r="U13" s="436"/>
    </row>
    <row r="14" spans="1:21">
      <c r="A14" s="461" t="s">
        <v>798</v>
      </c>
      <c r="B14" s="462" t="s">
        <v>799</v>
      </c>
      <c r="C14" s="733">
        <v>49615193.339999989</v>
      </c>
      <c r="D14" s="723">
        <v>49615193.339999989</v>
      </c>
      <c r="E14" s="723">
        <v>192364.81</v>
      </c>
      <c r="F14" s="723">
        <v>0</v>
      </c>
      <c r="G14" s="723">
        <v>0</v>
      </c>
      <c r="H14" s="723">
        <v>0</v>
      </c>
      <c r="I14" s="723">
        <v>0</v>
      </c>
      <c r="J14" s="723">
        <v>0</v>
      </c>
      <c r="K14" s="723">
        <v>0</v>
      </c>
      <c r="L14" s="723">
        <v>0</v>
      </c>
      <c r="M14" s="723">
        <v>0</v>
      </c>
      <c r="N14" s="723">
        <v>0</v>
      </c>
      <c r="O14" s="723">
        <v>0</v>
      </c>
      <c r="P14" s="723">
        <v>0</v>
      </c>
      <c r="Q14" s="723">
        <v>0</v>
      </c>
      <c r="R14" s="723">
        <v>0</v>
      </c>
      <c r="S14" s="723">
        <v>0</v>
      </c>
      <c r="T14" s="723">
        <v>0</v>
      </c>
      <c r="U14" s="436"/>
    </row>
    <row r="15" spans="1:21">
      <c r="A15" s="463">
        <v>1.2</v>
      </c>
      <c r="B15" s="464" t="s">
        <v>800</v>
      </c>
      <c r="C15" s="728">
        <v>7833454.8814000068</v>
      </c>
      <c r="D15" s="723">
        <v>4123687.0893999985</v>
      </c>
      <c r="E15" s="723">
        <v>169392.75080000001</v>
      </c>
      <c r="F15" s="723">
        <v>0</v>
      </c>
      <c r="G15" s="723">
        <v>976472.22900000005</v>
      </c>
      <c r="H15" s="723">
        <v>0</v>
      </c>
      <c r="I15" s="723">
        <v>0</v>
      </c>
      <c r="J15" s="723">
        <v>0</v>
      </c>
      <c r="K15" s="723">
        <v>0</v>
      </c>
      <c r="L15" s="723">
        <v>2733295.5630000015</v>
      </c>
      <c r="M15" s="723">
        <v>27180.877000000004</v>
      </c>
      <c r="N15" s="723">
        <v>22665.786</v>
      </c>
      <c r="O15" s="723">
        <v>150799.39499999999</v>
      </c>
      <c r="P15" s="723">
        <v>0</v>
      </c>
      <c r="Q15" s="723">
        <v>25091.529999999995</v>
      </c>
      <c r="R15" s="723">
        <v>484078.63500000001</v>
      </c>
      <c r="S15" s="723">
        <v>149568.93000000002</v>
      </c>
      <c r="T15" s="723">
        <v>7710.08</v>
      </c>
      <c r="U15" s="436"/>
    </row>
    <row r="16" spans="1:21">
      <c r="A16" s="465">
        <v>1.3</v>
      </c>
      <c r="B16" s="464" t="s">
        <v>801</v>
      </c>
      <c r="C16" s="466"/>
      <c r="D16" s="466"/>
      <c r="E16" s="466"/>
      <c r="F16" s="466"/>
      <c r="G16" s="466"/>
      <c r="H16" s="466"/>
      <c r="I16" s="466"/>
      <c r="J16" s="466"/>
      <c r="K16" s="466"/>
      <c r="L16" s="466"/>
      <c r="M16" s="466"/>
      <c r="N16" s="466"/>
      <c r="O16" s="466"/>
      <c r="P16" s="466"/>
      <c r="Q16" s="466"/>
      <c r="R16" s="466"/>
      <c r="S16" s="466"/>
      <c r="T16" s="466"/>
      <c r="U16" s="436"/>
    </row>
    <row r="17" spans="1:21" s="434" customFormat="1" ht="25.5">
      <c r="A17" s="467" t="s">
        <v>802</v>
      </c>
      <c r="B17" s="468" t="s">
        <v>803</v>
      </c>
      <c r="C17" s="734">
        <v>221715319.84975263</v>
      </c>
      <c r="D17" s="723">
        <v>204260874.58975267</v>
      </c>
      <c r="E17" s="723">
        <v>8469637.5399999991</v>
      </c>
      <c r="F17" s="723">
        <v>0</v>
      </c>
      <c r="G17" s="723">
        <v>9764722.290000001</v>
      </c>
      <c r="H17" s="723">
        <v>0</v>
      </c>
      <c r="I17" s="723">
        <v>0</v>
      </c>
      <c r="J17" s="723">
        <v>0</v>
      </c>
      <c r="K17" s="723">
        <v>0</v>
      </c>
      <c r="L17" s="723">
        <v>7689722.9700000025</v>
      </c>
      <c r="M17" s="723">
        <v>85408.99</v>
      </c>
      <c r="N17" s="723">
        <v>75552.62</v>
      </c>
      <c r="O17" s="723">
        <v>499735.88999999996</v>
      </c>
      <c r="P17" s="723">
        <v>0</v>
      </c>
      <c r="Q17" s="723">
        <v>25091.529999999995</v>
      </c>
      <c r="R17" s="723">
        <v>1613595.45</v>
      </c>
      <c r="S17" s="723">
        <v>149568.93000000002</v>
      </c>
      <c r="T17" s="723">
        <v>7710.08</v>
      </c>
      <c r="U17" s="440"/>
    </row>
    <row r="18" spans="1:21" s="434" customFormat="1" ht="25.5">
      <c r="A18" s="469" t="s">
        <v>804</v>
      </c>
      <c r="B18" s="469" t="s">
        <v>805</v>
      </c>
      <c r="C18" s="735">
        <v>108801982.76309578</v>
      </c>
      <c r="D18" s="723">
        <v>100309546.32309577</v>
      </c>
      <c r="E18" s="723">
        <v>8428526.262331089</v>
      </c>
      <c r="F18" s="723">
        <v>0</v>
      </c>
      <c r="G18" s="723">
        <v>1294487.67</v>
      </c>
      <c r="H18" s="723">
        <v>0</v>
      </c>
      <c r="I18" s="723">
        <v>0</v>
      </c>
      <c r="J18" s="723">
        <v>0</v>
      </c>
      <c r="K18" s="723">
        <v>0</v>
      </c>
      <c r="L18" s="723">
        <v>7197948.7700000014</v>
      </c>
      <c r="M18" s="723">
        <v>85408.99</v>
      </c>
      <c r="N18" s="723">
        <v>75552.62</v>
      </c>
      <c r="O18" s="723">
        <v>495342.74999999994</v>
      </c>
      <c r="P18" s="723">
        <v>0</v>
      </c>
      <c r="Q18" s="723">
        <v>21535.499999999996</v>
      </c>
      <c r="R18" s="723">
        <v>1613595.45</v>
      </c>
      <c r="S18" s="723">
        <v>0</v>
      </c>
      <c r="T18" s="723">
        <v>0</v>
      </c>
      <c r="U18" s="440"/>
    </row>
    <row r="19" spans="1:21" s="434" customFormat="1">
      <c r="A19" s="467" t="s">
        <v>806</v>
      </c>
      <c r="B19" s="470" t="s">
        <v>807</v>
      </c>
      <c r="C19" s="736">
        <v>180499725.52906764</v>
      </c>
      <c r="D19" s="723">
        <v>158482623.09469888</v>
      </c>
      <c r="E19" s="723">
        <v>4656126.2090638876</v>
      </c>
      <c r="F19" s="723">
        <v>0</v>
      </c>
      <c r="G19" s="723">
        <v>4466511.7015343644</v>
      </c>
      <c r="H19" s="723">
        <v>0</v>
      </c>
      <c r="I19" s="723">
        <v>0</v>
      </c>
      <c r="J19" s="723">
        <v>0</v>
      </c>
      <c r="K19" s="723">
        <v>0</v>
      </c>
      <c r="L19" s="723">
        <v>17550590.73283447</v>
      </c>
      <c r="M19" s="723">
        <v>160836.40599999993</v>
      </c>
      <c r="N19" s="723">
        <v>84205.440000000002</v>
      </c>
      <c r="O19" s="723">
        <v>4678067.4999999981</v>
      </c>
      <c r="P19" s="723">
        <v>0</v>
      </c>
      <c r="Q19" s="723">
        <v>74861.176834474638</v>
      </c>
      <c r="R19" s="723">
        <v>2778495.9999999991</v>
      </c>
      <c r="S19" s="723">
        <v>0</v>
      </c>
      <c r="T19" s="723">
        <v>0</v>
      </c>
      <c r="U19" s="440"/>
    </row>
    <row r="20" spans="1:21" s="434" customFormat="1">
      <c r="A20" s="469" t="s">
        <v>808</v>
      </c>
      <c r="B20" s="469" t="s">
        <v>809</v>
      </c>
      <c r="C20" s="735">
        <v>110346674.17469247</v>
      </c>
      <c r="D20" s="723">
        <v>91863648.540323645</v>
      </c>
      <c r="E20" s="723">
        <v>4008712.6767327981</v>
      </c>
      <c r="F20" s="723">
        <v>0</v>
      </c>
      <c r="G20" s="723">
        <v>3172024.0315343644</v>
      </c>
      <c r="H20" s="723">
        <v>0</v>
      </c>
      <c r="I20" s="723">
        <v>0</v>
      </c>
      <c r="J20" s="723">
        <v>0</v>
      </c>
      <c r="K20" s="723">
        <v>0</v>
      </c>
      <c r="L20" s="723">
        <v>15311001.602834463</v>
      </c>
      <c r="M20" s="723">
        <v>153045.50599999994</v>
      </c>
      <c r="N20" s="723">
        <v>8652.8200000000033</v>
      </c>
      <c r="O20" s="723">
        <v>4182737.2499999981</v>
      </c>
      <c r="P20" s="723">
        <v>0</v>
      </c>
      <c r="Q20" s="723">
        <v>74861.176834474638</v>
      </c>
      <c r="R20" s="723">
        <v>1164900.5499999996</v>
      </c>
      <c r="S20" s="723">
        <v>0</v>
      </c>
      <c r="T20" s="723">
        <v>0</v>
      </c>
      <c r="U20" s="440"/>
    </row>
    <row r="21" spans="1:21" s="434" customFormat="1">
      <c r="A21" s="471">
        <v>1.4</v>
      </c>
      <c r="B21" s="511" t="s">
        <v>942</v>
      </c>
      <c r="C21" s="737"/>
      <c r="D21" s="723"/>
      <c r="E21" s="723"/>
      <c r="F21" s="723"/>
      <c r="G21" s="723"/>
      <c r="H21" s="723"/>
      <c r="I21" s="723"/>
      <c r="J21" s="723"/>
      <c r="K21" s="723"/>
      <c r="L21" s="723"/>
      <c r="M21" s="723"/>
      <c r="N21" s="723"/>
      <c r="O21" s="723"/>
      <c r="P21" s="723"/>
      <c r="Q21" s="723"/>
      <c r="R21" s="723"/>
      <c r="S21" s="723"/>
      <c r="T21" s="723"/>
      <c r="U21" s="440"/>
    </row>
    <row r="22" spans="1:21" s="434" customFormat="1">
      <c r="A22" s="471">
        <v>1.5</v>
      </c>
      <c r="B22" s="511" t="s">
        <v>943</v>
      </c>
      <c r="C22" s="737"/>
      <c r="D22" s="723"/>
      <c r="E22" s="723"/>
      <c r="F22" s="723"/>
      <c r="G22" s="723"/>
      <c r="H22" s="723"/>
      <c r="I22" s="723"/>
      <c r="J22" s="723"/>
      <c r="K22" s="723"/>
      <c r="L22" s="723"/>
      <c r="M22" s="723"/>
      <c r="N22" s="723"/>
      <c r="O22" s="723"/>
      <c r="P22" s="723"/>
      <c r="Q22" s="723"/>
      <c r="R22" s="723"/>
      <c r="S22" s="723"/>
      <c r="T22" s="723"/>
      <c r="U22" s="440"/>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140625" defaultRowHeight="12.75"/>
  <cols>
    <col min="1" max="1" width="11.85546875" style="413" bestFit="1" customWidth="1"/>
    <col min="2" max="2" width="59.7109375" style="413" bestFit="1" customWidth="1"/>
    <col min="3" max="3" width="12.28515625" style="413" bestFit="1" customWidth="1"/>
    <col min="4" max="4" width="13.42578125" style="413" bestFit="1" customWidth="1"/>
    <col min="5" max="5" width="12.42578125" style="413" bestFit="1" customWidth="1"/>
    <col min="6" max="6" width="16.140625" style="475" bestFit="1" customWidth="1"/>
    <col min="7" max="7" width="7.7109375" style="475" bestFit="1" customWidth="1"/>
    <col min="8" max="9" width="10.28515625" style="413" bestFit="1" customWidth="1"/>
    <col min="10" max="10" width="13.42578125" style="475" bestFit="1" customWidth="1"/>
    <col min="11" max="11" width="12.42578125" style="475" bestFit="1" customWidth="1"/>
    <col min="12" max="12" width="16.140625" style="475" bestFit="1" customWidth="1"/>
    <col min="13" max="13" width="7.7109375" style="475" bestFit="1" customWidth="1"/>
    <col min="14" max="14" width="10.28515625" style="475" bestFit="1" customWidth="1"/>
    <col min="15" max="15" width="18.28515625" style="413" bestFit="1" customWidth="1"/>
    <col min="16" max="16384" width="9.140625" style="413"/>
  </cols>
  <sheetData>
    <row r="1" spans="1:15" ht="15">
      <c r="A1" s="527" t="s">
        <v>188</v>
      </c>
      <c r="B1" s="528" t="s">
        <v>954</v>
      </c>
      <c r="F1" s="413"/>
      <c r="G1" s="413"/>
      <c r="J1" s="413"/>
      <c r="K1" s="413"/>
      <c r="L1" s="413"/>
      <c r="M1" s="413"/>
      <c r="N1" s="413"/>
    </row>
    <row r="2" spans="1:15" ht="15">
      <c r="A2" s="527" t="s">
        <v>189</v>
      </c>
      <c r="B2" s="529">
        <f>'1. key ratios'!B2</f>
        <v>44834</v>
      </c>
      <c r="F2" s="413"/>
      <c r="G2" s="413"/>
      <c r="J2" s="413"/>
      <c r="K2" s="413"/>
      <c r="L2" s="413"/>
      <c r="M2" s="413"/>
      <c r="N2" s="413"/>
    </row>
    <row r="3" spans="1:15">
      <c r="A3" s="415" t="s">
        <v>812</v>
      </c>
      <c r="B3" s="416"/>
      <c r="F3" s="413"/>
      <c r="G3" s="413"/>
      <c r="J3" s="413"/>
      <c r="K3" s="413"/>
      <c r="L3" s="413"/>
      <c r="M3" s="413"/>
      <c r="N3" s="413"/>
    </row>
    <row r="4" spans="1:15">
      <c r="F4" s="413"/>
      <c r="G4" s="413"/>
      <c r="J4" s="413"/>
      <c r="K4" s="413"/>
      <c r="L4" s="413"/>
      <c r="M4" s="413"/>
      <c r="N4" s="413"/>
    </row>
    <row r="5" spans="1:15" ht="37.5" customHeight="1">
      <c r="A5" s="820" t="s">
        <v>813</v>
      </c>
      <c r="B5" s="821"/>
      <c r="C5" s="866" t="s">
        <v>814</v>
      </c>
      <c r="D5" s="867"/>
      <c r="E5" s="867"/>
      <c r="F5" s="867"/>
      <c r="G5" s="867"/>
      <c r="H5" s="868"/>
      <c r="I5" s="869" t="s">
        <v>815</v>
      </c>
      <c r="J5" s="870"/>
      <c r="K5" s="870"/>
      <c r="L5" s="870"/>
      <c r="M5" s="870"/>
      <c r="N5" s="871"/>
      <c r="O5" s="872" t="s">
        <v>685</v>
      </c>
    </row>
    <row r="6" spans="1:15" ht="39.6" customHeight="1">
      <c r="A6" s="824"/>
      <c r="B6" s="825"/>
      <c r="C6" s="472"/>
      <c r="D6" s="473" t="s">
        <v>816</v>
      </c>
      <c r="E6" s="473" t="s">
        <v>817</v>
      </c>
      <c r="F6" s="473" t="s">
        <v>818</v>
      </c>
      <c r="G6" s="473" t="s">
        <v>819</v>
      </c>
      <c r="H6" s="473" t="s">
        <v>820</v>
      </c>
      <c r="I6" s="523"/>
      <c r="J6" s="473" t="s">
        <v>816</v>
      </c>
      <c r="K6" s="473" t="s">
        <v>817</v>
      </c>
      <c r="L6" s="473" t="s">
        <v>818</v>
      </c>
      <c r="M6" s="473" t="s">
        <v>819</v>
      </c>
      <c r="N6" s="473" t="s">
        <v>820</v>
      </c>
      <c r="O6" s="873"/>
    </row>
    <row r="7" spans="1:15" ht="18">
      <c r="A7" s="427">
        <v>1</v>
      </c>
      <c r="B7" s="435" t="s">
        <v>695</v>
      </c>
      <c r="C7" s="738">
        <v>9687376.8200000003</v>
      </c>
      <c r="D7" s="723">
        <v>9680224.0299999993</v>
      </c>
      <c r="E7" s="723">
        <v>0</v>
      </c>
      <c r="F7" s="739">
        <v>0</v>
      </c>
      <c r="G7" s="723">
        <v>3324.96</v>
      </c>
      <c r="H7" s="723">
        <v>3827.83</v>
      </c>
      <c r="I7" s="723">
        <v>199094.79060000001</v>
      </c>
      <c r="J7" s="723">
        <v>193604.48060000001</v>
      </c>
      <c r="K7" s="723">
        <v>0</v>
      </c>
      <c r="L7" s="723">
        <v>0</v>
      </c>
      <c r="M7" s="723">
        <v>1662.48</v>
      </c>
      <c r="N7" s="723">
        <v>3827.83</v>
      </c>
      <c r="O7" s="723"/>
    </row>
    <row r="8" spans="1:15">
      <c r="A8" s="427">
        <v>2</v>
      </c>
      <c r="B8" s="435" t="s">
        <v>696</v>
      </c>
      <c r="C8" s="738">
        <v>64254619.750000007</v>
      </c>
      <c r="D8" s="723">
        <v>64254619.750000007</v>
      </c>
      <c r="E8" s="723">
        <v>0</v>
      </c>
      <c r="F8" s="740">
        <v>0</v>
      </c>
      <c r="G8" s="740">
        <v>0</v>
      </c>
      <c r="H8" s="723">
        <v>0</v>
      </c>
      <c r="I8" s="723">
        <v>862158.92320000008</v>
      </c>
      <c r="J8" s="740">
        <v>862158.92320000008</v>
      </c>
      <c r="K8" s="740">
        <v>0</v>
      </c>
      <c r="L8" s="740">
        <v>0</v>
      </c>
      <c r="M8" s="740">
        <v>0</v>
      </c>
      <c r="N8" s="740">
        <v>0</v>
      </c>
      <c r="O8" s="723"/>
    </row>
    <row r="9" spans="1:15">
      <c r="A9" s="427">
        <v>3</v>
      </c>
      <c r="B9" s="435" t="s">
        <v>697</v>
      </c>
      <c r="C9" s="738">
        <v>0</v>
      </c>
      <c r="D9" s="723">
        <v>0</v>
      </c>
      <c r="E9" s="723">
        <v>0</v>
      </c>
      <c r="F9" s="741">
        <v>0</v>
      </c>
      <c r="G9" s="741">
        <v>0</v>
      </c>
      <c r="H9" s="723">
        <v>0</v>
      </c>
      <c r="I9" s="723">
        <v>0</v>
      </c>
      <c r="J9" s="741">
        <v>0</v>
      </c>
      <c r="K9" s="741">
        <v>0</v>
      </c>
      <c r="L9" s="741">
        <v>0</v>
      </c>
      <c r="M9" s="741">
        <v>0</v>
      </c>
      <c r="N9" s="741">
        <v>0</v>
      </c>
      <c r="O9" s="723"/>
    </row>
    <row r="10" spans="1:15">
      <c r="A10" s="427">
        <v>4</v>
      </c>
      <c r="B10" s="435" t="s">
        <v>698</v>
      </c>
      <c r="C10" s="738">
        <v>13030424.359999999</v>
      </c>
      <c r="D10" s="723">
        <v>13030424.359999999</v>
      </c>
      <c r="E10" s="723">
        <v>0</v>
      </c>
      <c r="F10" s="741">
        <v>0</v>
      </c>
      <c r="G10" s="741">
        <v>0</v>
      </c>
      <c r="H10" s="723">
        <v>0</v>
      </c>
      <c r="I10" s="723">
        <v>220915.68720000001</v>
      </c>
      <c r="J10" s="741">
        <v>220915.68720000001</v>
      </c>
      <c r="K10" s="741">
        <v>0</v>
      </c>
      <c r="L10" s="741">
        <v>0</v>
      </c>
      <c r="M10" s="741">
        <v>0</v>
      </c>
      <c r="N10" s="741">
        <v>0</v>
      </c>
      <c r="O10" s="723"/>
    </row>
    <row r="11" spans="1:15">
      <c r="A11" s="427">
        <v>5</v>
      </c>
      <c r="B11" s="435" t="s">
        <v>699</v>
      </c>
      <c r="C11" s="738">
        <v>12772340.540000001</v>
      </c>
      <c r="D11" s="723">
        <v>12772340.540000001</v>
      </c>
      <c r="E11" s="723">
        <v>0</v>
      </c>
      <c r="F11" s="741">
        <v>0</v>
      </c>
      <c r="G11" s="741">
        <v>0</v>
      </c>
      <c r="H11" s="723">
        <v>0</v>
      </c>
      <c r="I11" s="723">
        <v>255446.81079999998</v>
      </c>
      <c r="J11" s="741">
        <v>255446.81079999998</v>
      </c>
      <c r="K11" s="741">
        <v>0</v>
      </c>
      <c r="L11" s="741">
        <v>0</v>
      </c>
      <c r="M11" s="741">
        <v>0</v>
      </c>
      <c r="N11" s="741">
        <v>0</v>
      </c>
      <c r="O11" s="723"/>
    </row>
    <row r="12" spans="1:15">
      <c r="A12" s="427">
        <v>6</v>
      </c>
      <c r="B12" s="435" t="s">
        <v>700</v>
      </c>
      <c r="C12" s="738">
        <v>1383266.0699999998</v>
      </c>
      <c r="D12" s="723">
        <v>1367173.35</v>
      </c>
      <c r="E12" s="723">
        <v>0</v>
      </c>
      <c r="F12" s="741">
        <v>12.5</v>
      </c>
      <c r="G12" s="741">
        <v>12184.04</v>
      </c>
      <c r="H12" s="723">
        <v>3896.18</v>
      </c>
      <c r="I12" s="723">
        <v>37335.416999999994</v>
      </c>
      <c r="J12" s="741">
        <v>27343.466999999997</v>
      </c>
      <c r="K12" s="741">
        <v>0</v>
      </c>
      <c r="L12" s="741">
        <v>3.75</v>
      </c>
      <c r="M12" s="741">
        <v>6092.02</v>
      </c>
      <c r="N12" s="741">
        <v>3896.18</v>
      </c>
      <c r="O12" s="723"/>
    </row>
    <row r="13" spans="1:15">
      <c r="A13" s="427">
        <v>7</v>
      </c>
      <c r="B13" s="435" t="s">
        <v>701</v>
      </c>
      <c r="C13" s="738">
        <v>19550451.369999997</v>
      </c>
      <c r="D13" s="723">
        <v>19550451.369999997</v>
      </c>
      <c r="E13" s="723">
        <v>0</v>
      </c>
      <c r="F13" s="741">
        <v>0</v>
      </c>
      <c r="G13" s="741">
        <v>0</v>
      </c>
      <c r="H13" s="723">
        <v>0</v>
      </c>
      <c r="I13" s="723">
        <v>391009.02739999996</v>
      </c>
      <c r="J13" s="741">
        <v>391009.02739999996</v>
      </c>
      <c r="K13" s="741">
        <v>0</v>
      </c>
      <c r="L13" s="741">
        <v>0</v>
      </c>
      <c r="M13" s="741">
        <v>0</v>
      </c>
      <c r="N13" s="741">
        <v>0</v>
      </c>
      <c r="O13" s="723"/>
    </row>
    <row r="14" spans="1:15">
      <c r="A14" s="427">
        <v>8</v>
      </c>
      <c r="B14" s="435" t="s">
        <v>702</v>
      </c>
      <c r="C14" s="738">
        <v>3036782.2</v>
      </c>
      <c r="D14" s="723">
        <v>2300946.27</v>
      </c>
      <c r="E14" s="723">
        <v>0</v>
      </c>
      <c r="F14" s="741">
        <v>495330.24999999994</v>
      </c>
      <c r="G14" s="741">
        <v>0</v>
      </c>
      <c r="H14" s="723">
        <v>240505.68</v>
      </c>
      <c r="I14" s="723">
        <v>435123.68040000001</v>
      </c>
      <c r="J14" s="741">
        <v>46018.9254</v>
      </c>
      <c r="K14" s="741">
        <v>0</v>
      </c>
      <c r="L14" s="741">
        <v>148599.07500000001</v>
      </c>
      <c r="M14" s="741">
        <v>0</v>
      </c>
      <c r="N14" s="741">
        <v>240505.68</v>
      </c>
      <c r="O14" s="723"/>
    </row>
    <row r="15" spans="1:15">
      <c r="A15" s="427">
        <v>9</v>
      </c>
      <c r="B15" s="435" t="s">
        <v>703</v>
      </c>
      <c r="C15" s="738">
        <v>6630215.7199999997</v>
      </c>
      <c r="D15" s="723">
        <v>6630215.7199999997</v>
      </c>
      <c r="E15" s="723">
        <v>0</v>
      </c>
      <c r="F15" s="741">
        <v>0</v>
      </c>
      <c r="G15" s="741">
        <v>0</v>
      </c>
      <c r="H15" s="723">
        <v>0</v>
      </c>
      <c r="I15" s="723">
        <v>132604.31439999997</v>
      </c>
      <c r="J15" s="741">
        <v>132604.31439999997</v>
      </c>
      <c r="K15" s="741">
        <v>0</v>
      </c>
      <c r="L15" s="741">
        <v>0</v>
      </c>
      <c r="M15" s="741">
        <v>0</v>
      </c>
      <c r="N15" s="741">
        <v>0</v>
      </c>
      <c r="O15" s="723"/>
    </row>
    <row r="16" spans="1:15" ht="25.5">
      <c r="A16" s="427">
        <v>10</v>
      </c>
      <c r="B16" s="435" t="s">
        <v>704</v>
      </c>
      <c r="C16" s="738">
        <v>8716100.6499999985</v>
      </c>
      <c r="D16" s="723">
        <v>7098323.7599999998</v>
      </c>
      <c r="E16" s="723">
        <v>0</v>
      </c>
      <c r="F16" s="741">
        <v>1613595.45</v>
      </c>
      <c r="G16" s="741">
        <v>4181.4399999999996</v>
      </c>
      <c r="H16" s="723">
        <v>0</v>
      </c>
      <c r="I16" s="723">
        <v>628135.83020000008</v>
      </c>
      <c r="J16" s="741">
        <v>141966.47520000002</v>
      </c>
      <c r="K16" s="741">
        <v>0</v>
      </c>
      <c r="L16" s="741">
        <v>484078.63500000001</v>
      </c>
      <c r="M16" s="741">
        <v>2090.7199999999998</v>
      </c>
      <c r="N16" s="741">
        <v>0</v>
      </c>
      <c r="O16" s="723"/>
    </row>
    <row r="17" spans="1:15">
      <c r="A17" s="427">
        <v>11</v>
      </c>
      <c r="B17" s="435" t="s">
        <v>705</v>
      </c>
      <c r="C17" s="738">
        <v>15817800.539999997</v>
      </c>
      <c r="D17" s="723">
        <v>7321760.4799999995</v>
      </c>
      <c r="E17" s="723">
        <v>8470234.6199999992</v>
      </c>
      <c r="F17" s="741">
        <v>0</v>
      </c>
      <c r="G17" s="741">
        <v>5252.99</v>
      </c>
      <c r="H17" s="723">
        <v>20552.45</v>
      </c>
      <c r="I17" s="723">
        <v>1016637.6166000001</v>
      </c>
      <c r="J17" s="741">
        <v>146435.2096</v>
      </c>
      <c r="K17" s="741">
        <v>847023.46200000006</v>
      </c>
      <c r="L17" s="741">
        <v>0</v>
      </c>
      <c r="M17" s="741">
        <v>2626.4949999999999</v>
      </c>
      <c r="N17" s="741">
        <v>20552.45</v>
      </c>
      <c r="O17" s="723"/>
    </row>
    <row r="18" spans="1:15">
      <c r="A18" s="427">
        <v>12</v>
      </c>
      <c r="B18" s="435" t="s">
        <v>706</v>
      </c>
      <c r="C18" s="738">
        <v>13533394.48</v>
      </c>
      <c r="D18" s="723">
        <v>13380589.24</v>
      </c>
      <c r="E18" s="723">
        <v>0</v>
      </c>
      <c r="F18" s="741">
        <v>77618.090000000011</v>
      </c>
      <c r="G18" s="741">
        <v>0</v>
      </c>
      <c r="H18" s="723">
        <v>75187.149999999994</v>
      </c>
      <c r="I18" s="723">
        <v>366084.36180000001</v>
      </c>
      <c r="J18" s="741">
        <v>267611.78479999996</v>
      </c>
      <c r="K18" s="741">
        <v>0</v>
      </c>
      <c r="L18" s="741">
        <v>23285.427000000003</v>
      </c>
      <c r="M18" s="741">
        <v>0</v>
      </c>
      <c r="N18" s="741">
        <v>75187.149999999994</v>
      </c>
      <c r="O18" s="723"/>
    </row>
    <row r="19" spans="1:15">
      <c r="A19" s="427">
        <v>13</v>
      </c>
      <c r="B19" s="435" t="s">
        <v>707</v>
      </c>
      <c r="C19" s="738">
        <v>2357467.79</v>
      </c>
      <c r="D19" s="723">
        <v>1030575.07</v>
      </c>
      <c r="E19" s="723">
        <v>1298787.0899999999</v>
      </c>
      <c r="F19" s="741">
        <v>4702.3200000000006</v>
      </c>
      <c r="G19" s="741">
        <v>0</v>
      </c>
      <c r="H19" s="723">
        <v>23403.309999999998</v>
      </c>
      <c r="I19" s="723">
        <v>175304.2164</v>
      </c>
      <c r="J19" s="741">
        <v>20611.501400000001</v>
      </c>
      <c r="K19" s="741">
        <v>129878.70899999999</v>
      </c>
      <c r="L19" s="741">
        <v>1410.6960000000001</v>
      </c>
      <c r="M19" s="741">
        <v>0</v>
      </c>
      <c r="N19" s="741">
        <v>23403.309999999998</v>
      </c>
      <c r="O19" s="723"/>
    </row>
    <row r="20" spans="1:15">
      <c r="A20" s="427">
        <v>14</v>
      </c>
      <c r="B20" s="435" t="s">
        <v>708</v>
      </c>
      <c r="C20" s="738">
        <v>13009334.76</v>
      </c>
      <c r="D20" s="723">
        <v>8102441.2000000002</v>
      </c>
      <c r="E20" s="723">
        <v>0</v>
      </c>
      <c r="F20" s="741">
        <v>4801064.1500000004</v>
      </c>
      <c r="G20" s="741">
        <v>8886.98</v>
      </c>
      <c r="H20" s="723">
        <v>96942.430000000008</v>
      </c>
      <c r="I20" s="723">
        <v>1703753.9890000001</v>
      </c>
      <c r="J20" s="741">
        <v>162048.82399999996</v>
      </c>
      <c r="K20" s="741">
        <v>0</v>
      </c>
      <c r="L20" s="741">
        <v>1440319.2450000001</v>
      </c>
      <c r="M20" s="741">
        <v>4443.49</v>
      </c>
      <c r="N20" s="741">
        <v>96942.430000000008</v>
      </c>
      <c r="O20" s="723"/>
    </row>
    <row r="21" spans="1:15">
      <c r="A21" s="427">
        <v>15</v>
      </c>
      <c r="B21" s="435" t="s">
        <v>709</v>
      </c>
      <c r="C21" s="738">
        <v>1517000</v>
      </c>
      <c r="D21" s="723">
        <v>1517000</v>
      </c>
      <c r="E21" s="723">
        <v>0</v>
      </c>
      <c r="F21" s="741">
        <v>0</v>
      </c>
      <c r="G21" s="741">
        <v>0</v>
      </c>
      <c r="H21" s="723">
        <v>0</v>
      </c>
      <c r="I21" s="723">
        <v>30340</v>
      </c>
      <c r="J21" s="741">
        <v>30340</v>
      </c>
      <c r="K21" s="741">
        <v>0</v>
      </c>
      <c r="L21" s="741">
        <v>0</v>
      </c>
      <c r="M21" s="741">
        <v>0</v>
      </c>
      <c r="N21" s="741">
        <v>0</v>
      </c>
      <c r="O21" s="723"/>
    </row>
    <row r="22" spans="1:15">
      <c r="A22" s="427">
        <v>16</v>
      </c>
      <c r="B22" s="435" t="s">
        <v>710</v>
      </c>
      <c r="C22" s="738">
        <v>0</v>
      </c>
      <c r="D22" s="723">
        <v>0</v>
      </c>
      <c r="E22" s="723">
        <v>0</v>
      </c>
      <c r="F22" s="741">
        <v>0</v>
      </c>
      <c r="G22" s="741">
        <v>0</v>
      </c>
      <c r="H22" s="723">
        <v>0</v>
      </c>
      <c r="I22" s="723">
        <v>0</v>
      </c>
      <c r="J22" s="741">
        <v>0</v>
      </c>
      <c r="K22" s="741">
        <v>0</v>
      </c>
      <c r="L22" s="741">
        <v>0</v>
      </c>
      <c r="M22" s="741">
        <v>0</v>
      </c>
      <c r="N22" s="741">
        <v>0</v>
      </c>
      <c r="O22" s="723"/>
    </row>
    <row r="23" spans="1:15">
      <c r="A23" s="427">
        <v>17</v>
      </c>
      <c r="B23" s="435" t="s">
        <v>711</v>
      </c>
      <c r="C23" s="738">
        <v>0</v>
      </c>
      <c r="D23" s="723">
        <v>0</v>
      </c>
      <c r="E23" s="723">
        <v>0</v>
      </c>
      <c r="F23" s="741">
        <v>0</v>
      </c>
      <c r="G23" s="741">
        <v>0</v>
      </c>
      <c r="H23" s="723">
        <v>0</v>
      </c>
      <c r="I23" s="723">
        <v>0</v>
      </c>
      <c r="J23" s="741">
        <v>0</v>
      </c>
      <c r="K23" s="741">
        <v>0</v>
      </c>
      <c r="L23" s="741">
        <v>0</v>
      </c>
      <c r="M23" s="741">
        <v>0</v>
      </c>
      <c r="N23" s="741">
        <v>0</v>
      </c>
      <c r="O23" s="723"/>
    </row>
    <row r="24" spans="1:15">
      <c r="A24" s="427">
        <v>18</v>
      </c>
      <c r="B24" s="435" t="s">
        <v>712</v>
      </c>
      <c r="C24" s="738">
        <v>46564804.380000003</v>
      </c>
      <c r="D24" s="723">
        <v>46564804.380000003</v>
      </c>
      <c r="E24" s="723">
        <v>0</v>
      </c>
      <c r="F24" s="741">
        <v>0</v>
      </c>
      <c r="G24" s="741">
        <v>0</v>
      </c>
      <c r="H24" s="723">
        <v>0</v>
      </c>
      <c r="I24" s="723">
        <v>931296.08760000009</v>
      </c>
      <c r="J24" s="741">
        <v>931296.08760000009</v>
      </c>
      <c r="K24" s="741">
        <v>0</v>
      </c>
      <c r="L24" s="741">
        <v>0</v>
      </c>
      <c r="M24" s="741">
        <v>0</v>
      </c>
      <c r="N24" s="741">
        <v>0</v>
      </c>
      <c r="O24" s="723"/>
    </row>
    <row r="25" spans="1:15">
      <c r="A25" s="427">
        <v>19</v>
      </c>
      <c r="B25" s="435" t="s">
        <v>713</v>
      </c>
      <c r="C25" s="738">
        <v>4797972.17</v>
      </c>
      <c r="D25" s="723">
        <v>4797972.17</v>
      </c>
      <c r="E25" s="723">
        <v>0</v>
      </c>
      <c r="F25" s="741">
        <v>0</v>
      </c>
      <c r="G25" s="741">
        <v>0</v>
      </c>
      <c r="H25" s="723">
        <v>0</v>
      </c>
      <c r="I25" s="723">
        <v>95959.443400000004</v>
      </c>
      <c r="J25" s="741">
        <v>95959.443400000004</v>
      </c>
      <c r="K25" s="741">
        <v>0</v>
      </c>
      <c r="L25" s="741">
        <v>0</v>
      </c>
      <c r="M25" s="741">
        <v>0</v>
      </c>
      <c r="N25" s="741">
        <v>0</v>
      </c>
      <c r="O25" s="723"/>
    </row>
    <row r="26" spans="1:15">
      <c r="A26" s="427">
        <v>20</v>
      </c>
      <c r="B26" s="435" t="s">
        <v>714</v>
      </c>
      <c r="C26" s="738">
        <v>10203602.039999999</v>
      </c>
      <c r="D26" s="723">
        <v>10163633.91</v>
      </c>
      <c r="E26" s="723">
        <v>0</v>
      </c>
      <c r="F26" s="741">
        <v>1550</v>
      </c>
      <c r="G26" s="741">
        <v>7908.3600000000006</v>
      </c>
      <c r="H26" s="723">
        <v>30509.77</v>
      </c>
      <c r="I26" s="723">
        <v>238201.62820000001</v>
      </c>
      <c r="J26" s="741">
        <v>203272.67819999999</v>
      </c>
      <c r="K26" s="741">
        <v>0</v>
      </c>
      <c r="L26" s="741">
        <v>465</v>
      </c>
      <c r="M26" s="741">
        <v>3954.1800000000003</v>
      </c>
      <c r="N26" s="741">
        <v>30509.77</v>
      </c>
      <c r="O26" s="723"/>
    </row>
    <row r="27" spans="1:15">
      <c r="A27" s="427">
        <v>21</v>
      </c>
      <c r="B27" s="435" t="s">
        <v>715</v>
      </c>
      <c r="C27" s="738">
        <v>75552.62</v>
      </c>
      <c r="D27" s="723">
        <v>0</v>
      </c>
      <c r="E27" s="723">
        <v>0</v>
      </c>
      <c r="F27" s="741">
        <v>75552.62</v>
      </c>
      <c r="G27" s="741">
        <v>0</v>
      </c>
      <c r="H27" s="723">
        <v>0</v>
      </c>
      <c r="I27" s="723">
        <v>22665.786</v>
      </c>
      <c r="J27" s="741">
        <v>0</v>
      </c>
      <c r="K27" s="741">
        <v>0</v>
      </c>
      <c r="L27" s="741">
        <v>22665.786</v>
      </c>
      <c r="M27" s="741">
        <v>0</v>
      </c>
      <c r="N27" s="741">
        <v>0</v>
      </c>
      <c r="O27" s="723"/>
    </row>
    <row r="28" spans="1:15">
      <c r="A28" s="427">
        <v>22</v>
      </c>
      <c r="B28" s="435" t="s">
        <v>716</v>
      </c>
      <c r="C28" s="738">
        <v>4200000</v>
      </c>
      <c r="D28" s="723">
        <v>4200000</v>
      </c>
      <c r="E28" s="723">
        <v>0</v>
      </c>
      <c r="F28" s="741">
        <v>0</v>
      </c>
      <c r="G28" s="741">
        <v>0</v>
      </c>
      <c r="H28" s="723">
        <v>0</v>
      </c>
      <c r="I28" s="723">
        <v>84000</v>
      </c>
      <c r="J28" s="741">
        <v>84000</v>
      </c>
      <c r="K28" s="741">
        <v>0</v>
      </c>
      <c r="L28" s="741">
        <v>0</v>
      </c>
      <c r="M28" s="741">
        <v>0</v>
      </c>
      <c r="N28" s="741">
        <v>0</v>
      </c>
      <c r="O28" s="723"/>
    </row>
    <row r="29" spans="1:15">
      <c r="A29" s="427">
        <v>23</v>
      </c>
      <c r="B29" s="435" t="s">
        <v>717</v>
      </c>
      <c r="C29" s="738">
        <v>25929402.910000004</v>
      </c>
      <c r="D29" s="723">
        <v>25885758.670000002</v>
      </c>
      <c r="E29" s="723">
        <v>0</v>
      </c>
      <c r="F29" s="741">
        <v>0</v>
      </c>
      <c r="G29" s="741">
        <v>0</v>
      </c>
      <c r="H29" s="723">
        <v>43644.240000000005</v>
      </c>
      <c r="I29" s="723">
        <v>561359.41339999996</v>
      </c>
      <c r="J29" s="741">
        <v>517715.17339999997</v>
      </c>
      <c r="K29" s="741">
        <v>0</v>
      </c>
      <c r="L29" s="741">
        <v>0</v>
      </c>
      <c r="M29" s="741">
        <v>0</v>
      </c>
      <c r="N29" s="741">
        <v>43644.240000000005</v>
      </c>
      <c r="O29" s="723"/>
    </row>
    <row r="30" spans="1:15">
      <c r="A30" s="427">
        <v>24</v>
      </c>
      <c r="B30" s="435" t="s">
        <v>718</v>
      </c>
      <c r="C30" s="738">
        <v>69407.929999999993</v>
      </c>
      <c r="D30" s="723">
        <v>69407.929999999993</v>
      </c>
      <c r="E30" s="723">
        <v>0</v>
      </c>
      <c r="F30" s="741">
        <v>0</v>
      </c>
      <c r="G30" s="741">
        <v>0</v>
      </c>
      <c r="H30" s="723">
        <v>0</v>
      </c>
      <c r="I30" s="723">
        <v>1388.1585999999998</v>
      </c>
      <c r="J30" s="741">
        <v>1388.1585999999998</v>
      </c>
      <c r="K30" s="741">
        <v>0</v>
      </c>
      <c r="L30" s="741">
        <v>0</v>
      </c>
      <c r="M30" s="741">
        <v>0</v>
      </c>
      <c r="N30" s="741">
        <v>0</v>
      </c>
      <c r="O30" s="723"/>
    </row>
    <row r="31" spans="1:15">
      <c r="A31" s="427">
        <v>25</v>
      </c>
      <c r="B31" s="435" t="s">
        <v>719</v>
      </c>
      <c r="C31" s="738">
        <v>372466.44000000006</v>
      </c>
      <c r="D31" s="723">
        <v>178278.31</v>
      </c>
      <c r="E31" s="723">
        <v>0</v>
      </c>
      <c r="F31" s="741">
        <v>0</v>
      </c>
      <c r="G31" s="741">
        <v>1495.86</v>
      </c>
      <c r="H31" s="723">
        <v>192692.27000000002</v>
      </c>
      <c r="I31" s="723">
        <v>197005.76620000001</v>
      </c>
      <c r="J31" s="741">
        <v>3565.5662000000002</v>
      </c>
      <c r="K31" s="741">
        <v>0</v>
      </c>
      <c r="L31" s="741">
        <v>0</v>
      </c>
      <c r="M31" s="741">
        <v>747.93</v>
      </c>
      <c r="N31" s="741">
        <v>192692.27000000002</v>
      </c>
      <c r="O31" s="723"/>
    </row>
    <row r="32" spans="1:15">
      <c r="A32" s="427">
        <v>26</v>
      </c>
      <c r="B32" s="435" t="s">
        <v>821</v>
      </c>
      <c r="C32" s="738">
        <v>0</v>
      </c>
      <c r="D32" s="723">
        <v>0</v>
      </c>
      <c r="E32" s="723">
        <v>0</v>
      </c>
      <c r="F32" s="741">
        <v>0</v>
      </c>
      <c r="G32" s="741">
        <v>0</v>
      </c>
      <c r="H32" s="723">
        <v>0</v>
      </c>
      <c r="I32" s="723">
        <v>0</v>
      </c>
      <c r="J32" s="741">
        <v>0</v>
      </c>
      <c r="K32" s="741">
        <v>0</v>
      </c>
      <c r="L32" s="741">
        <v>0</v>
      </c>
      <c r="M32" s="741">
        <v>0</v>
      </c>
      <c r="N32" s="741">
        <v>0</v>
      </c>
      <c r="O32" s="723"/>
    </row>
    <row r="33" spans="1:15">
      <c r="A33" s="427">
        <v>27</v>
      </c>
      <c r="B33" s="474" t="s">
        <v>68</v>
      </c>
      <c r="C33" s="742">
        <f>SUM(C7:C32)</f>
        <v>277509783.53999996</v>
      </c>
      <c r="D33" s="742">
        <f t="shared" ref="D33:N33" si="0">SUM(D7:D32)</f>
        <v>259896940.50999999</v>
      </c>
      <c r="E33" s="742">
        <f t="shared" si="0"/>
        <v>9769021.709999999</v>
      </c>
      <c r="F33" s="742">
        <f t="shared" si="0"/>
        <v>7069425.3799999999</v>
      </c>
      <c r="G33" s="742">
        <f t="shared" si="0"/>
        <v>43234.630000000005</v>
      </c>
      <c r="H33" s="742">
        <f t="shared" si="0"/>
        <v>731161.31</v>
      </c>
      <c r="I33" s="742">
        <f t="shared" si="0"/>
        <v>8585820.948400002</v>
      </c>
      <c r="J33" s="742">
        <f t="shared" si="0"/>
        <v>4735312.5384</v>
      </c>
      <c r="K33" s="742">
        <f t="shared" si="0"/>
        <v>976902.17100000009</v>
      </c>
      <c r="L33" s="742">
        <f t="shared" si="0"/>
        <v>2120827.6140000001</v>
      </c>
      <c r="M33" s="742">
        <f t="shared" si="0"/>
        <v>21617.315000000002</v>
      </c>
      <c r="N33" s="742">
        <f t="shared" si="0"/>
        <v>731161.31</v>
      </c>
      <c r="O33" s="742">
        <v>0</v>
      </c>
    </row>
    <row r="34" spans="1:15">
      <c r="A34" s="436"/>
      <c r="B34" s="436"/>
      <c r="C34" s="436"/>
      <c r="D34" s="436"/>
      <c r="E34" s="436"/>
      <c r="H34" s="436"/>
      <c r="I34" s="436"/>
      <c r="O34" s="436"/>
    </row>
    <row r="35" spans="1:15">
      <c r="A35" s="436"/>
      <c r="B35" s="438"/>
      <c r="C35" s="438"/>
      <c r="D35" s="436"/>
      <c r="E35" s="436"/>
      <c r="H35" s="436"/>
      <c r="I35" s="436"/>
      <c r="O35" s="436"/>
    </row>
    <row r="36" spans="1:15">
      <c r="A36" s="436"/>
      <c r="B36" s="436"/>
      <c r="C36" s="436"/>
      <c r="D36" s="436"/>
      <c r="E36" s="436"/>
      <c r="H36" s="436"/>
      <c r="I36" s="436"/>
      <c r="O36" s="436"/>
    </row>
    <row r="37" spans="1:15">
      <c r="A37" s="436"/>
      <c r="B37" s="436"/>
      <c r="C37" s="436"/>
      <c r="D37" s="436"/>
      <c r="E37" s="436"/>
      <c r="H37" s="436"/>
      <c r="I37" s="436"/>
      <c r="O37" s="436"/>
    </row>
    <row r="38" spans="1:15">
      <c r="A38" s="436"/>
      <c r="B38" s="436"/>
      <c r="C38" s="436"/>
      <c r="D38" s="436"/>
      <c r="E38" s="436"/>
      <c r="H38" s="436"/>
      <c r="I38" s="436"/>
      <c r="O38" s="436"/>
    </row>
    <row r="39" spans="1:15">
      <c r="A39" s="436"/>
      <c r="B39" s="436"/>
      <c r="C39" s="436"/>
      <c r="D39" s="436"/>
      <c r="E39" s="436"/>
      <c r="H39" s="436"/>
      <c r="I39" s="436"/>
      <c r="O39" s="436"/>
    </row>
    <row r="40" spans="1:15">
      <c r="A40" s="436"/>
      <c r="B40" s="436"/>
      <c r="C40" s="436"/>
      <c r="D40" s="436"/>
      <c r="E40" s="436"/>
      <c r="H40" s="436"/>
      <c r="I40" s="436"/>
      <c r="O40" s="436"/>
    </row>
    <row r="41" spans="1:15">
      <c r="A41" s="439"/>
      <c r="B41" s="439"/>
      <c r="C41" s="439"/>
      <c r="D41" s="436"/>
      <c r="E41" s="436"/>
      <c r="H41" s="436"/>
      <c r="I41" s="436"/>
      <c r="O41" s="436"/>
    </row>
    <row r="42" spans="1:15">
      <c r="A42" s="439"/>
      <c r="B42" s="439"/>
      <c r="C42" s="439"/>
      <c r="D42" s="436"/>
      <c r="E42" s="436"/>
      <c r="H42" s="436"/>
      <c r="I42" s="436"/>
      <c r="O42" s="436"/>
    </row>
    <row r="43" spans="1:15">
      <c r="A43" s="436"/>
      <c r="B43" s="440"/>
      <c r="C43" s="440"/>
      <c r="D43" s="436"/>
      <c r="E43" s="436"/>
      <c r="H43" s="436"/>
      <c r="I43" s="436"/>
      <c r="O43" s="436"/>
    </row>
    <row r="44" spans="1:15">
      <c r="A44" s="436"/>
      <c r="B44" s="440"/>
      <c r="C44" s="440"/>
      <c r="D44" s="436"/>
      <c r="E44" s="436"/>
      <c r="H44" s="436"/>
      <c r="I44" s="436"/>
      <c r="O44" s="436"/>
    </row>
    <row r="45" spans="1:15">
      <c r="A45" s="436"/>
      <c r="B45" s="440"/>
      <c r="C45" s="440"/>
      <c r="D45" s="436"/>
      <c r="E45" s="436"/>
      <c r="H45" s="436"/>
      <c r="I45" s="436"/>
      <c r="O45" s="436"/>
    </row>
    <row r="46" spans="1:15">
      <c r="A46" s="436"/>
      <c r="B46" s="436"/>
      <c r="C46" s="436"/>
      <c r="D46" s="436"/>
      <c r="E46" s="436"/>
      <c r="H46" s="436"/>
      <c r="I46" s="436"/>
      <c r="O46" s="436"/>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7109375" defaultRowHeight="12"/>
  <cols>
    <col min="1" max="1" width="11.85546875" style="476" bestFit="1" customWidth="1"/>
    <col min="2" max="2" width="56.140625" style="476" bestFit="1" customWidth="1"/>
    <col min="3" max="3" width="18.28515625" style="476" bestFit="1" customWidth="1"/>
    <col min="4" max="4" width="25.7109375" style="476" bestFit="1" customWidth="1"/>
    <col min="5" max="5" width="23" style="476" bestFit="1" customWidth="1"/>
    <col min="6" max="6" width="25.140625" style="476" bestFit="1" customWidth="1"/>
    <col min="7" max="7" width="18.28515625" style="476" bestFit="1" customWidth="1"/>
    <col min="8" max="8" width="25.5703125" style="476" bestFit="1" customWidth="1"/>
    <col min="9" max="9" width="22.5703125" style="476" bestFit="1" customWidth="1"/>
    <col min="10" max="10" width="18.28515625" style="476" bestFit="1" customWidth="1"/>
    <col min="11" max="11" width="21.140625" style="476" bestFit="1" customWidth="1"/>
    <col min="12" max="16384" width="8.7109375" style="476"/>
  </cols>
  <sheetData>
    <row r="1" spans="1:11" s="413" customFormat="1" ht="15">
      <c r="A1" s="527" t="s">
        <v>188</v>
      </c>
      <c r="B1" s="528" t="s">
        <v>954</v>
      </c>
    </row>
    <row r="2" spans="1:11" s="413" customFormat="1" ht="15">
      <c r="A2" s="527" t="s">
        <v>189</v>
      </c>
      <c r="B2" s="529">
        <f>'1. key ratios'!B2</f>
        <v>44834</v>
      </c>
    </row>
    <row r="3" spans="1:11" s="413" customFormat="1" ht="12.75">
      <c r="A3" s="415" t="s">
        <v>822</v>
      </c>
      <c r="B3" s="416"/>
    </row>
    <row r="4" spans="1:11">
      <c r="C4" s="477" t="s">
        <v>672</v>
      </c>
      <c r="D4" s="477" t="s">
        <v>673</v>
      </c>
      <c r="E4" s="477" t="s">
        <v>674</v>
      </c>
      <c r="F4" s="477" t="s">
        <v>675</v>
      </c>
      <c r="G4" s="477" t="s">
        <v>676</v>
      </c>
      <c r="H4" s="477" t="s">
        <v>677</v>
      </c>
      <c r="I4" s="477" t="s">
        <v>678</v>
      </c>
      <c r="J4" s="477" t="s">
        <v>679</v>
      </c>
      <c r="K4" s="477" t="s">
        <v>680</v>
      </c>
    </row>
    <row r="5" spans="1:11" ht="104.1" customHeight="1">
      <c r="A5" s="874" t="s">
        <v>1028</v>
      </c>
      <c r="B5" s="875"/>
      <c r="C5" s="417" t="s">
        <v>823</v>
      </c>
      <c r="D5" s="417" t="s">
        <v>810</v>
      </c>
      <c r="E5" s="417" t="s">
        <v>811</v>
      </c>
      <c r="F5" s="417" t="s">
        <v>824</v>
      </c>
      <c r="G5" s="417" t="s">
        <v>825</v>
      </c>
      <c r="H5" s="417" t="s">
        <v>826</v>
      </c>
      <c r="I5" s="417" t="s">
        <v>827</v>
      </c>
      <c r="J5" s="417" t="s">
        <v>828</v>
      </c>
      <c r="K5" s="417" t="s">
        <v>829</v>
      </c>
    </row>
    <row r="6" spans="1:11" ht="12.75">
      <c r="A6" s="427">
        <v>1</v>
      </c>
      <c r="B6" s="427" t="s">
        <v>830</v>
      </c>
      <c r="C6" s="723">
        <v>7178107.5480760001</v>
      </c>
      <c r="D6" s="723">
        <v>0</v>
      </c>
      <c r="E6" s="723">
        <v>0</v>
      </c>
      <c r="F6" s="723">
        <v>0</v>
      </c>
      <c r="G6" s="723">
        <v>106565342.76309578</v>
      </c>
      <c r="H6" s="723">
        <v>0</v>
      </c>
      <c r="I6" s="723">
        <v>30579645.064967256</v>
      </c>
      <c r="J6" s="723">
        <v>77392224.473613843</v>
      </c>
      <c r="K6" s="723">
        <v>55794463.690247193</v>
      </c>
    </row>
    <row r="7" spans="1:11" ht="12.75">
      <c r="A7" s="427">
        <v>2</v>
      </c>
      <c r="B7" s="428" t="s">
        <v>831</v>
      </c>
      <c r="C7" s="723">
        <v>0</v>
      </c>
      <c r="D7" s="723">
        <v>0</v>
      </c>
      <c r="E7" s="723">
        <v>0</v>
      </c>
      <c r="F7" s="723">
        <v>0</v>
      </c>
      <c r="G7" s="723">
        <v>0</v>
      </c>
      <c r="H7" s="723">
        <v>0</v>
      </c>
      <c r="I7" s="723">
        <v>0</v>
      </c>
      <c r="J7" s="723">
        <v>0</v>
      </c>
      <c r="K7" s="723">
        <v>24921551.534882009</v>
      </c>
    </row>
    <row r="8" spans="1:11" ht="12.75">
      <c r="A8" s="427">
        <v>3</v>
      </c>
      <c r="B8" s="428" t="s">
        <v>782</v>
      </c>
      <c r="C8" s="723">
        <v>473673.97326799994</v>
      </c>
      <c r="D8" s="723"/>
      <c r="E8" s="723">
        <v>0</v>
      </c>
      <c r="F8" s="723">
        <v>0</v>
      </c>
      <c r="G8" s="723">
        <v>15050802.446725501</v>
      </c>
      <c r="H8" s="723">
        <v>0</v>
      </c>
      <c r="I8" s="723">
        <v>199253.06298637137</v>
      </c>
      <c r="J8" s="723">
        <v>11665984.447020127</v>
      </c>
      <c r="K8" s="723">
        <v>90155878.968066007</v>
      </c>
    </row>
    <row r="9" spans="1:11" ht="12.75">
      <c r="A9" s="427">
        <v>4</v>
      </c>
      <c r="B9" s="457" t="s">
        <v>832</v>
      </c>
      <c r="C9" s="723">
        <v>0</v>
      </c>
      <c r="D9" s="723"/>
      <c r="E9" s="723">
        <v>0</v>
      </c>
      <c r="F9" s="723">
        <v>0</v>
      </c>
      <c r="G9" s="723">
        <v>7197948.7700000014</v>
      </c>
      <c r="H9" s="723">
        <v>0</v>
      </c>
      <c r="I9" s="723">
        <v>0</v>
      </c>
      <c r="J9" s="723">
        <v>491774.20000000007</v>
      </c>
      <c r="K9" s="723">
        <v>154098.34999999998</v>
      </c>
    </row>
    <row r="10" spans="1:11" ht="12.75">
      <c r="A10" s="427">
        <v>5</v>
      </c>
      <c r="B10" s="478" t="s">
        <v>833</v>
      </c>
      <c r="C10" s="723"/>
      <c r="D10" s="723"/>
      <c r="E10" s="723"/>
      <c r="F10" s="723"/>
      <c r="G10" s="723"/>
      <c r="H10" s="723"/>
      <c r="I10" s="723"/>
      <c r="J10" s="723"/>
      <c r="K10" s="723"/>
    </row>
    <row r="11" spans="1:11" ht="12.75">
      <c r="A11" s="427">
        <v>6</v>
      </c>
      <c r="B11" s="478" t="s">
        <v>834</v>
      </c>
      <c r="C11" s="723"/>
      <c r="D11" s="723"/>
      <c r="E11" s="723"/>
      <c r="F11" s="723"/>
      <c r="G11" s="723"/>
      <c r="H11" s="723"/>
      <c r="I11" s="723"/>
      <c r="J11" s="723"/>
      <c r="K11" s="723"/>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showGridLines="0" zoomScale="90" zoomScaleNormal="90" workbookViewId="0">
      <selection activeCell="A5" sqref="A5:B6"/>
    </sheetView>
  </sheetViews>
  <sheetFormatPr defaultRowHeight="15"/>
  <cols>
    <col min="1" max="1" width="10" bestFit="1" customWidth="1"/>
    <col min="2" max="2" width="71.7109375" customWidth="1"/>
    <col min="3" max="3" width="10.5703125" bestFit="1" customWidth="1"/>
    <col min="4" max="4" width="13.140625" bestFit="1" customWidth="1"/>
    <col min="5" max="5" width="12.28515625" bestFit="1" customWidth="1"/>
    <col min="6" max="6" width="16.140625" bestFit="1" customWidth="1"/>
    <col min="7" max="7" width="7.28515625" bestFit="1" customWidth="1"/>
    <col min="8" max="8" width="8.28515625" bestFit="1" customWidth="1"/>
    <col min="9" max="9" width="10.5703125" bestFit="1" customWidth="1"/>
    <col min="10" max="10" width="13.140625" bestFit="1" customWidth="1"/>
    <col min="11" max="11" width="12.28515625" bestFit="1" customWidth="1"/>
    <col min="12" max="12" width="16.140625" bestFit="1" customWidth="1"/>
    <col min="13" max="13" width="7.28515625" bestFit="1" customWidth="1"/>
    <col min="14" max="14" width="8.28515625" bestFit="1"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ht="15.75">
      <c r="A1" s="527" t="s">
        <v>188</v>
      </c>
      <c r="B1" s="528" t="s">
        <v>954</v>
      </c>
    </row>
    <row r="2" spans="1:19" ht="15.75">
      <c r="A2" s="527" t="s">
        <v>189</v>
      </c>
      <c r="B2" s="529">
        <f>'1. key ratios'!B2</f>
        <v>44834</v>
      </c>
    </row>
    <row r="3" spans="1:19">
      <c r="A3" s="415" t="s">
        <v>974</v>
      </c>
      <c r="B3" s="413"/>
    </row>
    <row r="4" spans="1:19">
      <c r="A4" s="415"/>
      <c r="B4" s="413"/>
    </row>
    <row r="5" spans="1:19" ht="24" customHeight="1">
      <c r="A5" s="877" t="s">
        <v>975</v>
      </c>
      <c r="B5" s="877"/>
      <c r="C5" s="878" t="s">
        <v>785</v>
      </c>
      <c r="D5" s="878"/>
      <c r="E5" s="878"/>
      <c r="F5" s="878"/>
      <c r="G5" s="878"/>
      <c r="H5" s="878"/>
      <c r="I5" s="878" t="s">
        <v>976</v>
      </c>
      <c r="J5" s="878"/>
      <c r="K5" s="878"/>
      <c r="L5" s="878"/>
      <c r="M5" s="878"/>
      <c r="N5" s="878"/>
      <c r="O5" s="876" t="s">
        <v>977</v>
      </c>
      <c r="P5" s="876" t="s">
        <v>978</v>
      </c>
      <c r="Q5" s="876" t="s">
        <v>979</v>
      </c>
      <c r="R5" s="876" t="s">
        <v>980</v>
      </c>
      <c r="S5" s="876" t="s">
        <v>981</v>
      </c>
    </row>
    <row r="6" spans="1:19" ht="36" customHeight="1">
      <c r="A6" s="877"/>
      <c r="B6" s="877"/>
      <c r="C6" s="744"/>
      <c r="D6" s="473" t="s">
        <v>816</v>
      </c>
      <c r="E6" s="473" t="s">
        <v>817</v>
      </c>
      <c r="F6" s="473" t="s">
        <v>818</v>
      </c>
      <c r="G6" s="473" t="s">
        <v>819</v>
      </c>
      <c r="H6" s="473" t="s">
        <v>820</v>
      </c>
      <c r="I6" s="744"/>
      <c r="J6" s="473" t="s">
        <v>816</v>
      </c>
      <c r="K6" s="473" t="s">
        <v>817</v>
      </c>
      <c r="L6" s="473" t="s">
        <v>818</v>
      </c>
      <c r="M6" s="473" t="s">
        <v>819</v>
      </c>
      <c r="N6" s="473" t="s">
        <v>820</v>
      </c>
      <c r="O6" s="876"/>
      <c r="P6" s="876"/>
      <c r="Q6" s="876"/>
      <c r="R6" s="876"/>
      <c r="S6" s="876"/>
    </row>
    <row r="7" spans="1:19">
      <c r="A7" s="745">
        <v>1</v>
      </c>
      <c r="B7" s="746" t="s">
        <v>982</v>
      </c>
      <c r="C7" s="762">
        <v>0</v>
      </c>
      <c r="D7" s="762">
        <v>0</v>
      </c>
      <c r="E7" s="762">
        <v>0</v>
      </c>
      <c r="F7" s="762">
        <v>0</v>
      </c>
      <c r="G7" s="762">
        <v>0</v>
      </c>
      <c r="H7" s="762">
        <v>0</v>
      </c>
      <c r="I7" s="762">
        <v>0</v>
      </c>
      <c r="J7" s="762">
        <v>0</v>
      </c>
      <c r="K7" s="762">
        <v>0</v>
      </c>
      <c r="L7" s="762">
        <v>0</v>
      </c>
      <c r="M7" s="762">
        <v>0</v>
      </c>
      <c r="N7" s="762">
        <v>0</v>
      </c>
      <c r="O7" s="763">
        <v>0</v>
      </c>
      <c r="P7" s="764">
        <v>0</v>
      </c>
      <c r="Q7" s="764">
        <v>0</v>
      </c>
      <c r="R7" s="764">
        <v>0</v>
      </c>
      <c r="S7" s="765">
        <v>0</v>
      </c>
    </row>
    <row r="8" spans="1:19">
      <c r="A8" s="745">
        <v>2</v>
      </c>
      <c r="B8" s="748" t="s">
        <v>983</v>
      </c>
      <c r="C8" s="762">
        <v>4295625.8099999996</v>
      </c>
      <c r="D8" s="762">
        <v>3961844.5500000003</v>
      </c>
      <c r="E8" s="762">
        <v>4299.42</v>
      </c>
      <c r="F8" s="762">
        <v>26369.73</v>
      </c>
      <c r="G8" s="762">
        <v>42834.630000000005</v>
      </c>
      <c r="H8" s="762">
        <v>260277.47999999995</v>
      </c>
      <c r="I8" s="762">
        <v>368062.92899999995</v>
      </c>
      <c r="J8" s="762">
        <v>78027.273000000001</v>
      </c>
      <c r="K8" s="762">
        <v>429.94199999999995</v>
      </c>
      <c r="L8" s="762">
        <v>7910.9190000000008</v>
      </c>
      <c r="M8" s="762">
        <v>21417.315000000002</v>
      </c>
      <c r="N8" s="762">
        <v>260277.47999999995</v>
      </c>
      <c r="O8" s="763">
        <v>141</v>
      </c>
      <c r="P8" s="764">
        <v>8.8489189560387177E-2</v>
      </c>
      <c r="Q8" s="764">
        <v>0.10877610113523652</v>
      </c>
      <c r="R8" s="764">
        <v>0.11662756074833602</v>
      </c>
      <c r="S8" s="765">
        <v>43.889052887499986</v>
      </c>
    </row>
    <row r="9" spans="1:19">
      <c r="A9" s="745">
        <v>3</v>
      </c>
      <c r="B9" s="748" t="s">
        <v>984</v>
      </c>
      <c r="C9" s="762">
        <v>0</v>
      </c>
      <c r="D9" s="762">
        <v>0</v>
      </c>
      <c r="E9" s="762">
        <v>0</v>
      </c>
      <c r="F9" s="762">
        <v>0</v>
      </c>
      <c r="G9" s="762">
        <v>0</v>
      </c>
      <c r="H9" s="762">
        <v>0</v>
      </c>
      <c r="I9" s="762">
        <v>0</v>
      </c>
      <c r="J9" s="762">
        <v>0</v>
      </c>
      <c r="K9" s="762">
        <v>0</v>
      </c>
      <c r="L9" s="762">
        <v>0</v>
      </c>
      <c r="M9" s="762">
        <v>0</v>
      </c>
      <c r="N9" s="762">
        <v>0</v>
      </c>
      <c r="O9" s="763">
        <v>0</v>
      </c>
      <c r="P9" s="764">
        <v>0</v>
      </c>
      <c r="Q9" s="764">
        <v>0</v>
      </c>
      <c r="R9" s="764">
        <v>0</v>
      </c>
      <c r="S9" s="765">
        <v>0</v>
      </c>
    </row>
    <row r="10" spans="1:19">
      <c r="A10" s="745">
        <v>4</v>
      </c>
      <c r="B10" s="748" t="s">
        <v>985</v>
      </c>
      <c r="C10" s="762">
        <v>0</v>
      </c>
      <c r="D10" s="762">
        <v>0</v>
      </c>
      <c r="E10" s="762">
        <v>0</v>
      </c>
      <c r="F10" s="762">
        <v>0</v>
      </c>
      <c r="G10" s="762">
        <v>0</v>
      </c>
      <c r="H10" s="762">
        <v>0</v>
      </c>
      <c r="I10" s="762">
        <v>0</v>
      </c>
      <c r="J10" s="762">
        <v>0</v>
      </c>
      <c r="K10" s="762">
        <v>0</v>
      </c>
      <c r="L10" s="762">
        <v>0</v>
      </c>
      <c r="M10" s="762">
        <v>0</v>
      </c>
      <c r="N10" s="762">
        <v>0</v>
      </c>
      <c r="O10" s="763">
        <v>0</v>
      </c>
      <c r="P10" s="764">
        <v>0</v>
      </c>
      <c r="Q10" s="764">
        <v>0</v>
      </c>
      <c r="R10" s="764">
        <v>0</v>
      </c>
      <c r="S10" s="765">
        <v>0</v>
      </c>
    </row>
    <row r="11" spans="1:19">
      <c r="A11" s="745">
        <v>5</v>
      </c>
      <c r="B11" s="748" t="s">
        <v>986</v>
      </c>
      <c r="C11" s="762">
        <v>29351.180000000004</v>
      </c>
      <c r="D11" s="762">
        <v>23661.180000000004</v>
      </c>
      <c r="E11" s="762">
        <v>0</v>
      </c>
      <c r="F11" s="762">
        <v>1550</v>
      </c>
      <c r="G11" s="762">
        <v>400</v>
      </c>
      <c r="H11" s="762">
        <v>3740</v>
      </c>
      <c r="I11" s="762">
        <v>4878.2236000000003</v>
      </c>
      <c r="J11" s="762">
        <v>473.22359999999998</v>
      </c>
      <c r="K11" s="762">
        <v>0</v>
      </c>
      <c r="L11" s="762">
        <v>465</v>
      </c>
      <c r="M11" s="762">
        <v>200</v>
      </c>
      <c r="N11" s="762">
        <v>3740</v>
      </c>
      <c r="O11" s="763">
        <v>42</v>
      </c>
      <c r="P11" s="764">
        <v>0.13302374214597162</v>
      </c>
      <c r="Q11" s="764">
        <v>0.2193910849052319</v>
      </c>
      <c r="R11" s="764">
        <v>0.13302374214597162</v>
      </c>
      <c r="S11" s="765">
        <v>0</v>
      </c>
    </row>
    <row r="12" spans="1:19">
      <c r="A12" s="745">
        <v>6</v>
      </c>
      <c r="B12" s="748" t="s">
        <v>987</v>
      </c>
      <c r="C12" s="762">
        <v>0</v>
      </c>
      <c r="D12" s="762">
        <v>0</v>
      </c>
      <c r="E12" s="762">
        <v>0</v>
      </c>
      <c r="F12" s="762">
        <v>0</v>
      </c>
      <c r="G12" s="762">
        <v>0</v>
      </c>
      <c r="H12" s="762">
        <v>0</v>
      </c>
      <c r="I12" s="762">
        <v>0</v>
      </c>
      <c r="J12" s="762">
        <v>0</v>
      </c>
      <c r="K12" s="762">
        <v>0</v>
      </c>
      <c r="L12" s="762">
        <v>0</v>
      </c>
      <c r="M12" s="762">
        <v>0</v>
      </c>
      <c r="N12" s="762">
        <v>0</v>
      </c>
      <c r="O12" s="763">
        <v>0</v>
      </c>
      <c r="P12" s="764">
        <v>0</v>
      </c>
      <c r="Q12" s="764">
        <v>0</v>
      </c>
      <c r="R12" s="764">
        <v>0</v>
      </c>
      <c r="S12" s="765">
        <v>0</v>
      </c>
    </row>
    <row r="13" spans="1:19">
      <c r="A13" s="745">
        <v>7</v>
      </c>
      <c r="B13" s="748" t="s">
        <v>988</v>
      </c>
      <c r="C13" s="762">
        <f>SUM(C14:C16)</f>
        <v>3566579.2699999996</v>
      </c>
      <c r="D13" s="762">
        <f t="shared" ref="D13:O13" si="0">SUM(D14:D16)</f>
        <v>3359561.6999999993</v>
      </c>
      <c r="E13" s="762">
        <f t="shared" si="0"/>
        <v>0</v>
      </c>
      <c r="F13" s="762">
        <f t="shared" si="0"/>
        <v>131515.80000000002</v>
      </c>
      <c r="G13" s="762">
        <f t="shared" si="0"/>
        <v>0</v>
      </c>
      <c r="H13" s="762">
        <f t="shared" si="0"/>
        <v>75501.76999999999</v>
      </c>
      <c r="I13" s="762">
        <f t="shared" si="0"/>
        <v>182147.74400000001</v>
      </c>
      <c r="J13" s="762">
        <f t="shared" si="0"/>
        <v>67191.233999999997</v>
      </c>
      <c r="K13" s="762">
        <f t="shared" si="0"/>
        <v>0</v>
      </c>
      <c r="L13" s="762">
        <f t="shared" si="0"/>
        <v>39454.740000000005</v>
      </c>
      <c r="M13" s="762">
        <f t="shared" si="0"/>
        <v>0</v>
      </c>
      <c r="N13" s="762">
        <f t="shared" si="0"/>
        <v>75501.76999999999</v>
      </c>
      <c r="O13" s="762">
        <f t="shared" si="0"/>
        <v>33</v>
      </c>
      <c r="P13" s="764">
        <v>9.8644347271627172E-2</v>
      </c>
      <c r="Q13" s="764">
        <v>0.1162</v>
      </c>
      <c r="R13" s="764">
        <v>0.12870712654230235</v>
      </c>
      <c r="S13" s="765">
        <v>91.449895484868918</v>
      </c>
    </row>
    <row r="14" spans="1:19">
      <c r="A14" s="749">
        <v>7.1</v>
      </c>
      <c r="B14" s="750" t="s">
        <v>989</v>
      </c>
      <c r="C14" s="766">
        <v>2614979.1899999995</v>
      </c>
      <c r="D14" s="766">
        <v>2464874.0399999996</v>
      </c>
      <c r="E14" s="766">
        <v>0</v>
      </c>
      <c r="F14" s="766">
        <v>131515.80000000002</v>
      </c>
      <c r="G14" s="766">
        <v>0</v>
      </c>
      <c r="H14" s="766">
        <v>18589.349999999995</v>
      </c>
      <c r="I14" s="766">
        <v>107341.5708</v>
      </c>
      <c r="J14" s="766">
        <v>49297.480800000005</v>
      </c>
      <c r="K14" s="766">
        <v>0</v>
      </c>
      <c r="L14" s="766">
        <v>39454.740000000005</v>
      </c>
      <c r="M14" s="766">
        <v>0</v>
      </c>
      <c r="N14" s="766">
        <v>18589.349999999995</v>
      </c>
      <c r="O14" s="765">
        <v>25</v>
      </c>
      <c r="P14" s="764">
        <v>9.8644347271627172E-2</v>
      </c>
      <c r="Q14" s="764">
        <v>0.1162</v>
      </c>
      <c r="R14" s="764">
        <v>0.13482407979868125</v>
      </c>
      <c r="S14" s="765">
        <v>79.926655884250678</v>
      </c>
    </row>
    <row r="15" spans="1:19" ht="25.5">
      <c r="A15" s="749">
        <v>7.2</v>
      </c>
      <c r="B15" s="750" t="s">
        <v>990</v>
      </c>
      <c r="C15" s="766">
        <v>951600.08</v>
      </c>
      <c r="D15" s="766">
        <v>894687.65999999992</v>
      </c>
      <c r="E15" s="766">
        <v>0</v>
      </c>
      <c r="F15" s="766">
        <v>0</v>
      </c>
      <c r="G15" s="766">
        <v>0</v>
      </c>
      <c r="H15" s="766">
        <v>56912.42</v>
      </c>
      <c r="I15" s="766">
        <v>74806.17319999999</v>
      </c>
      <c r="J15" s="766">
        <v>17893.753199999999</v>
      </c>
      <c r="K15" s="766">
        <v>0</v>
      </c>
      <c r="L15" s="766">
        <v>0</v>
      </c>
      <c r="M15" s="766">
        <v>0</v>
      </c>
      <c r="N15" s="766">
        <v>56912.42</v>
      </c>
      <c r="O15" s="765">
        <v>8</v>
      </c>
      <c r="P15" s="764">
        <v>0</v>
      </c>
      <c r="Q15" s="764">
        <v>0</v>
      </c>
      <c r="R15" s="764">
        <v>0.12409705439618172</v>
      </c>
      <c r="S15" s="765">
        <v>123.11554199994755</v>
      </c>
    </row>
    <row r="16" spans="1:19">
      <c r="A16" s="749">
        <v>7.3</v>
      </c>
      <c r="B16" s="750" t="s">
        <v>991</v>
      </c>
      <c r="C16" s="766">
        <v>0</v>
      </c>
      <c r="D16" s="766">
        <v>0</v>
      </c>
      <c r="E16" s="766">
        <v>0</v>
      </c>
      <c r="F16" s="766">
        <v>0</v>
      </c>
      <c r="G16" s="766">
        <v>0</v>
      </c>
      <c r="H16" s="766">
        <v>0</v>
      </c>
      <c r="I16" s="766">
        <v>0</v>
      </c>
      <c r="J16" s="766">
        <v>0</v>
      </c>
      <c r="K16" s="766">
        <v>0</v>
      </c>
      <c r="L16" s="766">
        <v>0</v>
      </c>
      <c r="M16" s="766">
        <v>0</v>
      </c>
      <c r="N16" s="766">
        <v>0</v>
      </c>
      <c r="O16" s="765">
        <v>0</v>
      </c>
      <c r="P16" s="764">
        <v>0</v>
      </c>
      <c r="Q16" s="764">
        <v>0</v>
      </c>
      <c r="R16" s="764">
        <v>0</v>
      </c>
      <c r="S16" s="765">
        <v>0</v>
      </c>
    </row>
    <row r="17" spans="1:19">
      <c r="A17" s="745">
        <v>8</v>
      </c>
      <c r="B17" s="748" t="s">
        <v>992</v>
      </c>
      <c r="C17" s="766">
        <v>0</v>
      </c>
      <c r="D17" s="766">
        <v>0</v>
      </c>
      <c r="E17" s="766">
        <v>0</v>
      </c>
      <c r="F17" s="766">
        <v>0</v>
      </c>
      <c r="G17" s="766">
        <v>0</v>
      </c>
      <c r="H17" s="766">
        <v>0</v>
      </c>
      <c r="I17" s="766">
        <v>0</v>
      </c>
      <c r="J17" s="766">
        <v>0</v>
      </c>
      <c r="K17" s="766">
        <v>0</v>
      </c>
      <c r="L17" s="766">
        <v>0</v>
      </c>
      <c r="M17" s="766">
        <v>0</v>
      </c>
      <c r="N17" s="766">
        <v>0</v>
      </c>
      <c r="O17" s="765">
        <v>0</v>
      </c>
      <c r="P17" s="764">
        <v>0</v>
      </c>
      <c r="Q17" s="764">
        <v>0</v>
      </c>
      <c r="R17" s="764">
        <v>0</v>
      </c>
      <c r="S17" s="765">
        <v>0</v>
      </c>
    </row>
    <row r="18" spans="1:19">
      <c r="A18" s="751">
        <v>9</v>
      </c>
      <c r="B18" s="752" t="s">
        <v>993</v>
      </c>
      <c r="C18" s="766">
        <v>0</v>
      </c>
      <c r="D18" s="767">
        <v>0</v>
      </c>
      <c r="E18" s="767">
        <v>0</v>
      </c>
      <c r="F18" s="767">
        <v>0</v>
      </c>
      <c r="G18" s="767">
        <v>0</v>
      </c>
      <c r="H18" s="767">
        <v>0</v>
      </c>
      <c r="I18" s="766">
        <v>0</v>
      </c>
      <c r="J18" s="767">
        <v>0</v>
      </c>
      <c r="K18" s="767">
        <v>0</v>
      </c>
      <c r="L18" s="767">
        <v>0</v>
      </c>
      <c r="M18" s="767">
        <v>0</v>
      </c>
      <c r="N18" s="767">
        <v>0</v>
      </c>
      <c r="O18" s="768">
        <v>0</v>
      </c>
      <c r="P18" s="769">
        <v>0</v>
      </c>
      <c r="Q18" s="769">
        <v>0</v>
      </c>
      <c r="R18" s="769">
        <v>0</v>
      </c>
      <c r="S18" s="768">
        <v>0</v>
      </c>
    </row>
    <row r="19" spans="1:19">
      <c r="A19" s="753">
        <v>10</v>
      </c>
      <c r="B19" s="754" t="s">
        <v>994</v>
      </c>
      <c r="C19" s="762">
        <f>SUM(C7:C13,C17+C18)</f>
        <v>7891556.2599999988</v>
      </c>
      <c r="D19" s="762">
        <f t="shared" ref="D19:O19" si="1">SUM(D7:D13,D17+D18)</f>
        <v>7345067.4299999997</v>
      </c>
      <c r="E19" s="762">
        <f t="shared" si="1"/>
        <v>4299.42</v>
      </c>
      <c r="F19" s="762">
        <f t="shared" si="1"/>
        <v>159435.53000000003</v>
      </c>
      <c r="G19" s="762">
        <f t="shared" si="1"/>
        <v>43234.630000000005</v>
      </c>
      <c r="H19" s="762">
        <f t="shared" si="1"/>
        <v>339519.25</v>
      </c>
      <c r="I19" s="762">
        <f t="shared" si="1"/>
        <v>555088.89659999998</v>
      </c>
      <c r="J19" s="762">
        <f t="shared" si="1"/>
        <v>145691.73060000001</v>
      </c>
      <c r="K19" s="762">
        <f t="shared" si="1"/>
        <v>429.94199999999995</v>
      </c>
      <c r="L19" s="762">
        <f t="shared" si="1"/>
        <v>47830.659000000007</v>
      </c>
      <c r="M19" s="762">
        <f t="shared" si="1"/>
        <v>21617.315000000002</v>
      </c>
      <c r="N19" s="762">
        <f t="shared" si="1"/>
        <v>339519.25</v>
      </c>
      <c r="O19" s="762">
        <f t="shared" si="1"/>
        <v>216</v>
      </c>
      <c r="P19" s="764">
        <v>0.13538975811920512</v>
      </c>
      <c r="Q19" s="764">
        <v>0.18509999999999999</v>
      </c>
      <c r="R19" s="764">
        <v>0.12214788839824325</v>
      </c>
      <c r="S19" s="765">
        <v>65.220880759456151</v>
      </c>
    </row>
    <row r="20" spans="1:19" ht="25.5">
      <c r="A20" s="749">
        <v>10.1</v>
      </c>
      <c r="B20" s="750" t="s">
        <v>995</v>
      </c>
      <c r="C20" s="747"/>
      <c r="D20" s="747"/>
      <c r="E20" s="747"/>
      <c r="F20" s="747"/>
      <c r="G20" s="747"/>
      <c r="H20" s="747"/>
      <c r="I20" s="747"/>
      <c r="J20" s="747"/>
      <c r="K20" s="747"/>
      <c r="L20" s="747"/>
      <c r="M20" s="747"/>
      <c r="N20" s="747"/>
      <c r="O20" s="747"/>
      <c r="P20" s="747"/>
      <c r="Q20" s="747"/>
      <c r="R20" s="747"/>
      <c r="S20" s="747"/>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RowHeight="15"/>
  <cols>
    <col min="1" max="1" width="10.7109375" style="2" bestFit="1" customWidth="1"/>
    <col min="2" max="2" width="55.140625" style="2" bestFit="1" customWidth="1"/>
    <col min="3" max="3" width="12" style="2" bestFit="1" customWidth="1"/>
    <col min="4" max="4" width="13.28515625" style="2" customWidth="1"/>
    <col min="5" max="5" width="14.5703125" style="2" customWidth="1"/>
    <col min="6" max="6" width="12" style="2" bestFit="1" customWidth="1"/>
    <col min="7" max="7" width="13.7109375" style="2" customWidth="1"/>
    <col min="8" max="8" width="14.5703125" style="2" customWidth="1"/>
  </cols>
  <sheetData>
    <row r="1" spans="1:8" ht="15.75">
      <c r="A1" s="527" t="s">
        <v>188</v>
      </c>
      <c r="B1" s="528" t="s">
        <v>954</v>
      </c>
    </row>
    <row r="2" spans="1:8" ht="15.75">
      <c r="A2" s="527" t="s">
        <v>189</v>
      </c>
      <c r="B2" s="529">
        <f>'1. key ratios'!B2</f>
        <v>44834</v>
      </c>
    </row>
    <row r="3" spans="1:8" ht="15.75">
      <c r="A3" s="18"/>
    </row>
    <row r="4" spans="1:8" ht="16.5" thickBot="1">
      <c r="A4" s="32" t="s">
        <v>406</v>
      </c>
      <c r="B4" s="54" t="s">
        <v>244</v>
      </c>
      <c r="C4" s="32"/>
      <c r="D4" s="33"/>
      <c r="E4" s="33"/>
      <c r="F4" s="34"/>
      <c r="G4" s="34"/>
      <c r="H4" s="35" t="s">
        <v>93</v>
      </c>
    </row>
    <row r="5" spans="1:8" ht="15.75">
      <c r="A5" s="36"/>
      <c r="B5" s="37"/>
      <c r="C5" s="772" t="s">
        <v>194</v>
      </c>
      <c r="D5" s="773"/>
      <c r="E5" s="774"/>
      <c r="F5" s="772" t="s">
        <v>195</v>
      </c>
      <c r="G5" s="773"/>
      <c r="H5" s="775"/>
    </row>
    <row r="6" spans="1:8" ht="15.75">
      <c r="A6" s="560" t="s">
        <v>26</v>
      </c>
      <c r="B6" s="561" t="s">
        <v>153</v>
      </c>
      <c r="C6" s="562" t="s">
        <v>27</v>
      </c>
      <c r="D6" s="562" t="s">
        <v>94</v>
      </c>
      <c r="E6" s="562" t="s">
        <v>68</v>
      </c>
      <c r="F6" s="562" t="s">
        <v>27</v>
      </c>
      <c r="G6" s="562" t="s">
        <v>94</v>
      </c>
      <c r="H6" s="563" t="s">
        <v>68</v>
      </c>
    </row>
    <row r="7" spans="1:8" ht="15.75">
      <c r="A7" s="560">
        <v>1</v>
      </c>
      <c r="B7" s="564" t="s">
        <v>154</v>
      </c>
      <c r="C7" s="565">
        <v>778274.1</v>
      </c>
      <c r="D7" s="565">
        <v>1216263.77</v>
      </c>
      <c r="E7" s="566">
        <f>C7+D7</f>
        <v>1994537.87</v>
      </c>
      <c r="F7" s="567">
        <v>1401635.7000000002</v>
      </c>
      <c r="G7" s="565">
        <v>2851154.53</v>
      </c>
      <c r="H7" s="568">
        <f>F7+G7</f>
        <v>4252790.2300000004</v>
      </c>
    </row>
    <row r="8" spans="1:8" ht="15.75">
      <c r="A8" s="560">
        <v>2</v>
      </c>
      <c r="B8" s="564" t="s">
        <v>155</v>
      </c>
      <c r="C8" s="565">
        <v>1174510.48</v>
      </c>
      <c r="D8" s="565">
        <v>39196760.980000004</v>
      </c>
      <c r="E8" s="566">
        <f t="shared" ref="E8:E20" si="0">C8+D8</f>
        <v>40371271.460000001</v>
      </c>
      <c r="F8" s="567">
        <v>1081077.83</v>
      </c>
      <c r="G8" s="565">
        <v>46408947.799999997</v>
      </c>
      <c r="H8" s="568">
        <f t="shared" ref="H8:H40" si="1">F8+G8</f>
        <v>47490025.629999995</v>
      </c>
    </row>
    <row r="9" spans="1:8" ht="15.75">
      <c r="A9" s="560">
        <v>3</v>
      </c>
      <c r="B9" s="564" t="s">
        <v>156</v>
      </c>
      <c r="C9" s="565">
        <v>12906804.77</v>
      </c>
      <c r="D9" s="565">
        <v>34032985.707936004</v>
      </c>
      <c r="E9" s="566">
        <f t="shared" si="0"/>
        <v>46939790.477936</v>
      </c>
      <c r="F9" s="567">
        <v>25060101.43</v>
      </c>
      <c r="G9" s="565">
        <v>43342108.778904997</v>
      </c>
      <c r="H9" s="568">
        <f t="shared" si="1"/>
        <v>68402210.208904997</v>
      </c>
    </row>
    <row r="10" spans="1:8" ht="15.75">
      <c r="A10" s="560">
        <v>4</v>
      </c>
      <c r="B10" s="564" t="s">
        <v>185</v>
      </c>
      <c r="C10" s="565">
        <v>0</v>
      </c>
      <c r="D10" s="565">
        <v>0</v>
      </c>
      <c r="E10" s="566">
        <f t="shared" si="0"/>
        <v>0</v>
      </c>
      <c r="F10" s="567">
        <v>0</v>
      </c>
      <c r="G10" s="565">
        <v>0</v>
      </c>
      <c r="H10" s="568">
        <f t="shared" si="1"/>
        <v>0</v>
      </c>
    </row>
    <row r="11" spans="1:8" ht="15.75">
      <c r="A11" s="560">
        <v>5</v>
      </c>
      <c r="B11" s="564" t="s">
        <v>157</v>
      </c>
      <c r="C11" s="565">
        <v>17023206.03300317</v>
      </c>
      <c r="D11" s="565">
        <v>19589244.12424475</v>
      </c>
      <c r="E11" s="566">
        <f t="shared" si="0"/>
        <v>36612450.157247916</v>
      </c>
      <c r="F11" s="567">
        <v>20229912.156374224</v>
      </c>
      <c r="G11" s="565">
        <v>13503804.743215412</v>
      </c>
      <c r="H11" s="568">
        <f t="shared" si="1"/>
        <v>33733716.899589635</v>
      </c>
    </row>
    <row r="12" spans="1:8" ht="15.75">
      <c r="A12" s="560">
        <v>6.1</v>
      </c>
      <c r="B12" s="569" t="s">
        <v>158</v>
      </c>
      <c r="C12" s="565">
        <v>124807147.75</v>
      </c>
      <c r="D12" s="565">
        <v>152702635.79000002</v>
      </c>
      <c r="E12" s="566">
        <f t="shared" si="0"/>
        <v>277509783.54000002</v>
      </c>
      <c r="F12" s="567">
        <v>71668521.460000008</v>
      </c>
      <c r="G12" s="565">
        <v>164810569.38</v>
      </c>
      <c r="H12" s="568">
        <f t="shared" si="1"/>
        <v>236479090.84</v>
      </c>
    </row>
    <row r="13" spans="1:8" ht="15.75">
      <c r="A13" s="560">
        <v>6.2</v>
      </c>
      <c r="B13" s="569" t="s">
        <v>159</v>
      </c>
      <c r="C13" s="570">
        <v>-3718869.3393999985</v>
      </c>
      <c r="D13" s="570">
        <v>-4866951.6089999992</v>
      </c>
      <c r="E13" s="571">
        <f t="shared" si="0"/>
        <v>-8585820.9483999982</v>
      </c>
      <c r="F13" s="572">
        <v>-4637151.4815999996</v>
      </c>
      <c r="G13" s="570">
        <v>-6560201.7383999992</v>
      </c>
      <c r="H13" s="573">
        <f t="shared" si="1"/>
        <v>-11197353.219999999</v>
      </c>
    </row>
    <row r="14" spans="1:8" ht="15.75">
      <c r="A14" s="560">
        <v>6</v>
      </c>
      <c r="B14" s="564" t="s">
        <v>160</v>
      </c>
      <c r="C14" s="566">
        <f>C12+C13</f>
        <v>121088278.41060001</v>
      </c>
      <c r="D14" s="566">
        <f>D12+D13</f>
        <v>147835684.18100002</v>
      </c>
      <c r="E14" s="566">
        <f t="shared" si="0"/>
        <v>268923962.59160006</v>
      </c>
      <c r="F14" s="566">
        <f>F12+F13</f>
        <v>67031369.978400007</v>
      </c>
      <c r="G14" s="566">
        <f>G12+G13</f>
        <v>158250367.64159998</v>
      </c>
      <c r="H14" s="568">
        <f t="shared" si="1"/>
        <v>225281737.62</v>
      </c>
    </row>
    <row r="15" spans="1:8" ht="15.75">
      <c r="A15" s="560">
        <v>7</v>
      </c>
      <c r="B15" s="564" t="s">
        <v>161</v>
      </c>
      <c r="C15" s="565">
        <v>1057089.9999999998</v>
      </c>
      <c r="D15" s="565">
        <v>1225723.6587840002</v>
      </c>
      <c r="E15" s="566">
        <f t="shared" si="0"/>
        <v>2282813.6587840002</v>
      </c>
      <c r="F15" s="567">
        <v>992889.73999999964</v>
      </c>
      <c r="G15" s="565">
        <v>865943.30860400014</v>
      </c>
      <c r="H15" s="568">
        <f t="shared" si="1"/>
        <v>1858833.0486039999</v>
      </c>
    </row>
    <row r="16" spans="1:8" ht="15.75">
      <c r="A16" s="560">
        <v>8</v>
      </c>
      <c r="B16" s="564" t="s">
        <v>162</v>
      </c>
      <c r="C16" s="565">
        <v>569825.30999999994</v>
      </c>
      <c r="D16" s="565">
        <v>0</v>
      </c>
      <c r="E16" s="566">
        <f t="shared" si="0"/>
        <v>569825.30999999994</v>
      </c>
      <c r="F16" s="567">
        <v>735525.39</v>
      </c>
      <c r="G16" s="565">
        <v>0</v>
      </c>
      <c r="H16" s="568">
        <f t="shared" si="1"/>
        <v>735525.39</v>
      </c>
    </row>
    <row r="17" spans="1:8" ht="15.75">
      <c r="A17" s="560">
        <v>9</v>
      </c>
      <c r="B17" s="564" t="s">
        <v>163</v>
      </c>
      <c r="C17" s="565">
        <v>0</v>
      </c>
      <c r="D17" s="565">
        <v>0</v>
      </c>
      <c r="E17" s="566">
        <f t="shared" si="0"/>
        <v>0</v>
      </c>
      <c r="F17" s="567">
        <v>0</v>
      </c>
      <c r="G17" s="565">
        <v>0</v>
      </c>
      <c r="H17" s="568">
        <f t="shared" si="1"/>
        <v>0</v>
      </c>
    </row>
    <row r="18" spans="1:8" ht="15.75">
      <c r="A18" s="560">
        <v>10</v>
      </c>
      <c r="B18" s="564" t="s">
        <v>164</v>
      </c>
      <c r="C18" s="565">
        <v>7192916.8899999997</v>
      </c>
      <c r="D18" s="565">
        <v>0</v>
      </c>
      <c r="E18" s="566">
        <f t="shared" si="0"/>
        <v>7192916.8899999997</v>
      </c>
      <c r="F18" s="567">
        <v>7866511.1100000003</v>
      </c>
      <c r="G18" s="565">
        <v>0</v>
      </c>
      <c r="H18" s="568">
        <f t="shared" si="1"/>
        <v>7866511.1100000003</v>
      </c>
    </row>
    <row r="19" spans="1:8" ht="15.75">
      <c r="A19" s="560">
        <v>11</v>
      </c>
      <c r="B19" s="564" t="s">
        <v>165</v>
      </c>
      <c r="C19" s="565">
        <v>4721607.3154010251</v>
      </c>
      <c r="D19" s="565">
        <v>363129.09</v>
      </c>
      <c r="E19" s="566">
        <f t="shared" si="0"/>
        <v>5084736.405401025</v>
      </c>
      <c r="F19" s="567">
        <v>3419988.1342466073</v>
      </c>
      <c r="G19" s="565">
        <v>336785.02999999997</v>
      </c>
      <c r="H19" s="568">
        <f t="shared" si="1"/>
        <v>3756773.1642466071</v>
      </c>
    </row>
    <row r="20" spans="1:8" ht="15.75">
      <c r="A20" s="560">
        <v>12</v>
      </c>
      <c r="B20" s="574" t="s">
        <v>166</v>
      </c>
      <c r="C20" s="566">
        <f>SUM(C7:C11)+SUM(C14:C19)</f>
        <v>166512513.30900422</v>
      </c>
      <c r="D20" s="566">
        <f>SUM(D7:D11)+SUM(D14:D19)</f>
        <v>243459791.5119648</v>
      </c>
      <c r="E20" s="566">
        <f t="shared" si="0"/>
        <v>409972304.82096899</v>
      </c>
      <c r="F20" s="566">
        <f>SUM(F7:F11)+SUM(F14:F19)</f>
        <v>127819011.46902083</v>
      </c>
      <c r="G20" s="566">
        <f>SUM(G7:G11)+SUM(G14:G19)</f>
        <v>265559111.83232439</v>
      </c>
      <c r="H20" s="568">
        <f t="shared" si="1"/>
        <v>393378123.30134523</v>
      </c>
    </row>
    <row r="21" spans="1:8" ht="15.75">
      <c r="A21" s="560"/>
      <c r="B21" s="561" t="s">
        <v>183</v>
      </c>
      <c r="C21" s="575"/>
      <c r="D21" s="575"/>
      <c r="E21" s="575"/>
      <c r="F21" s="576"/>
      <c r="G21" s="575"/>
      <c r="H21" s="577"/>
    </row>
    <row r="22" spans="1:8" ht="15.75">
      <c r="A22" s="560">
        <v>13</v>
      </c>
      <c r="B22" s="564" t="s">
        <v>167</v>
      </c>
      <c r="C22" s="565">
        <v>10500000</v>
      </c>
      <c r="D22" s="565">
        <v>75090220.590000004</v>
      </c>
      <c r="E22" s="566">
        <f>C22+D22</f>
        <v>85590220.590000004</v>
      </c>
      <c r="F22" s="567">
        <v>0</v>
      </c>
      <c r="G22" s="565">
        <v>102298137.01000001</v>
      </c>
      <c r="H22" s="568">
        <f t="shared" si="1"/>
        <v>102298137.01000001</v>
      </c>
    </row>
    <row r="23" spans="1:8" ht="15.75">
      <c r="A23" s="560">
        <v>14</v>
      </c>
      <c r="B23" s="564" t="s">
        <v>168</v>
      </c>
      <c r="C23" s="565">
        <v>21722148.779999968</v>
      </c>
      <c r="D23" s="565">
        <v>53145331.760000028</v>
      </c>
      <c r="E23" s="566">
        <f t="shared" ref="E23:E40" si="2">C23+D23</f>
        <v>74867480.539999992</v>
      </c>
      <c r="F23" s="567">
        <v>22430911.800000001</v>
      </c>
      <c r="G23" s="565">
        <v>48644981.260000005</v>
      </c>
      <c r="H23" s="568">
        <f t="shared" si="1"/>
        <v>71075893.060000002</v>
      </c>
    </row>
    <row r="24" spans="1:8" ht="15.75">
      <c r="A24" s="560">
        <v>15</v>
      </c>
      <c r="B24" s="564" t="s">
        <v>169</v>
      </c>
      <c r="C24" s="565">
        <v>0</v>
      </c>
      <c r="D24" s="565">
        <v>0</v>
      </c>
      <c r="E24" s="566">
        <f t="shared" si="2"/>
        <v>0</v>
      </c>
      <c r="F24" s="567">
        <v>0</v>
      </c>
      <c r="G24" s="565">
        <v>0</v>
      </c>
      <c r="H24" s="568">
        <f t="shared" si="1"/>
        <v>0</v>
      </c>
    </row>
    <row r="25" spans="1:8" ht="15.75">
      <c r="A25" s="560">
        <v>16</v>
      </c>
      <c r="B25" s="564" t="s">
        <v>170</v>
      </c>
      <c r="C25" s="565">
        <v>4213162.3899999997</v>
      </c>
      <c r="D25" s="565">
        <v>48271439.109999992</v>
      </c>
      <c r="E25" s="566">
        <f t="shared" si="2"/>
        <v>52484601.499999993</v>
      </c>
      <c r="F25" s="567">
        <v>1777115.53</v>
      </c>
      <c r="G25" s="565">
        <v>72348711.280000001</v>
      </c>
      <c r="H25" s="568">
        <f t="shared" si="1"/>
        <v>74125826.810000002</v>
      </c>
    </row>
    <row r="26" spans="1:8" ht="15.75">
      <c r="A26" s="560">
        <v>17</v>
      </c>
      <c r="B26" s="564" t="s">
        <v>171</v>
      </c>
      <c r="C26" s="575"/>
      <c r="D26" s="575"/>
      <c r="E26" s="566">
        <f t="shared" si="2"/>
        <v>0</v>
      </c>
      <c r="F26" s="576"/>
      <c r="G26" s="575"/>
      <c r="H26" s="568">
        <f t="shared" si="1"/>
        <v>0</v>
      </c>
    </row>
    <row r="27" spans="1:8" ht="15.75">
      <c r="A27" s="560">
        <v>18</v>
      </c>
      <c r="B27" s="564" t="s">
        <v>172</v>
      </c>
      <c r="C27" s="565">
        <v>14000000</v>
      </c>
      <c r="D27" s="565">
        <v>62883844.968024001</v>
      </c>
      <c r="E27" s="566">
        <f t="shared" si="2"/>
        <v>76883844.968024001</v>
      </c>
      <c r="F27" s="567">
        <v>0</v>
      </c>
      <c r="G27" s="565">
        <v>40943377.743079998</v>
      </c>
      <c r="H27" s="568">
        <f t="shared" si="1"/>
        <v>40943377.743079998</v>
      </c>
    </row>
    <row r="28" spans="1:8" ht="15.75">
      <c r="A28" s="560">
        <v>19</v>
      </c>
      <c r="B28" s="564" t="s">
        <v>173</v>
      </c>
      <c r="C28" s="565">
        <v>203819.33</v>
      </c>
      <c r="D28" s="565">
        <v>1471325.2226960002</v>
      </c>
      <c r="E28" s="566">
        <f t="shared" si="2"/>
        <v>1675144.5526960003</v>
      </c>
      <c r="F28" s="567">
        <v>52855.880000000012</v>
      </c>
      <c r="G28" s="565">
        <v>1303621.2</v>
      </c>
      <c r="H28" s="568">
        <f t="shared" si="1"/>
        <v>1356477.08</v>
      </c>
    </row>
    <row r="29" spans="1:8" ht="15.75">
      <c r="A29" s="560">
        <v>20</v>
      </c>
      <c r="B29" s="564" t="s">
        <v>95</v>
      </c>
      <c r="C29" s="565">
        <v>2986658.6678000004</v>
      </c>
      <c r="D29" s="565">
        <v>7218650.7907999996</v>
      </c>
      <c r="E29" s="566">
        <f t="shared" si="2"/>
        <v>10205309.4586</v>
      </c>
      <c r="F29" s="567">
        <v>2549664.7829999998</v>
      </c>
      <c r="G29" s="565">
        <v>9095758.6904000007</v>
      </c>
      <c r="H29" s="568">
        <f t="shared" si="1"/>
        <v>11645423.4734</v>
      </c>
    </row>
    <row r="30" spans="1:8" ht="15.75">
      <c r="A30" s="560">
        <v>21</v>
      </c>
      <c r="B30" s="564" t="s">
        <v>174</v>
      </c>
      <c r="C30" s="565">
        <v>0</v>
      </c>
      <c r="D30" s="565">
        <v>0</v>
      </c>
      <c r="E30" s="566">
        <f t="shared" si="2"/>
        <v>0</v>
      </c>
      <c r="F30" s="567">
        <v>0</v>
      </c>
      <c r="G30" s="565">
        <v>0</v>
      </c>
      <c r="H30" s="568">
        <f t="shared" si="1"/>
        <v>0</v>
      </c>
    </row>
    <row r="31" spans="1:8" ht="15.75">
      <c r="A31" s="560">
        <v>22</v>
      </c>
      <c r="B31" s="574" t="s">
        <v>175</v>
      </c>
      <c r="C31" s="566">
        <f>SUM(C22:C30)</f>
        <v>53625789.167799965</v>
      </c>
      <c r="D31" s="566">
        <f>SUM(D22:D30)</f>
        <v>248080812.44152001</v>
      </c>
      <c r="E31" s="566">
        <f>C31+D31</f>
        <v>301706601.60931998</v>
      </c>
      <c r="F31" s="566">
        <f>SUM(F22:F30)</f>
        <v>26810547.993000001</v>
      </c>
      <c r="G31" s="566">
        <f>SUM(G22:G30)</f>
        <v>274634587.18347996</v>
      </c>
      <c r="H31" s="568">
        <f t="shared" si="1"/>
        <v>301445135.17647994</v>
      </c>
    </row>
    <row r="32" spans="1:8" ht="15.75">
      <c r="A32" s="560"/>
      <c r="B32" s="561" t="s">
        <v>184</v>
      </c>
      <c r="C32" s="575"/>
      <c r="D32" s="575"/>
      <c r="E32" s="565"/>
      <c r="F32" s="576"/>
      <c r="G32" s="575"/>
      <c r="H32" s="577"/>
    </row>
    <row r="33" spans="1:8" ht="15.75">
      <c r="A33" s="560">
        <v>23</v>
      </c>
      <c r="B33" s="564" t="s">
        <v>176</v>
      </c>
      <c r="C33" s="565">
        <v>69161600</v>
      </c>
      <c r="D33" s="575">
        <v>0</v>
      </c>
      <c r="E33" s="566">
        <f t="shared" si="2"/>
        <v>69161600</v>
      </c>
      <c r="F33" s="567">
        <v>69161600</v>
      </c>
      <c r="G33" s="575">
        <v>0</v>
      </c>
      <c r="H33" s="568">
        <f t="shared" si="1"/>
        <v>69161600</v>
      </c>
    </row>
    <row r="34" spans="1:8" ht="15.75">
      <c r="A34" s="560">
        <v>24</v>
      </c>
      <c r="B34" s="564" t="s">
        <v>177</v>
      </c>
      <c r="C34" s="565">
        <v>0</v>
      </c>
      <c r="D34" s="575">
        <v>0</v>
      </c>
      <c r="E34" s="566">
        <f t="shared" si="2"/>
        <v>0</v>
      </c>
      <c r="F34" s="567">
        <v>0</v>
      </c>
      <c r="G34" s="575">
        <v>0</v>
      </c>
      <c r="H34" s="568">
        <f t="shared" si="1"/>
        <v>0</v>
      </c>
    </row>
    <row r="35" spans="1:8" ht="15.75">
      <c r="A35" s="560">
        <v>25</v>
      </c>
      <c r="B35" s="569" t="s">
        <v>178</v>
      </c>
      <c r="C35" s="565">
        <v>0</v>
      </c>
      <c r="D35" s="575">
        <v>0</v>
      </c>
      <c r="E35" s="566">
        <f t="shared" si="2"/>
        <v>0</v>
      </c>
      <c r="F35" s="567">
        <v>0</v>
      </c>
      <c r="G35" s="575">
        <v>0</v>
      </c>
      <c r="H35" s="568">
        <f t="shared" si="1"/>
        <v>0</v>
      </c>
    </row>
    <row r="36" spans="1:8" ht="15.75">
      <c r="A36" s="560">
        <v>26</v>
      </c>
      <c r="B36" s="564" t="s">
        <v>179</v>
      </c>
      <c r="C36" s="565">
        <v>0</v>
      </c>
      <c r="D36" s="575">
        <v>0</v>
      </c>
      <c r="E36" s="566">
        <f t="shared" si="2"/>
        <v>0</v>
      </c>
      <c r="F36" s="567">
        <v>0</v>
      </c>
      <c r="G36" s="575">
        <v>0</v>
      </c>
      <c r="H36" s="568">
        <f t="shared" si="1"/>
        <v>0</v>
      </c>
    </row>
    <row r="37" spans="1:8" ht="15.75">
      <c r="A37" s="560">
        <v>27</v>
      </c>
      <c r="B37" s="564" t="s">
        <v>180</v>
      </c>
      <c r="C37" s="565">
        <v>0</v>
      </c>
      <c r="D37" s="575">
        <v>0</v>
      </c>
      <c r="E37" s="566">
        <f t="shared" si="2"/>
        <v>0</v>
      </c>
      <c r="F37" s="567">
        <v>0</v>
      </c>
      <c r="G37" s="575">
        <v>0</v>
      </c>
      <c r="H37" s="568">
        <f t="shared" si="1"/>
        <v>0</v>
      </c>
    </row>
    <row r="38" spans="1:8" ht="15.75">
      <c r="A38" s="560">
        <v>28</v>
      </c>
      <c r="B38" s="564" t="s">
        <v>181</v>
      </c>
      <c r="C38" s="565">
        <v>39104103.141115531</v>
      </c>
      <c r="D38" s="575">
        <v>0</v>
      </c>
      <c r="E38" s="566">
        <f t="shared" si="2"/>
        <v>39104103.141115531</v>
      </c>
      <c r="F38" s="567">
        <v>22771387.950918108</v>
      </c>
      <c r="G38" s="575">
        <v>0</v>
      </c>
      <c r="H38" s="568">
        <f t="shared" si="1"/>
        <v>22771387.950918108</v>
      </c>
    </row>
    <row r="39" spans="1:8" ht="15.75">
      <c r="A39" s="560">
        <v>29</v>
      </c>
      <c r="B39" s="564" t="s">
        <v>196</v>
      </c>
      <c r="C39" s="565">
        <v>0</v>
      </c>
      <c r="D39" s="575">
        <v>0</v>
      </c>
      <c r="E39" s="566">
        <f t="shared" si="2"/>
        <v>0</v>
      </c>
      <c r="F39" s="567">
        <v>0</v>
      </c>
      <c r="G39" s="575">
        <v>0</v>
      </c>
      <c r="H39" s="568">
        <f t="shared" si="1"/>
        <v>0</v>
      </c>
    </row>
    <row r="40" spans="1:8" ht="15.75">
      <c r="A40" s="560">
        <v>30</v>
      </c>
      <c r="B40" s="574" t="s">
        <v>182</v>
      </c>
      <c r="C40" s="578">
        <v>108265703.14111553</v>
      </c>
      <c r="D40" s="575">
        <v>0</v>
      </c>
      <c r="E40" s="566">
        <f t="shared" si="2"/>
        <v>108265703.14111553</v>
      </c>
      <c r="F40" s="579">
        <v>91932987.950918108</v>
      </c>
      <c r="G40" s="575">
        <v>0</v>
      </c>
      <c r="H40" s="568">
        <f t="shared" si="1"/>
        <v>91932987.950918108</v>
      </c>
    </row>
    <row r="41" spans="1:8" ht="16.5" thickBot="1">
      <c r="A41" s="38">
        <v>31</v>
      </c>
      <c r="B41" s="39" t="s">
        <v>197</v>
      </c>
      <c r="C41" s="580">
        <f>C31+C40</f>
        <v>161891492.3089155</v>
      </c>
      <c r="D41" s="580">
        <f>D31+D40</f>
        <v>248080812.44152001</v>
      </c>
      <c r="E41" s="580">
        <f>C41+D41</f>
        <v>409972304.75043547</v>
      </c>
      <c r="F41" s="580">
        <f>F31+F40</f>
        <v>118743535.94391811</v>
      </c>
      <c r="G41" s="580">
        <f>G31+G40</f>
        <v>274634587.18347996</v>
      </c>
      <c r="H41" s="581">
        <f>F41+G41</f>
        <v>393378123.12739807</v>
      </c>
    </row>
    <row r="43" spans="1:8">
      <c r="B43" s="40"/>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36"/>
  <sheetViews>
    <sheetView showGridLines="0" zoomScale="70" zoomScaleNormal="70" workbookViewId="0">
      <selection activeCell="B11" sqref="B11:C11"/>
    </sheetView>
  </sheetViews>
  <sheetFormatPr defaultColWidth="43.5703125" defaultRowHeight="11.25"/>
  <cols>
    <col min="1" max="1" width="8" style="204" customWidth="1"/>
    <col min="2" max="2" width="66.140625" style="205" customWidth="1"/>
    <col min="3" max="3" width="131.42578125" style="206" customWidth="1"/>
    <col min="4" max="5" width="10.28515625" style="197" customWidth="1"/>
    <col min="6" max="16384" width="43.5703125" style="197"/>
  </cols>
  <sheetData>
    <row r="1" spans="1:3" ht="12.75" thickTop="1" thickBot="1">
      <c r="A1" s="885" t="s">
        <v>326</v>
      </c>
      <c r="B1" s="886"/>
      <c r="C1" s="887"/>
    </row>
    <row r="2" spans="1:3" ht="26.25" customHeight="1">
      <c r="A2" s="479"/>
      <c r="B2" s="888" t="s">
        <v>327</v>
      </c>
      <c r="C2" s="888"/>
    </row>
    <row r="3" spans="1:3" s="202" customFormat="1" ht="11.25" customHeight="1">
      <c r="A3" s="201"/>
      <c r="B3" s="888" t="s">
        <v>419</v>
      </c>
      <c r="C3" s="888"/>
    </row>
    <row r="4" spans="1:3" ht="12" customHeight="1" thickBot="1">
      <c r="A4" s="889" t="s">
        <v>423</v>
      </c>
      <c r="B4" s="890"/>
      <c r="C4" s="891"/>
    </row>
    <row r="5" spans="1:3" ht="12" thickTop="1">
      <c r="A5" s="198"/>
      <c r="B5" s="892" t="s">
        <v>328</v>
      </c>
      <c r="C5" s="893"/>
    </row>
    <row r="6" spans="1:3">
      <c r="A6" s="479"/>
      <c r="B6" s="879" t="s">
        <v>420</v>
      </c>
      <c r="C6" s="880"/>
    </row>
    <row r="7" spans="1:3">
      <c r="A7" s="479"/>
      <c r="B7" s="879" t="s">
        <v>329</v>
      </c>
      <c r="C7" s="880"/>
    </row>
    <row r="8" spans="1:3">
      <c r="A8" s="479"/>
      <c r="B8" s="879" t="s">
        <v>421</v>
      </c>
      <c r="C8" s="880"/>
    </row>
    <row r="9" spans="1:3">
      <c r="A9" s="479"/>
      <c r="B9" s="881" t="s">
        <v>422</v>
      </c>
      <c r="C9" s="882"/>
    </row>
    <row r="10" spans="1:3">
      <c r="A10" s="479"/>
      <c r="B10" s="883" t="s">
        <v>330</v>
      </c>
      <c r="C10" s="884" t="s">
        <v>330</v>
      </c>
    </row>
    <row r="11" spans="1:3">
      <c r="A11" s="479"/>
      <c r="B11" s="883" t="s">
        <v>331</v>
      </c>
      <c r="C11" s="884" t="s">
        <v>331</v>
      </c>
    </row>
    <row r="12" spans="1:3">
      <c r="A12" s="479"/>
      <c r="B12" s="883" t="s">
        <v>332</v>
      </c>
      <c r="C12" s="884" t="s">
        <v>332</v>
      </c>
    </row>
    <row r="13" spans="1:3">
      <c r="A13" s="479"/>
      <c r="B13" s="883" t="s">
        <v>333</v>
      </c>
      <c r="C13" s="884" t="s">
        <v>333</v>
      </c>
    </row>
    <row r="14" spans="1:3">
      <c r="A14" s="479"/>
      <c r="B14" s="883" t="s">
        <v>334</v>
      </c>
      <c r="C14" s="884" t="s">
        <v>334</v>
      </c>
    </row>
    <row r="15" spans="1:3" ht="21.75" customHeight="1">
      <c r="A15" s="479"/>
      <c r="B15" s="883" t="s">
        <v>335</v>
      </c>
      <c r="C15" s="884" t="s">
        <v>335</v>
      </c>
    </row>
    <row r="16" spans="1:3">
      <c r="A16" s="479"/>
      <c r="B16" s="883" t="s">
        <v>336</v>
      </c>
      <c r="C16" s="884" t="s">
        <v>337</v>
      </c>
    </row>
    <row r="17" spans="1:3">
      <c r="A17" s="479"/>
      <c r="B17" s="883" t="s">
        <v>338</v>
      </c>
      <c r="C17" s="884" t="s">
        <v>339</v>
      </c>
    </row>
    <row r="18" spans="1:3">
      <c r="A18" s="479"/>
      <c r="B18" s="883" t="s">
        <v>340</v>
      </c>
      <c r="C18" s="884" t="s">
        <v>341</v>
      </c>
    </row>
    <row r="19" spans="1:3">
      <c r="A19" s="479"/>
      <c r="B19" s="883" t="s">
        <v>342</v>
      </c>
      <c r="C19" s="884" t="s">
        <v>342</v>
      </c>
    </row>
    <row r="20" spans="1:3">
      <c r="A20" s="479"/>
      <c r="B20" s="883" t="s">
        <v>343</v>
      </c>
      <c r="C20" s="884" t="s">
        <v>343</v>
      </c>
    </row>
    <row r="21" spans="1:3">
      <c r="A21" s="479"/>
      <c r="B21" s="883" t="s">
        <v>344</v>
      </c>
      <c r="C21" s="884" t="s">
        <v>344</v>
      </c>
    </row>
    <row r="22" spans="1:3" ht="23.25" customHeight="1">
      <c r="A22" s="479"/>
      <c r="B22" s="883" t="s">
        <v>345</v>
      </c>
      <c r="C22" s="884" t="s">
        <v>346</v>
      </c>
    </row>
    <row r="23" spans="1:3">
      <c r="A23" s="479"/>
      <c r="B23" s="883" t="s">
        <v>347</v>
      </c>
      <c r="C23" s="884" t="s">
        <v>347</v>
      </c>
    </row>
    <row r="24" spans="1:3">
      <c r="A24" s="479"/>
      <c r="B24" s="883" t="s">
        <v>348</v>
      </c>
      <c r="C24" s="884" t="s">
        <v>349</v>
      </c>
    </row>
    <row r="25" spans="1:3" ht="12" thickBot="1">
      <c r="A25" s="199"/>
      <c r="B25" s="896" t="s">
        <v>350</v>
      </c>
      <c r="C25" s="897"/>
    </row>
    <row r="26" spans="1:3" ht="12.75" thickTop="1" thickBot="1">
      <c r="A26" s="889" t="s">
        <v>433</v>
      </c>
      <c r="B26" s="890"/>
      <c r="C26" s="891"/>
    </row>
    <row r="27" spans="1:3" ht="12.75" thickTop="1" thickBot="1">
      <c r="A27" s="200"/>
      <c r="B27" s="898" t="s">
        <v>351</v>
      </c>
      <c r="C27" s="899"/>
    </row>
    <row r="28" spans="1:3" ht="12.75" thickTop="1" thickBot="1">
      <c r="A28" s="889" t="s">
        <v>424</v>
      </c>
      <c r="B28" s="890"/>
      <c r="C28" s="891"/>
    </row>
    <row r="29" spans="1:3" ht="12" thickTop="1">
      <c r="A29" s="198"/>
      <c r="B29" s="900" t="s">
        <v>352</v>
      </c>
      <c r="C29" s="901" t="s">
        <v>353</v>
      </c>
    </row>
    <row r="30" spans="1:3">
      <c r="A30" s="479"/>
      <c r="B30" s="894" t="s">
        <v>354</v>
      </c>
      <c r="C30" s="895" t="s">
        <v>355</v>
      </c>
    </row>
    <row r="31" spans="1:3">
      <c r="A31" s="479"/>
      <c r="B31" s="894" t="s">
        <v>356</v>
      </c>
      <c r="C31" s="895" t="s">
        <v>357</v>
      </c>
    </row>
    <row r="32" spans="1:3">
      <c r="A32" s="479"/>
      <c r="B32" s="894" t="s">
        <v>358</v>
      </c>
      <c r="C32" s="895" t="s">
        <v>359</v>
      </c>
    </row>
    <row r="33" spans="1:3">
      <c r="A33" s="479"/>
      <c r="B33" s="894" t="s">
        <v>360</v>
      </c>
      <c r="C33" s="895" t="s">
        <v>361</v>
      </c>
    </row>
    <row r="34" spans="1:3">
      <c r="A34" s="479"/>
      <c r="B34" s="894" t="s">
        <v>362</v>
      </c>
      <c r="C34" s="895" t="s">
        <v>363</v>
      </c>
    </row>
    <row r="35" spans="1:3" ht="23.25" customHeight="1">
      <c r="A35" s="479"/>
      <c r="B35" s="894" t="s">
        <v>364</v>
      </c>
      <c r="C35" s="895" t="s">
        <v>365</v>
      </c>
    </row>
    <row r="36" spans="1:3" ht="24" customHeight="1">
      <c r="A36" s="479"/>
      <c r="B36" s="894" t="s">
        <v>366</v>
      </c>
      <c r="C36" s="895" t="s">
        <v>367</v>
      </c>
    </row>
    <row r="37" spans="1:3" ht="24.75" customHeight="1">
      <c r="A37" s="479"/>
      <c r="B37" s="894" t="s">
        <v>368</v>
      </c>
      <c r="C37" s="895" t="s">
        <v>369</v>
      </c>
    </row>
    <row r="38" spans="1:3" ht="23.25" customHeight="1">
      <c r="A38" s="479"/>
      <c r="B38" s="894" t="s">
        <v>425</v>
      </c>
      <c r="C38" s="895" t="s">
        <v>370</v>
      </c>
    </row>
    <row r="39" spans="1:3" ht="39.75" customHeight="1">
      <c r="A39" s="479"/>
      <c r="B39" s="883" t="s">
        <v>439</v>
      </c>
      <c r="C39" s="884" t="s">
        <v>371</v>
      </c>
    </row>
    <row r="40" spans="1:3" ht="12" customHeight="1">
      <c r="A40" s="479"/>
      <c r="B40" s="894" t="s">
        <v>372</v>
      </c>
      <c r="C40" s="895" t="s">
        <v>373</v>
      </c>
    </row>
    <row r="41" spans="1:3" ht="27" customHeight="1" thickBot="1">
      <c r="A41" s="199"/>
      <c r="B41" s="904" t="s">
        <v>374</v>
      </c>
      <c r="C41" s="905" t="s">
        <v>375</v>
      </c>
    </row>
    <row r="42" spans="1:3" ht="12.75" thickTop="1" thickBot="1">
      <c r="A42" s="889" t="s">
        <v>426</v>
      </c>
      <c r="B42" s="890"/>
      <c r="C42" s="891"/>
    </row>
    <row r="43" spans="1:3" ht="12" thickTop="1">
      <c r="A43" s="198"/>
      <c r="B43" s="892" t="s">
        <v>462</v>
      </c>
      <c r="C43" s="893" t="s">
        <v>376</v>
      </c>
    </row>
    <row r="44" spans="1:3">
      <c r="A44" s="479"/>
      <c r="B44" s="879" t="s">
        <v>461</v>
      </c>
      <c r="C44" s="880"/>
    </row>
    <row r="45" spans="1:3" ht="23.25" customHeight="1" thickBot="1">
      <c r="A45" s="199"/>
      <c r="B45" s="902" t="s">
        <v>377</v>
      </c>
      <c r="C45" s="903" t="s">
        <v>378</v>
      </c>
    </row>
    <row r="46" spans="1:3" ht="11.25" customHeight="1" thickTop="1" thickBot="1">
      <c r="A46" s="889" t="s">
        <v>427</v>
      </c>
      <c r="B46" s="890"/>
      <c r="C46" s="891"/>
    </row>
    <row r="47" spans="1:3" ht="26.25" customHeight="1" thickTop="1">
      <c r="A47" s="479"/>
      <c r="B47" s="879" t="s">
        <v>428</v>
      </c>
      <c r="C47" s="880"/>
    </row>
    <row r="48" spans="1:3" ht="12" thickBot="1">
      <c r="A48" s="889" t="s">
        <v>429</v>
      </c>
      <c r="B48" s="890"/>
      <c r="C48" s="891"/>
    </row>
    <row r="49" spans="1:3" ht="12" thickTop="1">
      <c r="A49" s="198"/>
      <c r="B49" s="892" t="s">
        <v>379</v>
      </c>
      <c r="C49" s="893" t="s">
        <v>379</v>
      </c>
    </row>
    <row r="50" spans="1:3" ht="11.25" customHeight="1">
      <c r="A50" s="479"/>
      <c r="B50" s="879" t="s">
        <v>380</v>
      </c>
      <c r="C50" s="880" t="s">
        <v>380</v>
      </c>
    </row>
    <row r="51" spans="1:3">
      <c r="A51" s="479"/>
      <c r="B51" s="879" t="s">
        <v>381</v>
      </c>
      <c r="C51" s="880" t="s">
        <v>381</v>
      </c>
    </row>
    <row r="52" spans="1:3" ht="11.25" customHeight="1">
      <c r="A52" s="479"/>
      <c r="B52" s="879" t="s">
        <v>489</v>
      </c>
      <c r="C52" s="880" t="s">
        <v>382</v>
      </c>
    </row>
    <row r="53" spans="1:3" ht="33.6" customHeight="1">
      <c r="A53" s="479"/>
      <c r="B53" s="879" t="s">
        <v>383</v>
      </c>
      <c r="C53" s="880" t="s">
        <v>383</v>
      </c>
    </row>
    <row r="54" spans="1:3" ht="11.25" customHeight="1">
      <c r="A54" s="479"/>
      <c r="B54" s="879" t="s">
        <v>482</v>
      </c>
      <c r="C54" s="880" t="s">
        <v>384</v>
      </c>
    </row>
    <row r="55" spans="1:3" ht="11.25" customHeight="1" thickBot="1">
      <c r="A55" s="889" t="s">
        <v>430</v>
      </c>
      <c r="B55" s="890"/>
      <c r="C55" s="891"/>
    </row>
    <row r="56" spans="1:3" ht="12" thickTop="1">
      <c r="A56" s="198"/>
      <c r="B56" s="892" t="s">
        <v>379</v>
      </c>
      <c r="C56" s="893" t="s">
        <v>379</v>
      </c>
    </row>
    <row r="57" spans="1:3">
      <c r="A57" s="479"/>
      <c r="B57" s="879" t="s">
        <v>385</v>
      </c>
      <c r="C57" s="880" t="s">
        <v>385</v>
      </c>
    </row>
    <row r="58" spans="1:3">
      <c r="A58" s="479"/>
      <c r="B58" s="879" t="s">
        <v>436</v>
      </c>
      <c r="C58" s="880" t="s">
        <v>386</v>
      </c>
    </row>
    <row r="59" spans="1:3">
      <c r="A59" s="479"/>
      <c r="B59" s="879" t="s">
        <v>387</v>
      </c>
      <c r="C59" s="880" t="s">
        <v>387</v>
      </c>
    </row>
    <row r="60" spans="1:3">
      <c r="A60" s="479"/>
      <c r="B60" s="879" t="s">
        <v>388</v>
      </c>
      <c r="C60" s="880" t="s">
        <v>388</v>
      </c>
    </row>
    <row r="61" spans="1:3">
      <c r="A61" s="479"/>
      <c r="B61" s="879" t="s">
        <v>389</v>
      </c>
      <c r="C61" s="880" t="s">
        <v>389</v>
      </c>
    </row>
    <row r="62" spans="1:3">
      <c r="A62" s="479"/>
      <c r="B62" s="879" t="s">
        <v>437</v>
      </c>
      <c r="C62" s="880" t="s">
        <v>390</v>
      </c>
    </row>
    <row r="63" spans="1:3">
      <c r="A63" s="479"/>
      <c r="B63" s="879" t="s">
        <v>391</v>
      </c>
      <c r="C63" s="880" t="s">
        <v>391</v>
      </c>
    </row>
    <row r="64" spans="1:3" ht="12" thickBot="1">
      <c r="A64" s="199"/>
      <c r="B64" s="902" t="s">
        <v>392</v>
      </c>
      <c r="C64" s="903" t="s">
        <v>392</v>
      </c>
    </row>
    <row r="65" spans="1:3" ht="11.25" customHeight="1" thickTop="1">
      <c r="A65" s="908" t="s">
        <v>431</v>
      </c>
      <c r="B65" s="909"/>
      <c r="C65" s="910"/>
    </row>
    <row r="66" spans="1:3" ht="12" thickBot="1">
      <c r="A66" s="199"/>
      <c r="B66" s="902" t="s">
        <v>393</v>
      </c>
      <c r="C66" s="903" t="s">
        <v>393</v>
      </c>
    </row>
    <row r="67" spans="1:3" ht="11.25" customHeight="1" thickTop="1" thickBot="1">
      <c r="A67" s="889" t="s">
        <v>432</v>
      </c>
      <c r="B67" s="890"/>
      <c r="C67" s="891"/>
    </row>
    <row r="68" spans="1:3" ht="12" thickTop="1">
      <c r="A68" s="198"/>
      <c r="B68" s="892" t="s">
        <v>394</v>
      </c>
      <c r="C68" s="893" t="s">
        <v>394</v>
      </c>
    </row>
    <row r="69" spans="1:3">
      <c r="A69" s="479"/>
      <c r="B69" s="879" t="s">
        <v>395</v>
      </c>
      <c r="C69" s="880" t="s">
        <v>395</v>
      </c>
    </row>
    <row r="70" spans="1:3">
      <c r="A70" s="479"/>
      <c r="B70" s="879" t="s">
        <v>396</v>
      </c>
      <c r="C70" s="880" t="s">
        <v>396</v>
      </c>
    </row>
    <row r="71" spans="1:3" ht="54.95" customHeight="1">
      <c r="A71" s="479"/>
      <c r="B71" s="906" t="s">
        <v>996</v>
      </c>
      <c r="C71" s="907" t="s">
        <v>397</v>
      </c>
    </row>
    <row r="72" spans="1:3" ht="33.75" customHeight="1">
      <c r="A72" s="479"/>
      <c r="B72" s="906" t="s">
        <v>441</v>
      </c>
      <c r="C72" s="907" t="s">
        <v>398</v>
      </c>
    </row>
    <row r="73" spans="1:3" ht="15.75" customHeight="1">
      <c r="A73" s="479"/>
      <c r="B73" s="906" t="s">
        <v>438</v>
      </c>
      <c r="C73" s="907" t="s">
        <v>399</v>
      </c>
    </row>
    <row r="74" spans="1:3">
      <c r="A74" s="479"/>
      <c r="B74" s="879" t="s">
        <v>400</v>
      </c>
      <c r="C74" s="880" t="s">
        <v>400</v>
      </c>
    </row>
    <row r="75" spans="1:3" ht="12" thickBot="1">
      <c r="A75" s="199"/>
      <c r="B75" s="902" t="s">
        <v>401</v>
      </c>
      <c r="C75" s="903" t="s">
        <v>401</v>
      </c>
    </row>
    <row r="76" spans="1:3" ht="12" thickTop="1">
      <c r="A76" s="908" t="s">
        <v>465</v>
      </c>
      <c r="B76" s="909"/>
      <c r="C76" s="910"/>
    </row>
    <row r="77" spans="1:3">
      <c r="A77" s="479"/>
      <c r="B77" s="879" t="s">
        <v>393</v>
      </c>
      <c r="C77" s="880"/>
    </row>
    <row r="78" spans="1:3">
      <c r="A78" s="479"/>
      <c r="B78" s="879" t="s">
        <v>463</v>
      </c>
      <c r="C78" s="880"/>
    </row>
    <row r="79" spans="1:3">
      <c r="A79" s="479"/>
      <c r="B79" s="879" t="s">
        <v>464</v>
      </c>
      <c r="C79" s="880"/>
    </row>
    <row r="80" spans="1:3">
      <c r="A80" s="908" t="s">
        <v>466</v>
      </c>
      <c r="B80" s="909"/>
      <c r="C80" s="910"/>
    </row>
    <row r="81" spans="1:3">
      <c r="A81" s="479"/>
      <c r="B81" s="879" t="s">
        <v>393</v>
      </c>
      <c r="C81" s="880"/>
    </row>
    <row r="82" spans="1:3">
      <c r="A82" s="479"/>
      <c r="B82" s="879" t="s">
        <v>467</v>
      </c>
      <c r="C82" s="880"/>
    </row>
    <row r="83" spans="1:3" ht="76.5" customHeight="1">
      <c r="A83" s="479"/>
      <c r="B83" s="879" t="s">
        <v>481</v>
      </c>
      <c r="C83" s="880"/>
    </row>
    <row r="84" spans="1:3" ht="53.25" customHeight="1">
      <c r="A84" s="479"/>
      <c r="B84" s="879" t="s">
        <v>480</v>
      </c>
      <c r="C84" s="880"/>
    </row>
    <row r="85" spans="1:3">
      <c r="A85" s="479"/>
      <c r="B85" s="879" t="s">
        <v>468</v>
      </c>
      <c r="C85" s="880"/>
    </row>
    <row r="86" spans="1:3">
      <c r="A86" s="479"/>
      <c r="B86" s="879" t="s">
        <v>469</v>
      </c>
      <c r="C86" s="880"/>
    </row>
    <row r="87" spans="1:3">
      <c r="A87" s="479"/>
      <c r="B87" s="879" t="s">
        <v>470</v>
      </c>
      <c r="C87" s="880"/>
    </row>
    <row r="88" spans="1:3">
      <c r="A88" s="908" t="s">
        <v>471</v>
      </c>
      <c r="B88" s="909"/>
      <c r="C88" s="910"/>
    </row>
    <row r="89" spans="1:3">
      <c r="A89" s="479"/>
      <c r="B89" s="879" t="s">
        <v>393</v>
      </c>
      <c r="C89" s="880"/>
    </row>
    <row r="90" spans="1:3">
      <c r="A90" s="479"/>
      <c r="B90" s="879" t="s">
        <v>473</v>
      </c>
      <c r="C90" s="880"/>
    </row>
    <row r="91" spans="1:3" ht="12" customHeight="1">
      <c r="A91" s="479"/>
      <c r="B91" s="879" t="s">
        <v>474</v>
      </c>
      <c r="C91" s="880"/>
    </row>
    <row r="92" spans="1:3">
      <c r="A92" s="479"/>
      <c r="B92" s="879" t="s">
        <v>475</v>
      </c>
      <c r="C92" s="880"/>
    </row>
    <row r="93" spans="1:3" ht="24.75" customHeight="1">
      <c r="A93" s="479"/>
      <c r="B93" s="911" t="s">
        <v>517</v>
      </c>
      <c r="C93" s="912"/>
    </row>
    <row r="94" spans="1:3" ht="24" customHeight="1">
      <c r="A94" s="479"/>
      <c r="B94" s="911" t="s">
        <v>518</v>
      </c>
      <c r="C94" s="912"/>
    </row>
    <row r="95" spans="1:3" ht="13.5" customHeight="1">
      <c r="A95" s="479"/>
      <c r="B95" s="894" t="s">
        <v>476</v>
      </c>
      <c r="C95" s="895"/>
    </row>
    <row r="96" spans="1:3" ht="11.25" customHeight="1" thickBot="1">
      <c r="A96" s="913" t="s">
        <v>513</v>
      </c>
      <c r="B96" s="914"/>
      <c r="C96" s="915"/>
    </row>
    <row r="97" spans="1:3" ht="12.75" thickTop="1" thickBot="1">
      <c r="A97" s="922" t="s">
        <v>402</v>
      </c>
      <c r="B97" s="922"/>
      <c r="C97" s="922"/>
    </row>
    <row r="98" spans="1:3">
      <c r="A98" s="265">
        <v>2</v>
      </c>
      <c r="B98" s="409" t="s">
        <v>493</v>
      </c>
      <c r="C98" s="409" t="s">
        <v>514</v>
      </c>
    </row>
    <row r="99" spans="1:3">
      <c r="A99" s="203">
        <v>3</v>
      </c>
      <c r="B99" s="410" t="s">
        <v>494</v>
      </c>
      <c r="C99" s="411" t="s">
        <v>515</v>
      </c>
    </row>
    <row r="100" spans="1:3">
      <c r="A100" s="203">
        <v>4</v>
      </c>
      <c r="B100" s="410" t="s">
        <v>495</v>
      </c>
      <c r="C100" s="411" t="s">
        <v>519</v>
      </c>
    </row>
    <row r="101" spans="1:3" ht="11.25" customHeight="1">
      <c r="A101" s="203">
        <v>5</v>
      </c>
      <c r="B101" s="410" t="s">
        <v>496</v>
      </c>
      <c r="C101" s="411" t="s">
        <v>516</v>
      </c>
    </row>
    <row r="102" spans="1:3" ht="12" customHeight="1">
      <c r="A102" s="203">
        <v>6</v>
      </c>
      <c r="B102" s="410" t="s">
        <v>511</v>
      </c>
      <c r="C102" s="411" t="s">
        <v>497</v>
      </c>
    </row>
    <row r="103" spans="1:3" ht="12" customHeight="1">
      <c r="A103" s="203">
        <v>7</v>
      </c>
      <c r="B103" s="410" t="s">
        <v>498</v>
      </c>
      <c r="C103" s="411" t="s">
        <v>512</v>
      </c>
    </row>
    <row r="104" spans="1:3">
      <c r="A104" s="203">
        <v>8</v>
      </c>
      <c r="B104" s="410" t="s">
        <v>503</v>
      </c>
      <c r="C104" s="411" t="s">
        <v>523</v>
      </c>
    </row>
    <row r="105" spans="1:3" ht="11.25" customHeight="1">
      <c r="A105" s="908" t="s">
        <v>477</v>
      </c>
      <c r="B105" s="909"/>
      <c r="C105" s="910"/>
    </row>
    <row r="106" spans="1:3" ht="12" customHeight="1">
      <c r="A106" s="479"/>
      <c r="B106" s="879" t="s">
        <v>393</v>
      </c>
      <c r="C106" s="880"/>
    </row>
    <row r="107" spans="1:3">
      <c r="A107" s="908" t="s">
        <v>659</v>
      </c>
      <c r="B107" s="909"/>
      <c r="C107" s="910"/>
    </row>
    <row r="108" spans="1:3" ht="12" customHeight="1">
      <c r="A108" s="479"/>
      <c r="B108" s="879" t="s">
        <v>661</v>
      </c>
      <c r="C108" s="880"/>
    </row>
    <row r="109" spans="1:3">
      <c r="A109" s="479"/>
      <c r="B109" s="879" t="s">
        <v>662</v>
      </c>
      <c r="C109" s="880"/>
    </row>
    <row r="110" spans="1:3">
      <c r="A110" s="479"/>
      <c r="B110" s="879" t="s">
        <v>660</v>
      </c>
      <c r="C110" s="880"/>
    </row>
    <row r="111" spans="1:3">
      <c r="A111" s="916" t="s">
        <v>997</v>
      </c>
      <c r="B111" s="916"/>
      <c r="C111" s="916"/>
    </row>
    <row r="112" spans="1:3">
      <c r="A112" s="917" t="s">
        <v>326</v>
      </c>
      <c r="B112" s="917"/>
      <c r="C112" s="917"/>
    </row>
    <row r="113" spans="1:3">
      <c r="A113" s="480">
        <v>1</v>
      </c>
      <c r="B113" s="918" t="s">
        <v>835</v>
      </c>
      <c r="C113" s="919"/>
    </row>
    <row r="114" spans="1:3">
      <c r="A114" s="480">
        <v>2</v>
      </c>
      <c r="B114" s="920" t="s">
        <v>836</v>
      </c>
      <c r="C114" s="921"/>
    </row>
    <row r="115" spans="1:3">
      <c r="A115" s="480">
        <v>3</v>
      </c>
      <c r="B115" s="918" t="s">
        <v>837</v>
      </c>
      <c r="C115" s="919"/>
    </row>
    <row r="116" spans="1:3">
      <c r="A116" s="480">
        <v>4</v>
      </c>
      <c r="B116" s="918" t="s">
        <v>838</v>
      </c>
      <c r="C116" s="919"/>
    </row>
    <row r="117" spans="1:3">
      <c r="A117" s="480">
        <v>5</v>
      </c>
      <c r="B117" s="918" t="s">
        <v>839</v>
      </c>
      <c r="C117" s="919"/>
    </row>
    <row r="118" spans="1:3" ht="55.5" customHeight="1">
      <c r="A118" s="480">
        <v>6</v>
      </c>
      <c r="B118" s="918" t="s">
        <v>949</v>
      </c>
      <c r="C118" s="919"/>
    </row>
    <row r="119" spans="1:3" ht="22.5">
      <c r="A119" s="480">
        <v>6.01</v>
      </c>
      <c r="B119" s="481" t="s">
        <v>695</v>
      </c>
      <c r="C119" s="711" t="s">
        <v>950</v>
      </c>
    </row>
    <row r="120" spans="1:3" ht="33.75">
      <c r="A120" s="480">
        <v>6.02</v>
      </c>
      <c r="B120" s="481" t="s">
        <v>696</v>
      </c>
      <c r="C120" s="711" t="s">
        <v>998</v>
      </c>
    </row>
    <row r="121" spans="1:3">
      <c r="A121" s="480">
        <v>6.03</v>
      </c>
      <c r="B121" s="486" t="s">
        <v>697</v>
      </c>
      <c r="C121" s="486" t="s">
        <v>840</v>
      </c>
    </row>
    <row r="122" spans="1:3">
      <c r="A122" s="480">
        <v>6.04</v>
      </c>
      <c r="B122" s="481" t="s">
        <v>698</v>
      </c>
      <c r="C122" s="482" t="s">
        <v>841</v>
      </c>
    </row>
    <row r="123" spans="1:3">
      <c r="A123" s="480">
        <v>6.05</v>
      </c>
      <c r="B123" s="481" t="s">
        <v>699</v>
      </c>
      <c r="C123" s="482" t="s">
        <v>842</v>
      </c>
    </row>
    <row r="124" spans="1:3" ht="22.5">
      <c r="A124" s="480">
        <v>6.06</v>
      </c>
      <c r="B124" s="481" t="s">
        <v>700</v>
      </c>
      <c r="C124" s="482" t="s">
        <v>843</v>
      </c>
    </row>
    <row r="125" spans="1:3">
      <c r="A125" s="480">
        <v>6.07</v>
      </c>
      <c r="B125" s="483" t="s">
        <v>701</v>
      </c>
      <c r="C125" s="482" t="s">
        <v>844</v>
      </c>
    </row>
    <row r="126" spans="1:3" ht="22.5">
      <c r="A126" s="480">
        <v>6.08</v>
      </c>
      <c r="B126" s="481" t="s">
        <v>702</v>
      </c>
      <c r="C126" s="482" t="s">
        <v>845</v>
      </c>
    </row>
    <row r="127" spans="1:3" ht="22.5">
      <c r="A127" s="480">
        <v>6.09</v>
      </c>
      <c r="B127" s="484" t="s">
        <v>703</v>
      </c>
      <c r="C127" s="482" t="s">
        <v>846</v>
      </c>
    </row>
    <row r="128" spans="1:3">
      <c r="A128" s="485">
        <v>6.1</v>
      </c>
      <c r="B128" s="484" t="s">
        <v>704</v>
      </c>
      <c r="C128" s="482" t="s">
        <v>847</v>
      </c>
    </row>
    <row r="129" spans="1:3">
      <c r="A129" s="480">
        <v>6.11</v>
      </c>
      <c r="B129" s="484" t="s">
        <v>705</v>
      </c>
      <c r="C129" s="482" t="s">
        <v>848</v>
      </c>
    </row>
    <row r="130" spans="1:3">
      <c r="A130" s="480">
        <v>6.12</v>
      </c>
      <c r="B130" s="484" t="s">
        <v>706</v>
      </c>
      <c r="C130" s="482" t="s">
        <v>849</v>
      </c>
    </row>
    <row r="131" spans="1:3">
      <c r="A131" s="480">
        <v>6.13</v>
      </c>
      <c r="B131" s="484" t="s">
        <v>707</v>
      </c>
      <c r="C131" s="486" t="s">
        <v>850</v>
      </c>
    </row>
    <row r="132" spans="1:3">
      <c r="A132" s="480">
        <v>6.14</v>
      </c>
      <c r="B132" s="484" t="s">
        <v>708</v>
      </c>
      <c r="C132" s="486" t="s">
        <v>851</v>
      </c>
    </row>
    <row r="133" spans="1:3">
      <c r="A133" s="480">
        <v>6.15</v>
      </c>
      <c r="B133" s="484" t="s">
        <v>709</v>
      </c>
      <c r="C133" s="486" t="s">
        <v>852</v>
      </c>
    </row>
    <row r="134" spans="1:3" ht="22.5">
      <c r="A134" s="480">
        <v>6.16</v>
      </c>
      <c r="B134" s="484" t="s">
        <v>710</v>
      </c>
      <c r="C134" s="486" t="s">
        <v>853</v>
      </c>
    </row>
    <row r="135" spans="1:3">
      <c r="A135" s="480">
        <v>6.17</v>
      </c>
      <c r="B135" s="486" t="s">
        <v>711</v>
      </c>
      <c r="C135" s="486" t="s">
        <v>854</v>
      </c>
    </row>
    <row r="136" spans="1:3" ht="22.5">
      <c r="A136" s="480">
        <v>6.18</v>
      </c>
      <c r="B136" s="484" t="s">
        <v>712</v>
      </c>
      <c r="C136" s="486" t="s">
        <v>855</v>
      </c>
    </row>
    <row r="137" spans="1:3">
      <c r="A137" s="480">
        <v>6.19</v>
      </c>
      <c r="B137" s="484" t="s">
        <v>713</v>
      </c>
      <c r="C137" s="486" t="s">
        <v>856</v>
      </c>
    </row>
    <row r="138" spans="1:3">
      <c r="A138" s="485">
        <v>6.2</v>
      </c>
      <c r="B138" s="484" t="s">
        <v>714</v>
      </c>
      <c r="C138" s="486" t="s">
        <v>857</v>
      </c>
    </row>
    <row r="139" spans="1:3">
      <c r="A139" s="480">
        <v>6.21</v>
      </c>
      <c r="B139" s="484" t="s">
        <v>715</v>
      </c>
      <c r="C139" s="486" t="s">
        <v>858</v>
      </c>
    </row>
    <row r="140" spans="1:3">
      <c r="A140" s="480">
        <v>6.22</v>
      </c>
      <c r="B140" s="484" t="s">
        <v>716</v>
      </c>
      <c r="C140" s="486" t="s">
        <v>859</v>
      </c>
    </row>
    <row r="141" spans="1:3" ht="22.5">
      <c r="A141" s="480">
        <v>6.23</v>
      </c>
      <c r="B141" s="484" t="s">
        <v>717</v>
      </c>
      <c r="C141" s="486" t="s">
        <v>860</v>
      </c>
    </row>
    <row r="142" spans="1:3" ht="22.5">
      <c r="A142" s="480">
        <v>6.24</v>
      </c>
      <c r="B142" s="481" t="s">
        <v>718</v>
      </c>
      <c r="C142" s="486" t="s">
        <v>861</v>
      </c>
    </row>
    <row r="143" spans="1:3">
      <c r="A143" s="480">
        <v>6.2500000000000098</v>
      </c>
      <c r="B143" s="481" t="s">
        <v>719</v>
      </c>
      <c r="C143" s="486" t="s">
        <v>862</v>
      </c>
    </row>
    <row r="144" spans="1:3" ht="22.5">
      <c r="A144" s="480">
        <v>6.2600000000000202</v>
      </c>
      <c r="B144" s="481" t="s">
        <v>863</v>
      </c>
      <c r="C144" s="710" t="s">
        <v>864</v>
      </c>
    </row>
    <row r="145" spans="1:3" ht="22.5">
      <c r="A145" s="480">
        <v>6.2700000000000298</v>
      </c>
      <c r="B145" s="481" t="s">
        <v>165</v>
      </c>
      <c r="C145" s="710" t="s">
        <v>952</v>
      </c>
    </row>
    <row r="146" spans="1:3">
      <c r="A146" s="480"/>
      <c r="B146" s="925" t="s">
        <v>865</v>
      </c>
      <c r="C146" s="926"/>
    </row>
    <row r="147" spans="1:3" s="488" customFormat="1">
      <c r="A147" s="487">
        <v>7.1</v>
      </c>
      <c r="B147" s="481" t="s">
        <v>866</v>
      </c>
      <c r="C147" s="929" t="s">
        <v>867</v>
      </c>
    </row>
    <row r="148" spans="1:3" s="488" customFormat="1">
      <c r="A148" s="487">
        <v>7.2</v>
      </c>
      <c r="B148" s="481" t="s">
        <v>868</v>
      </c>
      <c r="C148" s="930"/>
    </row>
    <row r="149" spans="1:3" s="488" customFormat="1">
      <c r="A149" s="487">
        <v>7.3</v>
      </c>
      <c r="B149" s="481" t="s">
        <v>869</v>
      </c>
      <c r="C149" s="930"/>
    </row>
    <row r="150" spans="1:3" s="488" customFormat="1">
      <c r="A150" s="487">
        <v>7.4</v>
      </c>
      <c r="B150" s="481" t="s">
        <v>870</v>
      </c>
      <c r="C150" s="930"/>
    </row>
    <row r="151" spans="1:3" s="488" customFormat="1">
      <c r="A151" s="487">
        <v>7.5</v>
      </c>
      <c r="B151" s="481" t="s">
        <v>871</v>
      </c>
      <c r="C151" s="930"/>
    </row>
    <row r="152" spans="1:3" s="488" customFormat="1">
      <c r="A152" s="487">
        <v>7.6</v>
      </c>
      <c r="B152" s="481" t="s">
        <v>945</v>
      </c>
      <c r="C152" s="931"/>
    </row>
    <row r="153" spans="1:3" s="488" customFormat="1" ht="22.5">
      <c r="A153" s="487">
        <v>7.7</v>
      </c>
      <c r="B153" s="481" t="s">
        <v>872</v>
      </c>
      <c r="C153" s="489" t="s">
        <v>873</v>
      </c>
    </row>
    <row r="154" spans="1:3" s="488" customFormat="1" ht="22.5">
      <c r="A154" s="487">
        <v>7.8</v>
      </c>
      <c r="B154" s="481" t="s">
        <v>874</v>
      </c>
      <c r="C154" s="489" t="s">
        <v>875</v>
      </c>
    </row>
    <row r="155" spans="1:3">
      <c r="A155" s="479"/>
      <c r="B155" s="925" t="s">
        <v>876</v>
      </c>
      <c r="C155" s="926"/>
    </row>
    <row r="156" spans="1:3">
      <c r="A156" s="487">
        <v>1</v>
      </c>
      <c r="B156" s="923" t="s">
        <v>999</v>
      </c>
      <c r="C156" s="924"/>
    </row>
    <row r="157" spans="1:3" ht="24.95" customHeight="1">
      <c r="A157" s="487">
        <v>2</v>
      </c>
      <c r="B157" s="923" t="s">
        <v>953</v>
      </c>
      <c r="C157" s="924"/>
    </row>
    <row r="158" spans="1:3">
      <c r="A158" s="487">
        <v>3</v>
      </c>
      <c r="B158" s="923" t="s">
        <v>944</v>
      </c>
      <c r="C158" s="924"/>
    </row>
    <row r="159" spans="1:3">
      <c r="A159" s="479"/>
      <c r="B159" s="925" t="s">
        <v>877</v>
      </c>
      <c r="C159" s="926"/>
    </row>
    <row r="160" spans="1:3" ht="39" customHeight="1">
      <c r="A160" s="487">
        <v>1</v>
      </c>
      <c r="B160" s="927" t="s">
        <v>1000</v>
      </c>
      <c r="C160" s="928"/>
    </row>
    <row r="161" spans="1:3" ht="22.5">
      <c r="A161" s="487">
        <v>3</v>
      </c>
      <c r="B161" s="481" t="s">
        <v>683</v>
      </c>
      <c r="C161" s="489" t="s">
        <v>878</v>
      </c>
    </row>
    <row r="162" spans="1:3" ht="22.5">
      <c r="A162" s="487">
        <v>4</v>
      </c>
      <c r="B162" s="481" t="s">
        <v>684</v>
      </c>
      <c r="C162" s="489" t="s">
        <v>879</v>
      </c>
    </row>
    <row r="163" spans="1:3" ht="33.75">
      <c r="A163" s="487">
        <v>5</v>
      </c>
      <c r="B163" s="481" t="s">
        <v>685</v>
      </c>
      <c r="C163" s="489" t="s">
        <v>880</v>
      </c>
    </row>
    <row r="164" spans="1:3">
      <c r="A164" s="487">
        <v>6</v>
      </c>
      <c r="B164" s="481" t="s">
        <v>686</v>
      </c>
      <c r="C164" s="481" t="s">
        <v>881</v>
      </c>
    </row>
    <row r="165" spans="1:3">
      <c r="A165" s="479"/>
      <c r="B165" s="925" t="s">
        <v>882</v>
      </c>
      <c r="C165" s="926"/>
    </row>
    <row r="166" spans="1:3" ht="45">
      <c r="A166" s="487"/>
      <c r="B166" s="481" t="s">
        <v>883</v>
      </c>
      <c r="C166" s="490" t="s">
        <v>1001</v>
      </c>
    </row>
    <row r="167" spans="1:3">
      <c r="A167" s="487"/>
      <c r="B167" s="481" t="s">
        <v>685</v>
      </c>
      <c r="C167" s="489" t="s">
        <v>884</v>
      </c>
    </row>
    <row r="168" spans="1:3">
      <c r="A168" s="479"/>
      <c r="B168" s="925" t="s">
        <v>885</v>
      </c>
      <c r="C168" s="926"/>
    </row>
    <row r="169" spans="1:3" ht="26.45" customHeight="1">
      <c r="A169" s="479"/>
      <c r="B169" s="879" t="s">
        <v>1002</v>
      </c>
      <c r="C169" s="880"/>
    </row>
    <row r="170" spans="1:3">
      <c r="A170" s="479" t="s">
        <v>886</v>
      </c>
      <c r="B170" s="491" t="s">
        <v>743</v>
      </c>
      <c r="C170" s="492" t="s">
        <v>887</v>
      </c>
    </row>
    <row r="171" spans="1:3">
      <c r="A171" s="479" t="s">
        <v>538</v>
      </c>
      <c r="B171" s="493" t="s">
        <v>744</v>
      </c>
      <c r="C171" s="489" t="s">
        <v>888</v>
      </c>
    </row>
    <row r="172" spans="1:3" ht="22.5">
      <c r="A172" s="479" t="s">
        <v>545</v>
      </c>
      <c r="B172" s="492" t="s">
        <v>745</v>
      </c>
      <c r="C172" s="489" t="s">
        <v>889</v>
      </c>
    </row>
    <row r="173" spans="1:3">
      <c r="A173" s="479" t="s">
        <v>890</v>
      </c>
      <c r="B173" s="493" t="s">
        <v>746</v>
      </c>
      <c r="C173" s="493" t="s">
        <v>891</v>
      </c>
    </row>
    <row r="174" spans="1:3" ht="22.5">
      <c r="A174" s="479" t="s">
        <v>892</v>
      </c>
      <c r="B174" s="494" t="s">
        <v>747</v>
      </c>
      <c r="C174" s="494" t="s">
        <v>893</v>
      </c>
    </row>
    <row r="175" spans="1:3" ht="22.5">
      <c r="A175" s="479" t="s">
        <v>546</v>
      </c>
      <c r="B175" s="494" t="s">
        <v>748</v>
      </c>
      <c r="C175" s="494" t="s">
        <v>894</v>
      </c>
    </row>
    <row r="176" spans="1:3" ht="22.5">
      <c r="A176" s="479" t="s">
        <v>895</v>
      </c>
      <c r="B176" s="494" t="s">
        <v>749</v>
      </c>
      <c r="C176" s="494" t="s">
        <v>896</v>
      </c>
    </row>
    <row r="177" spans="1:3" ht="22.5">
      <c r="A177" s="479" t="s">
        <v>897</v>
      </c>
      <c r="B177" s="494" t="s">
        <v>750</v>
      </c>
      <c r="C177" s="494" t="s">
        <v>899</v>
      </c>
    </row>
    <row r="178" spans="1:3" ht="22.5">
      <c r="A178" s="479" t="s">
        <v>898</v>
      </c>
      <c r="B178" s="494" t="s">
        <v>751</v>
      </c>
      <c r="C178" s="494" t="s">
        <v>901</v>
      </c>
    </row>
    <row r="179" spans="1:3" ht="22.5">
      <c r="A179" s="479" t="s">
        <v>900</v>
      </c>
      <c r="B179" s="494" t="s">
        <v>752</v>
      </c>
      <c r="C179" s="495" t="s">
        <v>903</v>
      </c>
    </row>
    <row r="180" spans="1:3" ht="22.5">
      <c r="A180" s="479" t="s">
        <v>902</v>
      </c>
      <c r="B180" s="512" t="s">
        <v>753</v>
      </c>
      <c r="C180" s="495" t="s">
        <v>905</v>
      </c>
    </row>
    <row r="181" spans="1:3" ht="22.5">
      <c r="A181" s="479" t="s">
        <v>904</v>
      </c>
      <c r="B181" s="494" t="s">
        <v>754</v>
      </c>
      <c r="C181" s="496" t="s">
        <v>907</v>
      </c>
    </row>
    <row r="182" spans="1:3">
      <c r="A182" s="743" t="s">
        <v>906</v>
      </c>
      <c r="B182" s="497" t="s">
        <v>755</v>
      </c>
      <c r="C182" s="492" t="s">
        <v>908</v>
      </c>
    </row>
    <row r="183" spans="1:3" ht="22.5">
      <c r="A183" s="479"/>
      <c r="B183" s="498" t="s">
        <v>909</v>
      </c>
      <c r="C183" s="482" t="s">
        <v>910</v>
      </c>
    </row>
    <row r="184" spans="1:3" ht="22.5">
      <c r="A184" s="479"/>
      <c r="B184" s="498" t="s">
        <v>911</v>
      </c>
      <c r="C184" s="482" t="s">
        <v>912</v>
      </c>
    </row>
    <row r="185" spans="1:3" ht="22.5">
      <c r="A185" s="479"/>
      <c r="B185" s="498" t="s">
        <v>913</v>
      </c>
      <c r="C185" s="482" t="s">
        <v>914</v>
      </c>
    </row>
    <row r="186" spans="1:3">
      <c r="A186" s="479"/>
      <c r="B186" s="925" t="s">
        <v>915</v>
      </c>
      <c r="C186" s="926"/>
    </row>
    <row r="187" spans="1:3" ht="50.1" customHeight="1">
      <c r="A187" s="479"/>
      <c r="B187" s="923" t="s">
        <v>1003</v>
      </c>
      <c r="C187" s="924"/>
    </row>
    <row r="188" spans="1:3">
      <c r="A188" s="487">
        <v>1</v>
      </c>
      <c r="B188" s="486" t="s">
        <v>775</v>
      </c>
      <c r="C188" s="486" t="s">
        <v>775</v>
      </c>
    </row>
    <row r="189" spans="1:3" ht="33.75">
      <c r="A189" s="487">
        <v>2</v>
      </c>
      <c r="B189" s="486" t="s">
        <v>916</v>
      </c>
      <c r="C189" s="486" t="s">
        <v>917</v>
      </c>
    </row>
    <row r="190" spans="1:3">
      <c r="A190" s="487">
        <v>3</v>
      </c>
      <c r="B190" s="486" t="s">
        <v>777</v>
      </c>
      <c r="C190" s="486" t="s">
        <v>918</v>
      </c>
    </row>
    <row r="191" spans="1:3" ht="22.5">
      <c r="A191" s="487">
        <v>4</v>
      </c>
      <c r="B191" s="486" t="s">
        <v>778</v>
      </c>
      <c r="C191" s="486" t="s">
        <v>919</v>
      </c>
    </row>
    <row r="192" spans="1:3" ht="22.5">
      <c r="A192" s="487">
        <v>5</v>
      </c>
      <c r="B192" s="486" t="s">
        <v>779</v>
      </c>
      <c r="C192" s="486" t="s">
        <v>1004</v>
      </c>
    </row>
    <row r="193" spans="1:4" ht="45">
      <c r="A193" s="487">
        <v>6</v>
      </c>
      <c r="B193" s="486" t="s">
        <v>780</v>
      </c>
      <c r="C193" s="486" t="s">
        <v>920</v>
      </c>
    </row>
    <row r="194" spans="1:4">
      <c r="A194" s="479"/>
      <c r="B194" s="925" t="s">
        <v>921</v>
      </c>
      <c r="C194" s="926"/>
    </row>
    <row r="195" spans="1:4" ht="26.1" customHeight="1">
      <c r="A195" s="479"/>
      <c r="B195" s="935" t="s">
        <v>946</v>
      </c>
      <c r="C195" s="937"/>
    </row>
    <row r="196" spans="1:4" ht="22.5">
      <c r="A196" s="479">
        <v>1.1000000000000001</v>
      </c>
      <c r="B196" s="499" t="s">
        <v>790</v>
      </c>
      <c r="C196" s="711" t="s">
        <v>922</v>
      </c>
      <c r="D196" s="513"/>
    </row>
    <row r="197" spans="1:4" ht="12.75">
      <c r="A197" s="479" t="s">
        <v>252</v>
      </c>
      <c r="B197" s="500" t="s">
        <v>791</v>
      </c>
      <c r="C197" s="711" t="s">
        <v>923</v>
      </c>
      <c r="D197" s="514"/>
    </row>
    <row r="198" spans="1:4" ht="12.75">
      <c r="A198" s="479" t="s">
        <v>792</v>
      </c>
      <c r="B198" s="501" t="s">
        <v>793</v>
      </c>
      <c r="C198" s="888" t="s">
        <v>947</v>
      </c>
      <c r="D198" s="515"/>
    </row>
    <row r="199" spans="1:4" ht="12.75">
      <c r="A199" s="479" t="s">
        <v>794</v>
      </c>
      <c r="B199" s="501" t="s">
        <v>795</v>
      </c>
      <c r="C199" s="888"/>
      <c r="D199" s="515"/>
    </row>
    <row r="200" spans="1:4" ht="12.75">
      <c r="A200" s="479" t="s">
        <v>796</v>
      </c>
      <c r="B200" s="501" t="s">
        <v>797</v>
      </c>
      <c r="C200" s="888"/>
      <c r="D200" s="515"/>
    </row>
    <row r="201" spans="1:4" ht="12.75">
      <c r="A201" s="479" t="s">
        <v>798</v>
      </c>
      <c r="B201" s="501" t="s">
        <v>799</v>
      </c>
      <c r="C201" s="888"/>
      <c r="D201" s="515"/>
    </row>
    <row r="202" spans="1:4" ht="22.5">
      <c r="A202" s="479">
        <v>1.2</v>
      </c>
      <c r="B202" s="502" t="s">
        <v>800</v>
      </c>
      <c r="C202" s="503" t="s">
        <v>924</v>
      </c>
      <c r="D202" s="516"/>
    </row>
    <row r="203" spans="1:4" ht="22.5">
      <c r="A203" s="479" t="s">
        <v>802</v>
      </c>
      <c r="B203" s="504" t="s">
        <v>803</v>
      </c>
      <c r="C203" s="505" t="s">
        <v>925</v>
      </c>
      <c r="D203" s="517"/>
    </row>
    <row r="204" spans="1:4" ht="23.25">
      <c r="A204" s="479" t="s">
        <v>804</v>
      </c>
      <c r="B204" s="506" t="s">
        <v>805</v>
      </c>
      <c r="C204" s="505" t="s">
        <v>926</v>
      </c>
      <c r="D204" s="518"/>
    </row>
    <row r="205" spans="1:4" ht="12.75">
      <c r="A205" s="479" t="s">
        <v>806</v>
      </c>
      <c r="B205" s="507" t="s">
        <v>807</v>
      </c>
      <c r="C205" s="503" t="s">
        <v>927</v>
      </c>
      <c r="D205" s="517"/>
    </row>
    <row r="206" spans="1:4" ht="18" customHeight="1">
      <c r="A206" s="479" t="s">
        <v>808</v>
      </c>
      <c r="B206" s="510" t="s">
        <v>809</v>
      </c>
      <c r="C206" s="503" t="s">
        <v>928</v>
      </c>
      <c r="D206" s="518"/>
    </row>
    <row r="207" spans="1:4" ht="22.5">
      <c r="A207" s="479">
        <v>1.4</v>
      </c>
      <c r="B207" s="504" t="s">
        <v>942</v>
      </c>
      <c r="C207" s="508" t="s">
        <v>929</v>
      </c>
      <c r="D207" s="519"/>
    </row>
    <row r="208" spans="1:4" ht="12.75">
      <c r="A208" s="479">
        <v>1.5</v>
      </c>
      <c r="B208" s="504" t="s">
        <v>943</v>
      </c>
      <c r="C208" s="508" t="s">
        <v>929</v>
      </c>
      <c r="D208" s="519"/>
    </row>
    <row r="209" spans="1:3">
      <c r="A209" s="479"/>
      <c r="B209" s="916" t="s">
        <v>930</v>
      </c>
      <c r="C209" s="916"/>
    </row>
    <row r="210" spans="1:3" ht="24.6" customHeight="1">
      <c r="A210" s="479"/>
      <c r="B210" s="935" t="s">
        <v>931</v>
      </c>
      <c r="C210" s="935"/>
    </row>
    <row r="211" spans="1:3" ht="22.5">
      <c r="A211" s="487"/>
      <c r="B211" s="481" t="s">
        <v>683</v>
      </c>
      <c r="C211" s="489" t="s">
        <v>878</v>
      </c>
    </row>
    <row r="212" spans="1:3" ht="22.5">
      <c r="A212" s="487"/>
      <c r="B212" s="481" t="s">
        <v>684</v>
      </c>
      <c r="C212" s="489" t="s">
        <v>879</v>
      </c>
    </row>
    <row r="213" spans="1:3" ht="22.5">
      <c r="A213" s="479"/>
      <c r="B213" s="481" t="s">
        <v>685</v>
      </c>
      <c r="C213" s="489" t="s">
        <v>932</v>
      </c>
    </row>
    <row r="214" spans="1:3">
      <c r="A214" s="479"/>
      <c r="B214" s="916" t="s">
        <v>933</v>
      </c>
      <c r="C214" s="916"/>
    </row>
    <row r="215" spans="1:3" ht="39.6" customHeight="1">
      <c r="A215" s="487"/>
      <c r="B215" s="936" t="s">
        <v>948</v>
      </c>
      <c r="C215" s="936"/>
    </row>
    <row r="216" spans="1:3">
      <c r="B216" s="916" t="s">
        <v>1005</v>
      </c>
      <c r="C216" s="916"/>
    </row>
    <row r="217" spans="1:3" ht="25.5">
      <c r="A217" s="745">
        <v>1</v>
      </c>
      <c r="B217" s="755" t="s">
        <v>982</v>
      </c>
      <c r="C217" s="756" t="s">
        <v>1006</v>
      </c>
    </row>
    <row r="218" spans="1:3" ht="12.75">
      <c r="A218" s="745">
        <v>2</v>
      </c>
      <c r="B218" s="755" t="s">
        <v>983</v>
      </c>
      <c r="C218" s="756" t="s">
        <v>1007</v>
      </c>
    </row>
    <row r="219" spans="1:3" ht="25.5">
      <c r="A219" s="745">
        <v>3</v>
      </c>
      <c r="B219" s="755" t="s">
        <v>984</v>
      </c>
      <c r="C219" s="755" t="s">
        <v>1008</v>
      </c>
    </row>
    <row r="220" spans="1:3" ht="12.75">
      <c r="A220" s="745">
        <v>4</v>
      </c>
      <c r="B220" s="755" t="s">
        <v>985</v>
      </c>
      <c r="C220" s="755" t="s">
        <v>1009</v>
      </c>
    </row>
    <row r="221" spans="1:3" ht="25.5">
      <c r="A221" s="745">
        <v>5</v>
      </c>
      <c r="B221" s="755" t="s">
        <v>986</v>
      </c>
      <c r="C221" s="755" t="s">
        <v>1010</v>
      </c>
    </row>
    <row r="222" spans="1:3" ht="12.75">
      <c r="A222" s="745">
        <v>6</v>
      </c>
      <c r="B222" s="755" t="s">
        <v>987</v>
      </c>
      <c r="C222" s="755" t="s">
        <v>1011</v>
      </c>
    </row>
    <row r="223" spans="1:3" ht="25.5">
      <c r="A223" s="745">
        <v>7</v>
      </c>
      <c r="B223" s="755" t="s">
        <v>988</v>
      </c>
      <c r="C223" s="755" t="s">
        <v>1012</v>
      </c>
    </row>
    <row r="224" spans="1:3" ht="12.75">
      <c r="A224" s="745">
        <v>7.1</v>
      </c>
      <c r="B224" s="757" t="s">
        <v>989</v>
      </c>
      <c r="C224" s="755" t="s">
        <v>1013</v>
      </c>
    </row>
    <row r="225" spans="1:3" ht="25.5">
      <c r="A225" s="745">
        <v>7.2</v>
      </c>
      <c r="B225" s="757" t="s">
        <v>990</v>
      </c>
      <c r="C225" s="755" t="s">
        <v>1014</v>
      </c>
    </row>
    <row r="226" spans="1:3" ht="12.75">
      <c r="A226" s="745">
        <v>7.3</v>
      </c>
      <c r="B226" s="758" t="s">
        <v>991</v>
      </c>
      <c r="C226" s="755" t="s">
        <v>1015</v>
      </c>
    </row>
    <row r="227" spans="1:3" ht="12.75">
      <c r="A227" s="745">
        <v>8</v>
      </c>
      <c r="B227" s="755" t="s">
        <v>992</v>
      </c>
      <c r="C227" s="756" t="s">
        <v>1016</v>
      </c>
    </row>
    <row r="228" spans="1:3" ht="12.75">
      <c r="A228" s="745">
        <v>9</v>
      </c>
      <c r="B228" s="755" t="s">
        <v>993</v>
      </c>
      <c r="C228" s="756" t="s">
        <v>1017</v>
      </c>
    </row>
    <row r="229" spans="1:3" ht="25.5">
      <c r="A229" s="745">
        <v>10.1</v>
      </c>
      <c r="B229" s="759" t="s">
        <v>1018</v>
      </c>
      <c r="C229" s="756" t="s">
        <v>1019</v>
      </c>
    </row>
    <row r="230" spans="1:3" ht="12.75">
      <c r="A230" s="932"/>
      <c r="B230" s="760" t="s">
        <v>785</v>
      </c>
      <c r="C230" s="756" t="s">
        <v>1020</v>
      </c>
    </row>
    <row r="231" spans="1:3" ht="25.5">
      <c r="A231" s="933"/>
      <c r="B231" s="760" t="s">
        <v>976</v>
      </c>
      <c r="C231" s="756" t="s">
        <v>1021</v>
      </c>
    </row>
    <row r="232" spans="1:3" ht="12.75">
      <c r="A232" s="933"/>
      <c r="B232" s="760" t="s">
        <v>977</v>
      </c>
      <c r="C232" s="756" t="s">
        <v>1022</v>
      </c>
    </row>
    <row r="233" spans="1:3" ht="24">
      <c r="A233" s="933"/>
      <c r="B233" s="760" t="s">
        <v>978</v>
      </c>
      <c r="C233" s="761" t="s">
        <v>1023</v>
      </c>
    </row>
    <row r="234" spans="1:3" ht="40.5" customHeight="1">
      <c r="A234" s="933"/>
      <c r="B234" s="760" t="s">
        <v>979</v>
      </c>
      <c r="C234" s="756" t="s">
        <v>1024</v>
      </c>
    </row>
    <row r="235" spans="1:3" ht="24" customHeight="1">
      <c r="A235" s="933"/>
      <c r="B235" s="760" t="s">
        <v>980</v>
      </c>
      <c r="C235" s="756" t="s">
        <v>1025</v>
      </c>
    </row>
    <row r="236" spans="1:3" ht="25.5">
      <c r="A236" s="934"/>
      <c r="B236" s="760" t="s">
        <v>981</v>
      </c>
      <c r="C236" s="756" t="s">
        <v>1026</v>
      </c>
    </row>
  </sheetData>
  <mergeCells count="133">
    <mergeCell ref="A230:A236"/>
    <mergeCell ref="C198:C201"/>
    <mergeCell ref="B209:C209"/>
    <mergeCell ref="B210:C210"/>
    <mergeCell ref="B214:C214"/>
    <mergeCell ref="B215:C215"/>
    <mergeCell ref="B216:C216"/>
    <mergeCell ref="B168:C168"/>
    <mergeCell ref="B169:C169"/>
    <mergeCell ref="B186:C186"/>
    <mergeCell ref="B187:C187"/>
    <mergeCell ref="B194:C194"/>
    <mergeCell ref="B195:C195"/>
    <mergeCell ref="B156:C156"/>
    <mergeCell ref="B157:C157"/>
    <mergeCell ref="B158:C158"/>
    <mergeCell ref="B159:C159"/>
    <mergeCell ref="B160:C160"/>
    <mergeCell ref="B165:C165"/>
    <mergeCell ref="B116:C116"/>
    <mergeCell ref="B117:C117"/>
    <mergeCell ref="B118:C118"/>
    <mergeCell ref="B146:C146"/>
    <mergeCell ref="C147:C152"/>
    <mergeCell ref="B155:C155"/>
    <mergeCell ref="B110:C110"/>
    <mergeCell ref="A111:C111"/>
    <mergeCell ref="A112:C112"/>
    <mergeCell ref="B113:C113"/>
    <mergeCell ref="B114:C114"/>
    <mergeCell ref="B115:C115"/>
    <mergeCell ref="A97:C97"/>
    <mergeCell ref="A105:C105"/>
    <mergeCell ref="B106:C106"/>
    <mergeCell ref="A107:C107"/>
    <mergeCell ref="B108:C108"/>
    <mergeCell ref="B109:C109"/>
    <mergeCell ref="B91:C91"/>
    <mergeCell ref="B92:C92"/>
    <mergeCell ref="B93:C93"/>
    <mergeCell ref="B94:C94"/>
    <mergeCell ref="B95:C95"/>
    <mergeCell ref="A96:C96"/>
    <mergeCell ref="B85:C85"/>
    <mergeCell ref="B86:C86"/>
    <mergeCell ref="B87:C87"/>
    <mergeCell ref="A88:C88"/>
    <mergeCell ref="B89:C89"/>
    <mergeCell ref="B90:C90"/>
    <mergeCell ref="B79:C79"/>
    <mergeCell ref="A80:C80"/>
    <mergeCell ref="B81:C81"/>
    <mergeCell ref="B82:C82"/>
    <mergeCell ref="B83:C83"/>
    <mergeCell ref="B84:C84"/>
    <mergeCell ref="B73:C73"/>
    <mergeCell ref="B74:C74"/>
    <mergeCell ref="B75:C75"/>
    <mergeCell ref="A76:C76"/>
    <mergeCell ref="B77:C77"/>
    <mergeCell ref="B78:C78"/>
    <mergeCell ref="A67:C67"/>
    <mergeCell ref="B68:C68"/>
    <mergeCell ref="B69:C69"/>
    <mergeCell ref="B70:C70"/>
    <mergeCell ref="B71:C71"/>
    <mergeCell ref="B72:C72"/>
    <mergeCell ref="B61:C61"/>
    <mergeCell ref="B62:C62"/>
    <mergeCell ref="B63:C63"/>
    <mergeCell ref="B64:C64"/>
    <mergeCell ref="A65:C65"/>
    <mergeCell ref="B66:C66"/>
    <mergeCell ref="A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A46:C46"/>
    <mergeCell ref="B47:C47"/>
    <mergeCell ref="A48:C48"/>
    <mergeCell ref="B37:C37"/>
    <mergeCell ref="B38:C38"/>
    <mergeCell ref="B39:C39"/>
    <mergeCell ref="B40:C40"/>
    <mergeCell ref="B41:C41"/>
    <mergeCell ref="A42:C42"/>
    <mergeCell ref="B31:C31"/>
    <mergeCell ref="B32:C32"/>
    <mergeCell ref="B33:C33"/>
    <mergeCell ref="B34:C34"/>
    <mergeCell ref="B35:C35"/>
    <mergeCell ref="B36:C36"/>
    <mergeCell ref="B25:C25"/>
    <mergeCell ref="A26:C26"/>
    <mergeCell ref="B27:C27"/>
    <mergeCell ref="A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A1:C1"/>
    <mergeCell ref="B2:C2"/>
    <mergeCell ref="B3:C3"/>
    <mergeCell ref="A4:C4"/>
    <mergeCell ref="B5:C5"/>
    <mergeCell ref="B6:C6"/>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4" sqref="B4"/>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527" t="s">
        <v>188</v>
      </c>
      <c r="B1" s="528" t="s">
        <v>954</v>
      </c>
      <c r="C1" s="17"/>
    </row>
    <row r="2" spans="1:8" ht="15.75">
      <c r="A2" s="527" t="s">
        <v>189</v>
      </c>
      <c r="B2" s="529">
        <f>'1. key ratios'!B2</f>
        <v>44834</v>
      </c>
      <c r="C2" s="30"/>
      <c r="D2" s="19"/>
      <c r="E2" s="19"/>
      <c r="F2" s="19"/>
      <c r="G2" s="19"/>
      <c r="H2" s="19"/>
    </row>
    <row r="3" spans="1:8" ht="15.75">
      <c r="A3" s="18"/>
      <c r="B3" s="17"/>
      <c r="C3" s="30"/>
      <c r="D3" s="19"/>
      <c r="E3" s="19"/>
      <c r="F3" s="19"/>
      <c r="G3" s="19"/>
      <c r="H3" s="19"/>
    </row>
    <row r="4" spans="1:8" ht="16.5" thickBot="1">
      <c r="A4" s="41" t="s">
        <v>407</v>
      </c>
      <c r="B4" s="31" t="s">
        <v>222</v>
      </c>
      <c r="C4" s="34"/>
      <c r="D4" s="34"/>
      <c r="E4" s="34"/>
      <c r="F4" s="41"/>
      <c r="G4" s="41"/>
      <c r="H4" s="42" t="s">
        <v>93</v>
      </c>
    </row>
    <row r="5" spans="1:8" ht="15.75">
      <c r="A5" s="106"/>
      <c r="B5" s="107"/>
      <c r="C5" s="772" t="s">
        <v>194</v>
      </c>
      <c r="D5" s="773"/>
      <c r="E5" s="774"/>
      <c r="F5" s="772" t="s">
        <v>195</v>
      </c>
      <c r="G5" s="773"/>
      <c r="H5" s="775"/>
    </row>
    <row r="6" spans="1:8">
      <c r="A6" s="582" t="s">
        <v>26</v>
      </c>
      <c r="B6" s="583"/>
      <c r="C6" s="584" t="s">
        <v>27</v>
      </c>
      <c r="D6" s="584" t="s">
        <v>96</v>
      </c>
      <c r="E6" s="584" t="s">
        <v>68</v>
      </c>
      <c r="F6" s="584" t="s">
        <v>27</v>
      </c>
      <c r="G6" s="584" t="s">
        <v>96</v>
      </c>
      <c r="H6" s="585" t="s">
        <v>68</v>
      </c>
    </row>
    <row r="7" spans="1:8">
      <c r="A7" s="586"/>
      <c r="B7" s="587" t="s">
        <v>92</v>
      </c>
      <c r="C7" s="588"/>
      <c r="D7" s="588"/>
      <c r="E7" s="588"/>
      <c r="F7" s="588"/>
      <c r="G7" s="588"/>
      <c r="H7" s="589"/>
    </row>
    <row r="8" spans="1:8">
      <c r="A8" s="586">
        <v>1</v>
      </c>
      <c r="B8" s="590" t="s">
        <v>97</v>
      </c>
      <c r="C8" s="591">
        <v>522682.46</v>
      </c>
      <c r="D8" s="591">
        <v>28310.400000000001</v>
      </c>
      <c r="E8" s="571">
        <f>C8+D8</f>
        <v>550992.86</v>
      </c>
      <c r="F8" s="592">
        <v>423267.39</v>
      </c>
      <c r="G8" s="592">
        <v>15574.3</v>
      </c>
      <c r="H8" s="573">
        <f>F8+G8</f>
        <v>438841.69</v>
      </c>
    </row>
    <row r="9" spans="1:8">
      <c r="A9" s="586">
        <v>2</v>
      </c>
      <c r="B9" s="590" t="s">
        <v>98</v>
      </c>
      <c r="C9" s="593">
        <f>SUM(C10:C18)</f>
        <v>16478689.249999998</v>
      </c>
      <c r="D9" s="593">
        <f>SUM(D10:D18)</f>
        <v>784069.31</v>
      </c>
      <c r="E9" s="571">
        <f t="shared" ref="E9:E67" si="0">C9+D9</f>
        <v>17262758.559999999</v>
      </c>
      <c r="F9" s="593">
        <f>SUM(F10:F18)</f>
        <v>12250289.049999997</v>
      </c>
      <c r="G9" s="593">
        <f>SUM(G10:G18)</f>
        <v>1001943.7000000001</v>
      </c>
      <c r="H9" s="573">
        <f t="shared" ref="H9:H67" si="1">F9+G9</f>
        <v>13252232.749999996</v>
      </c>
    </row>
    <row r="10" spans="1:8">
      <c r="A10" s="586">
        <v>2.1</v>
      </c>
      <c r="B10" s="594" t="s">
        <v>99</v>
      </c>
      <c r="C10" s="592">
        <v>0</v>
      </c>
      <c r="D10" s="592">
        <v>196101.53</v>
      </c>
      <c r="E10" s="571">
        <f t="shared" si="0"/>
        <v>196101.53</v>
      </c>
      <c r="F10" s="592">
        <v>0</v>
      </c>
      <c r="G10" s="592">
        <v>241458.99</v>
      </c>
      <c r="H10" s="573">
        <f t="shared" si="1"/>
        <v>241458.99</v>
      </c>
    </row>
    <row r="11" spans="1:8">
      <c r="A11" s="586">
        <v>2.2000000000000002</v>
      </c>
      <c r="B11" s="594" t="s">
        <v>100</v>
      </c>
      <c r="C11" s="592">
        <v>15804101.629999999</v>
      </c>
      <c r="D11" s="592">
        <v>0</v>
      </c>
      <c r="E11" s="571">
        <f t="shared" si="0"/>
        <v>15804101.629999999</v>
      </c>
      <c r="F11" s="592">
        <v>11565019.559999997</v>
      </c>
      <c r="G11" s="592">
        <v>0</v>
      </c>
      <c r="H11" s="573">
        <f t="shared" si="1"/>
        <v>11565019.559999997</v>
      </c>
    </row>
    <row r="12" spans="1:8">
      <c r="A12" s="586">
        <v>2.2999999999999998</v>
      </c>
      <c r="B12" s="594" t="s">
        <v>101</v>
      </c>
      <c r="C12" s="592"/>
      <c r="D12" s="592"/>
      <c r="E12" s="571">
        <f t="shared" si="0"/>
        <v>0</v>
      </c>
      <c r="F12" s="592"/>
      <c r="G12" s="592"/>
      <c r="H12" s="573">
        <f t="shared" si="1"/>
        <v>0</v>
      </c>
    </row>
    <row r="13" spans="1:8">
      <c r="A13" s="586">
        <v>2.4</v>
      </c>
      <c r="B13" s="594" t="s">
        <v>102</v>
      </c>
      <c r="C13" s="592"/>
      <c r="D13" s="592"/>
      <c r="E13" s="571">
        <f t="shared" si="0"/>
        <v>0</v>
      </c>
      <c r="F13" s="592"/>
      <c r="G13" s="592"/>
      <c r="H13" s="573">
        <f t="shared" si="1"/>
        <v>0</v>
      </c>
    </row>
    <row r="14" spans="1:8">
      <c r="A14" s="586">
        <v>2.5</v>
      </c>
      <c r="B14" s="594" t="s">
        <v>103</v>
      </c>
      <c r="C14" s="592"/>
      <c r="D14" s="592"/>
      <c r="E14" s="571">
        <f t="shared" si="0"/>
        <v>0</v>
      </c>
      <c r="F14" s="592"/>
      <c r="G14" s="592"/>
      <c r="H14" s="573">
        <f t="shared" si="1"/>
        <v>0</v>
      </c>
    </row>
    <row r="15" spans="1:8">
      <c r="A15" s="586">
        <v>2.6</v>
      </c>
      <c r="B15" s="594" t="s">
        <v>104</v>
      </c>
      <c r="C15" s="592"/>
      <c r="D15" s="592"/>
      <c r="E15" s="571">
        <f t="shared" si="0"/>
        <v>0</v>
      </c>
      <c r="F15" s="592"/>
      <c r="G15" s="592"/>
      <c r="H15" s="573">
        <f t="shared" si="1"/>
        <v>0</v>
      </c>
    </row>
    <row r="16" spans="1:8">
      <c r="A16" s="586">
        <v>2.7</v>
      </c>
      <c r="B16" s="594" t="s">
        <v>105</v>
      </c>
      <c r="C16" s="592"/>
      <c r="D16" s="592"/>
      <c r="E16" s="571">
        <f t="shared" si="0"/>
        <v>0</v>
      </c>
      <c r="F16" s="592"/>
      <c r="G16" s="592"/>
      <c r="H16" s="573">
        <f t="shared" si="1"/>
        <v>0</v>
      </c>
    </row>
    <row r="17" spans="1:8">
      <c r="A17" s="586">
        <v>2.8</v>
      </c>
      <c r="B17" s="594" t="s">
        <v>106</v>
      </c>
      <c r="C17" s="592">
        <v>674587.62</v>
      </c>
      <c r="D17" s="592">
        <v>587967.78</v>
      </c>
      <c r="E17" s="571">
        <f t="shared" si="0"/>
        <v>1262555.3999999999</v>
      </c>
      <c r="F17" s="592">
        <v>685269.49000000011</v>
      </c>
      <c r="G17" s="592">
        <v>760484.71000000008</v>
      </c>
      <c r="H17" s="573">
        <f t="shared" si="1"/>
        <v>1445754.2000000002</v>
      </c>
    </row>
    <row r="18" spans="1:8">
      <c r="A18" s="586">
        <v>2.9</v>
      </c>
      <c r="B18" s="594" t="s">
        <v>107</v>
      </c>
      <c r="C18" s="592">
        <v>0</v>
      </c>
      <c r="D18" s="592">
        <v>0</v>
      </c>
      <c r="E18" s="571">
        <f t="shared" si="0"/>
        <v>0</v>
      </c>
      <c r="F18" s="592">
        <v>0</v>
      </c>
      <c r="G18" s="592">
        <v>0</v>
      </c>
      <c r="H18" s="573">
        <f t="shared" si="1"/>
        <v>0</v>
      </c>
    </row>
    <row r="19" spans="1:8">
      <c r="A19" s="586">
        <v>3</v>
      </c>
      <c r="B19" s="590" t="s">
        <v>108</v>
      </c>
      <c r="C19" s="592">
        <v>0</v>
      </c>
      <c r="D19" s="592">
        <v>0</v>
      </c>
      <c r="E19" s="571">
        <f t="shared" si="0"/>
        <v>0</v>
      </c>
      <c r="F19" s="592">
        <v>0</v>
      </c>
      <c r="G19" s="592">
        <v>0</v>
      </c>
      <c r="H19" s="573">
        <f t="shared" si="1"/>
        <v>0</v>
      </c>
    </row>
    <row r="20" spans="1:8">
      <c r="A20" s="586">
        <v>4</v>
      </c>
      <c r="B20" s="590" t="s">
        <v>109</v>
      </c>
      <c r="C20" s="592">
        <v>2864011.885157547</v>
      </c>
      <c r="D20" s="592">
        <v>204075.10550209752</v>
      </c>
      <c r="E20" s="571">
        <f t="shared" si="0"/>
        <v>3068086.9906596444</v>
      </c>
      <c r="F20" s="592">
        <v>1943994.002720501</v>
      </c>
      <c r="G20" s="592">
        <v>329591.05048548954</v>
      </c>
      <c r="H20" s="573">
        <f t="shared" si="1"/>
        <v>2273585.0532059907</v>
      </c>
    </row>
    <row r="21" spans="1:8">
      <c r="A21" s="586">
        <v>5</v>
      </c>
      <c r="B21" s="590" t="s">
        <v>110</v>
      </c>
      <c r="C21" s="592">
        <v>0</v>
      </c>
      <c r="D21" s="592"/>
      <c r="E21" s="571">
        <f t="shared" si="0"/>
        <v>0</v>
      </c>
      <c r="F21" s="592">
        <v>0</v>
      </c>
      <c r="G21" s="592"/>
      <c r="H21" s="573">
        <f>F21+G21</f>
        <v>0</v>
      </c>
    </row>
    <row r="22" spans="1:8">
      <c r="A22" s="586">
        <v>6</v>
      </c>
      <c r="B22" s="595" t="s">
        <v>111</v>
      </c>
      <c r="C22" s="593">
        <f>C8+C9+C19+C20+C21</f>
        <v>19865383.595157545</v>
      </c>
      <c r="D22" s="593">
        <f>D8+D9+D19+D20+D21</f>
        <v>1016454.8155020976</v>
      </c>
      <c r="E22" s="571">
        <f>C22+D22</f>
        <v>20881838.410659641</v>
      </c>
      <c r="F22" s="593">
        <f>F8+F9+F19+F20+F21</f>
        <v>14617550.442720499</v>
      </c>
      <c r="G22" s="593">
        <f>G8+G9+G19+G20+G21</f>
        <v>1347109.0504854897</v>
      </c>
      <c r="H22" s="573">
        <f>F22+G22</f>
        <v>15964659.493205989</v>
      </c>
    </row>
    <row r="23" spans="1:8">
      <c r="A23" s="586"/>
      <c r="B23" s="587" t="s">
        <v>90</v>
      </c>
      <c r="C23" s="592"/>
      <c r="D23" s="592"/>
      <c r="E23" s="570"/>
      <c r="F23" s="592"/>
      <c r="G23" s="592"/>
      <c r="H23" s="596"/>
    </row>
    <row r="24" spans="1:8">
      <c r="A24" s="586">
        <v>7</v>
      </c>
      <c r="B24" s="590" t="s">
        <v>112</v>
      </c>
      <c r="C24" s="592">
        <v>456411.27</v>
      </c>
      <c r="D24" s="592">
        <v>0</v>
      </c>
      <c r="E24" s="571">
        <f t="shared" si="0"/>
        <v>456411.27</v>
      </c>
      <c r="F24" s="592">
        <v>263134.42000000004</v>
      </c>
      <c r="G24" s="592">
        <v>0</v>
      </c>
      <c r="H24" s="573">
        <f t="shared" si="1"/>
        <v>263134.42000000004</v>
      </c>
    </row>
    <row r="25" spans="1:8">
      <c r="A25" s="586">
        <v>8</v>
      </c>
      <c r="B25" s="590" t="s">
        <v>113</v>
      </c>
      <c r="C25" s="592">
        <v>585156.251132</v>
      </c>
      <c r="D25" s="592">
        <v>289569.42886799999</v>
      </c>
      <c r="E25" s="571">
        <f t="shared" si="0"/>
        <v>874725.67999999993</v>
      </c>
      <c r="F25" s="592">
        <v>470770.27966000012</v>
      </c>
      <c r="G25" s="592">
        <v>374219.58034000004</v>
      </c>
      <c r="H25" s="573">
        <f t="shared" si="1"/>
        <v>844989.8600000001</v>
      </c>
    </row>
    <row r="26" spans="1:8">
      <c r="A26" s="586">
        <v>9</v>
      </c>
      <c r="B26" s="590" t="s">
        <v>114</v>
      </c>
      <c r="C26" s="592">
        <v>310409.67</v>
      </c>
      <c r="D26" s="592">
        <v>830032.97999200004</v>
      </c>
      <c r="E26" s="571">
        <f t="shared" si="0"/>
        <v>1140442.6499920001</v>
      </c>
      <c r="F26" s="592">
        <v>24879.26</v>
      </c>
      <c r="G26" s="592">
        <v>1008640.81</v>
      </c>
      <c r="H26" s="573">
        <f t="shared" si="1"/>
        <v>1033520.0700000001</v>
      </c>
    </row>
    <row r="27" spans="1:8">
      <c r="A27" s="586">
        <v>10</v>
      </c>
      <c r="B27" s="590" t="s">
        <v>115</v>
      </c>
      <c r="C27" s="592"/>
      <c r="D27" s="592"/>
      <c r="E27" s="571">
        <f t="shared" si="0"/>
        <v>0</v>
      </c>
      <c r="F27" s="592"/>
      <c r="G27" s="592"/>
      <c r="H27" s="573">
        <f t="shared" si="1"/>
        <v>0</v>
      </c>
    </row>
    <row r="28" spans="1:8">
      <c r="A28" s="586">
        <v>11</v>
      </c>
      <c r="B28" s="590" t="s">
        <v>116</v>
      </c>
      <c r="C28" s="592">
        <v>456179.41</v>
      </c>
      <c r="D28" s="592">
        <v>1968464.4800000002</v>
      </c>
      <c r="E28" s="571">
        <f t="shared" si="0"/>
        <v>2424643.89</v>
      </c>
      <c r="F28" s="592">
        <v>24836.65</v>
      </c>
      <c r="G28" s="592">
        <v>1187288.6500000001</v>
      </c>
      <c r="H28" s="573">
        <f t="shared" si="1"/>
        <v>1212125.3</v>
      </c>
    </row>
    <row r="29" spans="1:8">
      <c r="A29" s="586">
        <v>12</v>
      </c>
      <c r="B29" s="590" t="s">
        <v>117</v>
      </c>
      <c r="C29" s="592"/>
      <c r="D29" s="592"/>
      <c r="E29" s="571">
        <f t="shared" si="0"/>
        <v>0</v>
      </c>
      <c r="F29" s="592"/>
      <c r="G29" s="592"/>
      <c r="H29" s="573">
        <f t="shared" si="1"/>
        <v>0</v>
      </c>
    </row>
    <row r="30" spans="1:8">
      <c r="A30" s="586">
        <v>13</v>
      </c>
      <c r="B30" s="597" t="s">
        <v>118</v>
      </c>
      <c r="C30" s="593">
        <f>SUM(C24:C29)</f>
        <v>1808156.6011319999</v>
      </c>
      <c r="D30" s="593">
        <f>SUM(D24:D29)</f>
        <v>3088066.8888600003</v>
      </c>
      <c r="E30" s="571">
        <f t="shared" si="0"/>
        <v>4896223.4899920002</v>
      </c>
      <c r="F30" s="593">
        <f>SUM(F24:F29)</f>
        <v>783620.60966000019</v>
      </c>
      <c r="G30" s="593">
        <f>SUM(G24:G29)</f>
        <v>2570149.0403400003</v>
      </c>
      <c r="H30" s="573">
        <f t="shared" si="1"/>
        <v>3353769.6500000004</v>
      </c>
    </row>
    <row r="31" spans="1:8">
      <c r="A31" s="586">
        <v>14</v>
      </c>
      <c r="B31" s="597" t="s">
        <v>119</v>
      </c>
      <c r="C31" s="593">
        <f>C22-C30</f>
        <v>18057226.994025543</v>
      </c>
      <c r="D31" s="593">
        <f>D22-D30</f>
        <v>-2071612.0733579027</v>
      </c>
      <c r="E31" s="571">
        <f t="shared" si="0"/>
        <v>15985614.920667641</v>
      </c>
      <c r="F31" s="593">
        <f>F22-F30</f>
        <v>13833929.833060499</v>
      </c>
      <c r="G31" s="593">
        <f>G22-G30</f>
        <v>-1223039.9898545106</v>
      </c>
      <c r="H31" s="573">
        <f t="shared" si="1"/>
        <v>12610889.843205988</v>
      </c>
    </row>
    <row r="32" spans="1:8">
      <c r="A32" s="586"/>
      <c r="B32" s="587"/>
      <c r="C32" s="598"/>
      <c r="D32" s="598"/>
      <c r="E32" s="598"/>
      <c r="F32" s="598"/>
      <c r="G32" s="598"/>
      <c r="H32" s="599"/>
    </row>
    <row r="33" spans="1:8">
      <c r="A33" s="586"/>
      <c r="B33" s="587" t="s">
        <v>120</v>
      </c>
      <c r="C33" s="592"/>
      <c r="D33" s="592"/>
      <c r="E33" s="570"/>
      <c r="F33" s="592"/>
      <c r="G33" s="592"/>
      <c r="H33" s="596"/>
    </row>
    <row r="34" spans="1:8">
      <c r="A34" s="586">
        <v>15</v>
      </c>
      <c r="B34" s="600" t="s">
        <v>91</v>
      </c>
      <c r="C34" s="601">
        <f>C35-C36</f>
        <v>106375.88000000012</v>
      </c>
      <c r="D34" s="601">
        <f>D35-D36</f>
        <v>0</v>
      </c>
      <c r="E34" s="571">
        <f t="shared" si="0"/>
        <v>106375.88000000012</v>
      </c>
      <c r="F34" s="601">
        <f>F35-F36</f>
        <v>-79518.469999999972</v>
      </c>
      <c r="G34" s="601">
        <f>G35-G36</f>
        <v>0</v>
      </c>
      <c r="H34" s="573">
        <f t="shared" si="1"/>
        <v>-79518.469999999972</v>
      </c>
    </row>
    <row r="35" spans="1:8">
      <c r="A35" s="586">
        <v>15.1</v>
      </c>
      <c r="B35" s="594" t="s">
        <v>121</v>
      </c>
      <c r="C35" s="592">
        <v>1067094.9700000002</v>
      </c>
      <c r="D35" s="592"/>
      <c r="E35" s="571">
        <f t="shared" si="0"/>
        <v>1067094.9700000002</v>
      </c>
      <c r="F35" s="592">
        <v>1076563.9300000002</v>
      </c>
      <c r="G35" s="592"/>
      <c r="H35" s="573">
        <f t="shared" si="1"/>
        <v>1076563.9300000002</v>
      </c>
    </row>
    <row r="36" spans="1:8">
      <c r="A36" s="586">
        <v>15.2</v>
      </c>
      <c r="B36" s="594" t="s">
        <v>122</v>
      </c>
      <c r="C36" s="592">
        <v>960719.09000000008</v>
      </c>
      <c r="D36" s="592"/>
      <c r="E36" s="571">
        <f t="shared" si="0"/>
        <v>960719.09000000008</v>
      </c>
      <c r="F36" s="592">
        <v>1156082.4000000001</v>
      </c>
      <c r="G36" s="592"/>
      <c r="H36" s="573">
        <f t="shared" si="1"/>
        <v>1156082.4000000001</v>
      </c>
    </row>
    <row r="37" spans="1:8">
      <c r="A37" s="586">
        <v>16</v>
      </c>
      <c r="B37" s="590" t="s">
        <v>123</v>
      </c>
      <c r="C37" s="592">
        <v>0</v>
      </c>
      <c r="D37" s="592"/>
      <c r="E37" s="571">
        <f t="shared" si="0"/>
        <v>0</v>
      </c>
      <c r="F37" s="592">
        <v>0</v>
      </c>
      <c r="G37" s="592"/>
      <c r="H37" s="573">
        <f t="shared" si="1"/>
        <v>0</v>
      </c>
    </row>
    <row r="38" spans="1:8">
      <c r="A38" s="586">
        <v>17</v>
      </c>
      <c r="B38" s="590" t="s">
        <v>124</v>
      </c>
      <c r="C38" s="592">
        <v>0</v>
      </c>
      <c r="D38" s="592"/>
      <c r="E38" s="571">
        <f t="shared" si="0"/>
        <v>0</v>
      </c>
      <c r="F38" s="592">
        <v>0</v>
      </c>
      <c r="G38" s="592"/>
      <c r="H38" s="573">
        <f t="shared" si="1"/>
        <v>0</v>
      </c>
    </row>
    <row r="39" spans="1:8">
      <c r="A39" s="586">
        <v>18</v>
      </c>
      <c r="B39" s="590" t="s">
        <v>125</v>
      </c>
      <c r="C39" s="592">
        <v>0</v>
      </c>
      <c r="D39" s="592"/>
      <c r="E39" s="571">
        <f t="shared" si="0"/>
        <v>0</v>
      </c>
      <c r="F39" s="592">
        <v>0</v>
      </c>
      <c r="G39" s="592"/>
      <c r="H39" s="573">
        <f t="shared" si="1"/>
        <v>0</v>
      </c>
    </row>
    <row r="40" spans="1:8">
      <c r="A40" s="586">
        <v>19</v>
      </c>
      <c r="B40" s="590" t="s">
        <v>126</v>
      </c>
      <c r="C40" s="592">
        <v>2729616.46</v>
      </c>
      <c r="D40" s="592"/>
      <c r="E40" s="571">
        <f t="shared" si="0"/>
        <v>2729616.46</v>
      </c>
      <c r="F40" s="592">
        <v>2175784.1000000006</v>
      </c>
      <c r="G40" s="592"/>
      <c r="H40" s="573">
        <f t="shared" si="1"/>
        <v>2175784.1000000006</v>
      </c>
    </row>
    <row r="41" spans="1:8">
      <c r="A41" s="586">
        <v>20</v>
      </c>
      <c r="B41" s="590" t="s">
        <v>127</v>
      </c>
      <c r="C41" s="592">
        <v>-1281723.2399999988</v>
      </c>
      <c r="D41" s="592"/>
      <c r="E41" s="571">
        <f t="shared" si="0"/>
        <v>-1281723.2399999988</v>
      </c>
      <c r="F41" s="592">
        <v>-1162065.0500000059</v>
      </c>
      <c r="G41" s="592"/>
      <c r="H41" s="573">
        <f t="shared" si="1"/>
        <v>-1162065.0500000059</v>
      </c>
    </row>
    <row r="42" spans="1:8">
      <c r="A42" s="586">
        <v>21</v>
      </c>
      <c r="B42" s="590" t="s">
        <v>128</v>
      </c>
      <c r="C42" s="592">
        <v>0</v>
      </c>
      <c r="D42" s="592"/>
      <c r="E42" s="571">
        <f t="shared" si="0"/>
        <v>0</v>
      </c>
      <c r="F42" s="592">
        <v>0</v>
      </c>
      <c r="G42" s="592"/>
      <c r="H42" s="573">
        <f t="shared" si="1"/>
        <v>0</v>
      </c>
    </row>
    <row r="43" spans="1:8">
      <c r="A43" s="586">
        <v>22</v>
      </c>
      <c r="B43" s="590" t="s">
        <v>129</v>
      </c>
      <c r="C43" s="592">
        <v>1875824.8099999998</v>
      </c>
      <c r="D43" s="592"/>
      <c r="E43" s="571">
        <f t="shared" si="0"/>
        <v>1875824.8099999998</v>
      </c>
      <c r="F43" s="592">
        <v>1857419.7999999998</v>
      </c>
      <c r="G43" s="592"/>
      <c r="H43" s="573">
        <f t="shared" si="1"/>
        <v>1857419.7999999998</v>
      </c>
    </row>
    <row r="44" spans="1:8">
      <c r="A44" s="586">
        <v>23</v>
      </c>
      <c r="B44" s="590" t="s">
        <v>130</v>
      </c>
      <c r="C44" s="592">
        <v>0</v>
      </c>
      <c r="D44" s="592"/>
      <c r="E44" s="571">
        <f t="shared" si="0"/>
        <v>0</v>
      </c>
      <c r="F44" s="592">
        <v>0</v>
      </c>
      <c r="G44" s="592"/>
      <c r="H44" s="573">
        <f t="shared" si="1"/>
        <v>0</v>
      </c>
    </row>
    <row r="45" spans="1:8">
      <c r="A45" s="586">
        <v>24</v>
      </c>
      <c r="B45" s="597" t="s">
        <v>131</v>
      </c>
      <c r="C45" s="593">
        <f>C34+C37+C38+C39+C40+C41+C42+C43+C44</f>
        <v>3430093.9100000011</v>
      </c>
      <c r="D45" s="593">
        <f>D34+D37+D38+D39+D40+D41+D42+D43+D44</f>
        <v>0</v>
      </c>
      <c r="E45" s="571">
        <f t="shared" si="0"/>
        <v>3430093.9100000011</v>
      </c>
      <c r="F45" s="593">
        <f>F34+F37+F38+F39+F40+F41+F42+F43+F44</f>
        <v>2791620.3799999943</v>
      </c>
      <c r="G45" s="593">
        <f>G34+G37+G38+G39+G40+G41+G42+G43+G44</f>
        <v>0</v>
      </c>
      <c r="H45" s="573">
        <f t="shared" si="1"/>
        <v>2791620.3799999943</v>
      </c>
    </row>
    <row r="46" spans="1:8">
      <c r="A46" s="586"/>
      <c r="B46" s="587" t="s">
        <v>132</v>
      </c>
      <c r="C46" s="592"/>
      <c r="D46" s="592"/>
      <c r="E46" s="592"/>
      <c r="F46" s="592"/>
      <c r="G46" s="592"/>
      <c r="H46" s="602"/>
    </row>
    <row r="47" spans="1:8">
      <c r="A47" s="586">
        <v>25</v>
      </c>
      <c r="B47" s="590" t="s">
        <v>133</v>
      </c>
      <c r="C47" s="592">
        <v>0</v>
      </c>
      <c r="D47" s="592">
        <v>162821.76000000001</v>
      </c>
      <c r="E47" s="571">
        <f t="shared" si="0"/>
        <v>162821.76000000001</v>
      </c>
      <c r="F47" s="592">
        <v>0</v>
      </c>
      <c r="G47" s="592">
        <v>19882.490000000002</v>
      </c>
      <c r="H47" s="573">
        <f t="shared" si="1"/>
        <v>19882.490000000002</v>
      </c>
    </row>
    <row r="48" spans="1:8">
      <c r="A48" s="586">
        <v>26</v>
      </c>
      <c r="B48" s="590" t="s">
        <v>134</v>
      </c>
      <c r="C48" s="592">
        <v>94590.61</v>
      </c>
      <c r="D48" s="592">
        <v>0</v>
      </c>
      <c r="E48" s="571">
        <f t="shared" si="0"/>
        <v>94590.61</v>
      </c>
      <c r="F48" s="592">
        <v>77437.580000000016</v>
      </c>
      <c r="G48" s="592">
        <v>0</v>
      </c>
      <c r="H48" s="573">
        <f t="shared" si="1"/>
        <v>77437.580000000016</v>
      </c>
    </row>
    <row r="49" spans="1:9">
      <c r="A49" s="586">
        <v>27</v>
      </c>
      <c r="B49" s="590" t="s">
        <v>135</v>
      </c>
      <c r="C49" s="592">
        <v>3244591.81</v>
      </c>
      <c r="D49" s="592"/>
      <c r="E49" s="571">
        <f t="shared" si="0"/>
        <v>3244591.81</v>
      </c>
      <c r="F49" s="592">
        <v>3492353.7899999996</v>
      </c>
      <c r="G49" s="592"/>
      <c r="H49" s="573">
        <f t="shared" si="1"/>
        <v>3492353.7899999996</v>
      </c>
    </row>
    <row r="50" spans="1:9">
      <c r="A50" s="586">
        <v>28</v>
      </c>
      <c r="B50" s="590" t="s">
        <v>271</v>
      </c>
      <c r="C50" s="592">
        <v>20471.52</v>
      </c>
      <c r="D50" s="592">
        <v>0</v>
      </c>
      <c r="E50" s="571">
        <f t="shared" si="0"/>
        <v>20471.52</v>
      </c>
      <c r="F50" s="592">
        <v>44255.55</v>
      </c>
      <c r="G50" s="592">
        <v>0</v>
      </c>
      <c r="H50" s="573">
        <f t="shared" si="1"/>
        <v>44255.55</v>
      </c>
    </row>
    <row r="51" spans="1:9">
      <c r="A51" s="586">
        <v>29</v>
      </c>
      <c r="B51" s="590" t="s">
        <v>136</v>
      </c>
      <c r="C51" s="592">
        <v>853492.31000000017</v>
      </c>
      <c r="D51" s="592">
        <v>0</v>
      </c>
      <c r="E51" s="571">
        <f t="shared" si="0"/>
        <v>853492.31000000017</v>
      </c>
      <c r="F51" s="592">
        <v>495412.6</v>
      </c>
      <c r="G51" s="592">
        <v>0</v>
      </c>
      <c r="H51" s="573">
        <f t="shared" si="1"/>
        <v>495412.6</v>
      </c>
    </row>
    <row r="52" spans="1:9">
      <c r="A52" s="586">
        <v>30</v>
      </c>
      <c r="B52" s="590" t="s">
        <v>137</v>
      </c>
      <c r="C52" s="592">
        <v>1475127.83</v>
      </c>
      <c r="D52" s="592"/>
      <c r="E52" s="571">
        <f t="shared" si="0"/>
        <v>1475127.83</v>
      </c>
      <c r="F52" s="592">
        <v>1821471.9599999997</v>
      </c>
      <c r="G52" s="592"/>
      <c r="H52" s="573">
        <f t="shared" si="1"/>
        <v>1821471.9599999997</v>
      </c>
    </row>
    <row r="53" spans="1:9">
      <c r="A53" s="586">
        <v>31</v>
      </c>
      <c r="B53" s="597" t="s">
        <v>138</v>
      </c>
      <c r="C53" s="593">
        <f>C47+C48+C49+C50+C51+C52</f>
        <v>5688274.0800000001</v>
      </c>
      <c r="D53" s="593">
        <f>D47+D48+D49+D50+D51+D52</f>
        <v>162821.76000000001</v>
      </c>
      <c r="E53" s="571">
        <f t="shared" si="0"/>
        <v>5851095.8399999999</v>
      </c>
      <c r="F53" s="593">
        <f>F47+F48+F49+F50+F51+F52</f>
        <v>5930931.4799999995</v>
      </c>
      <c r="G53" s="593">
        <f>G47+G48+G49+G50+G51+G52</f>
        <v>19882.490000000002</v>
      </c>
      <c r="H53" s="573">
        <f t="shared" si="1"/>
        <v>5950813.9699999997</v>
      </c>
    </row>
    <row r="54" spans="1:9">
      <c r="A54" s="586">
        <v>32</v>
      </c>
      <c r="B54" s="597" t="s">
        <v>139</v>
      </c>
      <c r="C54" s="593">
        <f>C45-C53</f>
        <v>-2258180.169999999</v>
      </c>
      <c r="D54" s="593">
        <f>D45-D53</f>
        <v>-162821.76000000001</v>
      </c>
      <c r="E54" s="571">
        <f t="shared" si="0"/>
        <v>-2421001.9299999988</v>
      </c>
      <c r="F54" s="593">
        <f>F45-F53</f>
        <v>-3139311.1000000052</v>
      </c>
      <c r="G54" s="593">
        <f>G45-G53</f>
        <v>-19882.490000000002</v>
      </c>
      <c r="H54" s="573">
        <f t="shared" si="1"/>
        <v>-3159193.5900000054</v>
      </c>
    </row>
    <row r="55" spans="1:9">
      <c r="A55" s="586"/>
      <c r="B55" s="587"/>
      <c r="C55" s="598"/>
      <c r="D55" s="598"/>
      <c r="E55" s="598"/>
      <c r="F55" s="598"/>
      <c r="G55" s="598"/>
      <c r="H55" s="599"/>
    </row>
    <row r="56" spans="1:9">
      <c r="A56" s="586">
        <v>33</v>
      </c>
      <c r="B56" s="597" t="s">
        <v>140</v>
      </c>
      <c r="C56" s="593">
        <f>C31+C54</f>
        <v>15799046.824025545</v>
      </c>
      <c r="D56" s="593">
        <f>D31+D54</f>
        <v>-2234433.8333579027</v>
      </c>
      <c r="E56" s="571">
        <f t="shared" si="0"/>
        <v>13564612.990667643</v>
      </c>
      <c r="F56" s="593">
        <f>F31+F54</f>
        <v>10694618.733060494</v>
      </c>
      <c r="G56" s="593">
        <f>G31+G54</f>
        <v>-1242922.4798545106</v>
      </c>
      <c r="H56" s="573">
        <f t="shared" si="1"/>
        <v>9451696.253205983</v>
      </c>
    </row>
    <row r="57" spans="1:9">
      <c r="A57" s="586"/>
      <c r="B57" s="587"/>
      <c r="C57" s="598"/>
      <c r="D57" s="598"/>
      <c r="E57" s="598"/>
      <c r="F57" s="598"/>
      <c r="G57" s="598"/>
      <c r="H57" s="599"/>
    </row>
    <row r="58" spans="1:9">
      <c r="A58" s="586">
        <v>34</v>
      </c>
      <c r="B58" s="590" t="s">
        <v>141</v>
      </c>
      <c r="C58" s="592">
        <v>-2393804.8220844921</v>
      </c>
      <c r="D58" s="592"/>
      <c r="E58" s="571">
        <f t="shared" si="0"/>
        <v>-2393804.8220844921</v>
      </c>
      <c r="F58" s="592">
        <v>-425423.89656236971</v>
      </c>
      <c r="G58" s="592"/>
      <c r="H58" s="573">
        <f t="shared" si="1"/>
        <v>-425423.89656236971</v>
      </c>
    </row>
    <row r="59" spans="1:9" s="185" customFormat="1">
      <c r="A59" s="586">
        <v>35</v>
      </c>
      <c r="B59" s="600" t="s">
        <v>142</v>
      </c>
      <c r="C59" s="592">
        <v>193252.89322428074</v>
      </c>
      <c r="D59" s="592"/>
      <c r="E59" s="603">
        <f t="shared" si="0"/>
        <v>193252.89322428074</v>
      </c>
      <c r="F59" s="604">
        <v>29434.816417449067</v>
      </c>
      <c r="G59" s="604"/>
      <c r="H59" s="605">
        <f t="shared" si="1"/>
        <v>29434.816417449067</v>
      </c>
      <c r="I59" s="184"/>
    </row>
    <row r="60" spans="1:9">
      <c r="A60" s="586">
        <v>36</v>
      </c>
      <c r="B60" s="590" t="s">
        <v>143</v>
      </c>
      <c r="C60" s="592">
        <v>-218243.1131498414</v>
      </c>
      <c r="D60" s="592"/>
      <c r="E60" s="571">
        <f t="shared" si="0"/>
        <v>-218243.1131498414</v>
      </c>
      <c r="F60" s="592">
        <v>-231094.85229408002</v>
      </c>
      <c r="G60" s="592"/>
      <c r="H60" s="573">
        <f t="shared" si="1"/>
        <v>-231094.85229408002</v>
      </c>
    </row>
    <row r="61" spans="1:9">
      <c r="A61" s="586">
        <v>37</v>
      </c>
      <c r="B61" s="597" t="s">
        <v>144</v>
      </c>
      <c r="C61" s="593">
        <f>C58+C59+C60</f>
        <v>-2418795.0420100526</v>
      </c>
      <c r="D61" s="593">
        <f>D58+D59+D60</f>
        <v>0</v>
      </c>
      <c r="E61" s="571">
        <f t="shared" si="0"/>
        <v>-2418795.0420100526</v>
      </c>
      <c r="F61" s="593">
        <f>F58+F59+F60</f>
        <v>-627083.93243900058</v>
      </c>
      <c r="G61" s="593">
        <f>G58+G59+G60</f>
        <v>0</v>
      </c>
      <c r="H61" s="573">
        <f t="shared" si="1"/>
        <v>-627083.93243900058</v>
      </c>
    </row>
    <row r="62" spans="1:9">
      <c r="A62" s="586"/>
      <c r="B62" s="606"/>
      <c r="C62" s="592"/>
      <c r="D62" s="592"/>
      <c r="E62" s="592"/>
      <c r="F62" s="592"/>
      <c r="G62" s="592"/>
      <c r="H62" s="602"/>
    </row>
    <row r="63" spans="1:9">
      <c r="A63" s="586">
        <v>38</v>
      </c>
      <c r="B63" s="607" t="s">
        <v>272</v>
      </c>
      <c r="C63" s="593">
        <f>C56-C61</f>
        <v>18217841.866035599</v>
      </c>
      <c r="D63" s="593">
        <f>D56-D61</f>
        <v>-2234433.8333579027</v>
      </c>
      <c r="E63" s="571">
        <f t="shared" si="0"/>
        <v>15983408.032677697</v>
      </c>
      <c r="F63" s="593">
        <f>F56-F61</f>
        <v>11321702.665499495</v>
      </c>
      <c r="G63" s="593">
        <f>G56-G61</f>
        <v>-1242922.4798545106</v>
      </c>
      <c r="H63" s="573">
        <f t="shared" si="1"/>
        <v>10078780.185644984</v>
      </c>
    </row>
    <row r="64" spans="1:9">
      <c r="A64" s="582">
        <v>39</v>
      </c>
      <c r="B64" s="590" t="s">
        <v>145</v>
      </c>
      <c r="C64" s="608">
        <v>2320736.41</v>
      </c>
      <c r="D64" s="608"/>
      <c r="E64" s="571">
        <f t="shared" si="0"/>
        <v>2320736.41</v>
      </c>
      <c r="F64" s="608">
        <v>1461819.54</v>
      </c>
      <c r="G64" s="608"/>
      <c r="H64" s="573">
        <f t="shared" si="1"/>
        <v>1461819.54</v>
      </c>
    </row>
    <row r="65" spans="1:8">
      <c r="A65" s="586">
        <v>40</v>
      </c>
      <c r="B65" s="597" t="s">
        <v>146</v>
      </c>
      <c r="C65" s="593">
        <f>C63-C64</f>
        <v>15897105.456035599</v>
      </c>
      <c r="D65" s="593">
        <f>D63-D64</f>
        <v>-2234433.8333579027</v>
      </c>
      <c r="E65" s="571">
        <f t="shared" si="0"/>
        <v>13662671.622677697</v>
      </c>
      <c r="F65" s="593">
        <f>F63-F64</f>
        <v>9859883.1254994944</v>
      </c>
      <c r="G65" s="593">
        <f>G63-G64</f>
        <v>-1242922.4798545106</v>
      </c>
      <c r="H65" s="573">
        <f t="shared" si="1"/>
        <v>8616960.6456449833</v>
      </c>
    </row>
    <row r="66" spans="1:8">
      <c r="A66" s="582">
        <v>41</v>
      </c>
      <c r="B66" s="590" t="s">
        <v>147</v>
      </c>
      <c r="C66" s="608"/>
      <c r="D66" s="608"/>
      <c r="E66" s="571">
        <f t="shared" si="0"/>
        <v>0</v>
      </c>
      <c r="F66" s="608"/>
      <c r="G66" s="608"/>
      <c r="H66" s="573">
        <f t="shared" si="1"/>
        <v>0</v>
      </c>
    </row>
    <row r="67" spans="1:8" ht="15.75" thickBot="1">
      <c r="A67" s="108">
        <v>42</v>
      </c>
      <c r="B67" s="109" t="s">
        <v>148</v>
      </c>
      <c r="C67" s="609">
        <f>C65+C66</f>
        <v>15897105.456035599</v>
      </c>
      <c r="D67" s="609">
        <f>D65+D66</f>
        <v>-2234433.8333579027</v>
      </c>
      <c r="E67" s="610">
        <f t="shared" si="0"/>
        <v>13662671.622677697</v>
      </c>
      <c r="F67" s="609">
        <f>F65+F66</f>
        <v>9859883.1254994944</v>
      </c>
      <c r="G67" s="609">
        <f>G65+G66</f>
        <v>-1242922.4798545106</v>
      </c>
      <c r="H67" s="611">
        <f t="shared" si="1"/>
        <v>8616960.6456449833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5" sqref="B5:B6"/>
    </sheetView>
  </sheetViews>
  <sheetFormatPr defaultRowHeight="15"/>
  <cols>
    <col min="1" max="1" width="9.5703125" bestFit="1" customWidth="1"/>
    <col min="2" max="2" width="72.28515625" customWidth="1"/>
    <col min="3" max="8" width="12.7109375" customWidth="1"/>
  </cols>
  <sheetData>
    <row r="1" spans="1:8" ht="15.75">
      <c r="A1" s="527" t="s">
        <v>188</v>
      </c>
      <c r="B1" s="528" t="s">
        <v>954</v>
      </c>
    </row>
    <row r="2" spans="1:8" ht="15.75">
      <c r="A2" s="527" t="s">
        <v>189</v>
      </c>
      <c r="B2" s="529">
        <f>'1. key ratios'!B2</f>
        <v>44834</v>
      </c>
    </row>
    <row r="3" spans="1:8">
      <c r="A3" s="2"/>
    </row>
    <row r="4" spans="1:8" ht="16.5" thickBot="1">
      <c r="A4" s="262" t="s">
        <v>408</v>
      </c>
      <c r="B4" s="262"/>
      <c r="C4" s="193"/>
      <c r="D4" s="193"/>
      <c r="E4" s="193"/>
      <c r="F4" s="194"/>
      <c r="G4" s="194"/>
      <c r="H4" s="195" t="s">
        <v>93</v>
      </c>
    </row>
    <row r="5" spans="1:8" ht="15.75">
      <c r="A5" s="776" t="s">
        <v>26</v>
      </c>
      <c r="B5" s="778" t="s">
        <v>245</v>
      </c>
      <c r="C5" s="780" t="s">
        <v>194</v>
      </c>
      <c r="D5" s="780"/>
      <c r="E5" s="780"/>
      <c r="F5" s="780" t="s">
        <v>195</v>
      </c>
      <c r="G5" s="780"/>
      <c r="H5" s="781"/>
    </row>
    <row r="6" spans="1:8">
      <c r="A6" s="777"/>
      <c r="B6" s="779"/>
      <c r="C6" s="562" t="s">
        <v>27</v>
      </c>
      <c r="D6" s="562" t="s">
        <v>94</v>
      </c>
      <c r="E6" s="562" t="s">
        <v>68</v>
      </c>
      <c r="F6" s="562" t="s">
        <v>27</v>
      </c>
      <c r="G6" s="562" t="s">
        <v>94</v>
      </c>
      <c r="H6" s="563" t="s">
        <v>68</v>
      </c>
    </row>
    <row r="7" spans="1:8" s="3" customFormat="1">
      <c r="A7" s="269">
        <v>1</v>
      </c>
      <c r="B7" s="612" t="s">
        <v>483</v>
      </c>
      <c r="C7" s="601">
        <f>SUM(C8:C11)</f>
        <v>40810949.239999995</v>
      </c>
      <c r="D7" s="601">
        <f>SUM(D8:D11)</f>
        <v>76734643.670000002</v>
      </c>
      <c r="E7" s="601">
        <f>C7+D7</f>
        <v>117545592.91</v>
      </c>
      <c r="F7" s="601">
        <f>SUM(F8:F11)</f>
        <v>26317870.669999998</v>
      </c>
      <c r="G7" s="601">
        <f>SUM(G8:G11)</f>
        <v>85714035.160000011</v>
      </c>
      <c r="H7" s="573">
        <f t="shared" ref="H7:H53" si="0">F7+G7</f>
        <v>112031905.83000001</v>
      </c>
    </row>
    <row r="8" spans="1:8" s="3" customFormat="1">
      <c r="A8" s="269">
        <v>1.1000000000000001</v>
      </c>
      <c r="B8" s="613" t="s">
        <v>276</v>
      </c>
      <c r="C8" s="614">
        <v>40769197.799999997</v>
      </c>
      <c r="D8" s="614">
        <v>76734643.670000002</v>
      </c>
      <c r="E8" s="601">
        <f t="shared" ref="E8:E53" si="1">C8+D8</f>
        <v>117503841.47</v>
      </c>
      <c r="F8" s="614">
        <v>26283053.649999999</v>
      </c>
      <c r="G8" s="614">
        <v>85714035.160000011</v>
      </c>
      <c r="H8" s="573">
        <f t="shared" si="0"/>
        <v>111997088.81</v>
      </c>
    </row>
    <row r="9" spans="1:8" s="3" customFormat="1">
      <c r="A9" s="269">
        <v>1.2</v>
      </c>
      <c r="B9" s="613" t="s">
        <v>277</v>
      </c>
      <c r="C9" s="614"/>
      <c r="D9" s="614"/>
      <c r="E9" s="601">
        <f t="shared" si="1"/>
        <v>0</v>
      </c>
      <c r="F9" s="614"/>
      <c r="G9" s="614"/>
      <c r="H9" s="573">
        <f t="shared" si="0"/>
        <v>0</v>
      </c>
    </row>
    <row r="10" spans="1:8" s="3" customFormat="1">
      <c r="A10" s="269">
        <v>1.3</v>
      </c>
      <c r="B10" s="613" t="s">
        <v>278</v>
      </c>
      <c r="C10" s="614">
        <v>41751.440000000017</v>
      </c>
      <c r="D10" s="614"/>
      <c r="E10" s="601">
        <f t="shared" si="1"/>
        <v>41751.440000000017</v>
      </c>
      <c r="F10" s="614">
        <v>34817.019999999997</v>
      </c>
      <c r="G10" s="614"/>
      <c r="H10" s="573">
        <f t="shared" si="0"/>
        <v>34817.019999999997</v>
      </c>
    </row>
    <row r="11" spans="1:8" s="3" customFormat="1">
      <c r="A11" s="269">
        <v>1.4</v>
      </c>
      <c r="B11" s="613" t="s">
        <v>279</v>
      </c>
      <c r="C11" s="614"/>
      <c r="D11" s="614"/>
      <c r="E11" s="601">
        <f t="shared" si="1"/>
        <v>0</v>
      </c>
      <c r="F11" s="614"/>
      <c r="G11" s="614"/>
      <c r="H11" s="573">
        <f t="shared" si="0"/>
        <v>0</v>
      </c>
    </row>
    <row r="12" spans="1:8" s="3" customFormat="1" ht="29.25" customHeight="1">
      <c r="A12" s="269">
        <v>2</v>
      </c>
      <c r="B12" s="612" t="s">
        <v>280</v>
      </c>
      <c r="C12" s="601"/>
      <c r="D12" s="601"/>
      <c r="E12" s="601">
        <f t="shared" si="1"/>
        <v>0</v>
      </c>
      <c r="F12" s="601"/>
      <c r="G12" s="601"/>
      <c r="H12" s="573">
        <f t="shared" si="0"/>
        <v>0</v>
      </c>
    </row>
    <row r="13" spans="1:8" s="3" customFormat="1" ht="25.5">
      <c r="A13" s="269">
        <v>3</v>
      </c>
      <c r="B13" s="612" t="s">
        <v>281</v>
      </c>
      <c r="C13" s="601">
        <f>SUM(C14:C15)</f>
        <v>16499000</v>
      </c>
      <c r="D13" s="601">
        <f>SUM(D14:D15)</f>
        <v>0</v>
      </c>
      <c r="E13" s="601">
        <f t="shared" si="1"/>
        <v>16499000</v>
      </c>
      <c r="F13" s="601">
        <f>SUM(F14:F15)</f>
        <v>0</v>
      </c>
      <c r="G13" s="601">
        <f>SUM(G14:G15)</f>
        <v>0</v>
      </c>
      <c r="H13" s="573">
        <f t="shared" si="0"/>
        <v>0</v>
      </c>
    </row>
    <row r="14" spans="1:8" s="3" customFormat="1">
      <c r="A14" s="269">
        <v>3.1</v>
      </c>
      <c r="B14" s="613" t="s">
        <v>282</v>
      </c>
      <c r="C14" s="614">
        <v>16499000</v>
      </c>
      <c r="D14" s="614"/>
      <c r="E14" s="601">
        <f t="shared" si="1"/>
        <v>16499000</v>
      </c>
      <c r="F14" s="614">
        <v>0</v>
      </c>
      <c r="G14" s="614"/>
      <c r="H14" s="573">
        <f t="shared" si="0"/>
        <v>0</v>
      </c>
    </row>
    <row r="15" spans="1:8" s="3" customFormat="1">
      <c r="A15" s="269">
        <v>3.2</v>
      </c>
      <c r="B15" s="613" t="s">
        <v>283</v>
      </c>
      <c r="C15" s="614"/>
      <c r="D15" s="614"/>
      <c r="E15" s="601">
        <f t="shared" si="1"/>
        <v>0</v>
      </c>
      <c r="F15" s="614"/>
      <c r="G15" s="614"/>
      <c r="H15" s="573">
        <f t="shared" si="0"/>
        <v>0</v>
      </c>
    </row>
    <row r="16" spans="1:8" s="3" customFormat="1">
      <c r="A16" s="269">
        <v>4</v>
      </c>
      <c r="B16" s="612" t="s">
        <v>284</v>
      </c>
      <c r="C16" s="601">
        <f>SUM(C17:C18)</f>
        <v>115908266.69</v>
      </c>
      <c r="D16" s="601">
        <f>SUM(D17:D18)</f>
        <v>130270696.60806599</v>
      </c>
      <c r="E16" s="601">
        <f t="shared" si="1"/>
        <v>246178963.29806599</v>
      </c>
      <c r="F16" s="601">
        <f>SUM(F17:F18)</f>
        <v>59940681.969999999</v>
      </c>
      <c r="G16" s="601">
        <f>SUM(G17:G18)</f>
        <v>124450596.982577</v>
      </c>
      <c r="H16" s="573">
        <f t="shared" si="0"/>
        <v>184391278.95257699</v>
      </c>
    </row>
    <row r="17" spans="1:8" s="3" customFormat="1">
      <c r="A17" s="269">
        <v>4.0999999999999996</v>
      </c>
      <c r="B17" s="613" t="s">
        <v>285</v>
      </c>
      <c r="C17" s="614">
        <v>76414088.780000001</v>
      </c>
      <c r="D17" s="614">
        <v>80139340.989999995</v>
      </c>
      <c r="E17" s="601">
        <f t="shared" si="1"/>
        <v>156553429.76999998</v>
      </c>
      <c r="F17" s="614">
        <v>36617519.969999999</v>
      </c>
      <c r="G17" s="614">
        <v>71044629.840000004</v>
      </c>
      <c r="H17" s="573">
        <f t="shared" si="0"/>
        <v>107662149.81</v>
      </c>
    </row>
    <row r="18" spans="1:8" s="3" customFormat="1">
      <c r="A18" s="269">
        <v>4.2</v>
      </c>
      <c r="B18" s="613" t="s">
        <v>286</v>
      </c>
      <c r="C18" s="614">
        <v>39494177.909999996</v>
      </c>
      <c r="D18" s="614">
        <v>50131355.618066005</v>
      </c>
      <c r="E18" s="601">
        <f t="shared" si="1"/>
        <v>89625533.528066009</v>
      </c>
      <c r="F18" s="614">
        <v>23323162</v>
      </c>
      <c r="G18" s="614">
        <v>53405967.142576993</v>
      </c>
      <c r="H18" s="573">
        <f t="shared" si="0"/>
        <v>76729129.142576993</v>
      </c>
    </row>
    <row r="19" spans="1:8" s="3" customFormat="1" ht="25.5">
      <c r="A19" s="269">
        <v>5</v>
      </c>
      <c r="B19" s="612" t="s">
        <v>287</v>
      </c>
      <c r="C19" s="601">
        <f>C20+C21+C22+SUM(C28:C31)</f>
        <v>554373.96149999998</v>
      </c>
      <c r="D19" s="601">
        <f>D20+D21+D22+SUM(D28:D31)</f>
        <v>306955796.17889792</v>
      </c>
      <c r="E19" s="601">
        <f t="shared" si="1"/>
        <v>307510170.14039791</v>
      </c>
      <c r="F19" s="601">
        <f>F20+F21+F22+SUM(F28:F31)</f>
        <v>238277.16</v>
      </c>
      <c r="G19" s="601">
        <f>G20+G21+G22+SUM(G28:G31)</f>
        <v>295451122.61100048</v>
      </c>
      <c r="H19" s="573">
        <f t="shared" si="0"/>
        <v>295689399.7710005</v>
      </c>
    </row>
    <row r="20" spans="1:8" s="3" customFormat="1">
      <c r="A20" s="269">
        <v>5.0999999999999996</v>
      </c>
      <c r="B20" s="613" t="s">
        <v>288</v>
      </c>
      <c r="C20" s="614">
        <v>554373.96149999998</v>
      </c>
      <c r="D20" s="614">
        <v>8812185.5921439994</v>
      </c>
      <c r="E20" s="601">
        <f t="shared" si="1"/>
        <v>9366559.5536439996</v>
      </c>
      <c r="F20" s="614">
        <v>238277.16</v>
      </c>
      <c r="G20" s="614">
        <v>5075849.8250679988</v>
      </c>
      <c r="H20" s="573">
        <f t="shared" si="0"/>
        <v>5314126.985067999</v>
      </c>
    </row>
    <row r="21" spans="1:8" s="3" customFormat="1">
      <c r="A21" s="269">
        <v>5.2</v>
      </c>
      <c r="B21" s="613" t="s">
        <v>289</v>
      </c>
      <c r="C21" s="614"/>
      <c r="D21" s="614"/>
      <c r="E21" s="601">
        <f t="shared" si="1"/>
        <v>0</v>
      </c>
      <c r="F21" s="614"/>
      <c r="G21" s="614"/>
      <c r="H21" s="573">
        <f t="shared" si="0"/>
        <v>0</v>
      </c>
    </row>
    <row r="22" spans="1:8" s="3" customFormat="1">
      <c r="A22" s="269">
        <v>5.3</v>
      </c>
      <c r="B22" s="613" t="s">
        <v>290</v>
      </c>
      <c r="C22" s="615">
        <f>SUM(C23:C27)</f>
        <v>0</v>
      </c>
      <c r="D22" s="615">
        <f>SUM(D23:D27)</f>
        <v>253723778.26961127</v>
      </c>
      <c r="E22" s="601">
        <f t="shared" si="1"/>
        <v>253723778.26961127</v>
      </c>
      <c r="F22" s="615">
        <f>SUM(F23:F27)</f>
        <v>0</v>
      </c>
      <c r="G22" s="615">
        <f>SUM(G23:G27)</f>
        <v>255104716.62185085</v>
      </c>
      <c r="H22" s="573">
        <f t="shared" si="0"/>
        <v>255104716.62185085</v>
      </c>
    </row>
    <row r="23" spans="1:8" s="3" customFormat="1">
      <c r="A23" s="269" t="s">
        <v>291</v>
      </c>
      <c r="B23" s="616" t="s">
        <v>292</v>
      </c>
      <c r="C23" s="614"/>
      <c r="D23" s="614">
        <v>37033403.400238119</v>
      </c>
      <c r="E23" s="601">
        <f t="shared" si="1"/>
        <v>37033403.400238119</v>
      </c>
      <c r="F23" s="614"/>
      <c r="G23" s="614">
        <v>37234964.512949452</v>
      </c>
      <c r="H23" s="573">
        <f t="shared" si="0"/>
        <v>37234964.512949452</v>
      </c>
    </row>
    <row r="24" spans="1:8" s="3" customFormat="1">
      <c r="A24" s="269" t="s">
        <v>293</v>
      </c>
      <c r="B24" s="616" t="s">
        <v>294</v>
      </c>
      <c r="C24" s="614"/>
      <c r="D24" s="614">
        <v>183108282.2138738</v>
      </c>
      <c r="E24" s="601">
        <f t="shared" si="1"/>
        <v>183108282.2138738</v>
      </c>
      <c r="F24" s="614"/>
      <c r="G24" s="614">
        <v>184104882.7345123</v>
      </c>
      <c r="H24" s="573">
        <f t="shared" si="0"/>
        <v>184104882.7345123</v>
      </c>
    </row>
    <row r="25" spans="1:8" s="3" customFormat="1">
      <c r="A25" s="269" t="s">
        <v>295</v>
      </c>
      <c r="B25" s="617" t="s">
        <v>296</v>
      </c>
      <c r="C25" s="614"/>
      <c r="D25" s="614">
        <v>182748.17917473696</v>
      </c>
      <c r="E25" s="601">
        <f t="shared" si="1"/>
        <v>182748.17917473696</v>
      </c>
      <c r="F25" s="614"/>
      <c r="G25" s="614">
        <v>183742.81976832051</v>
      </c>
      <c r="H25" s="573">
        <f t="shared" si="0"/>
        <v>183742.81976832051</v>
      </c>
    </row>
    <row r="26" spans="1:8" s="3" customFormat="1">
      <c r="A26" s="269" t="s">
        <v>297</v>
      </c>
      <c r="B26" s="616" t="s">
        <v>298</v>
      </c>
      <c r="C26" s="614"/>
      <c r="D26" s="614">
        <v>33399344.476324599</v>
      </c>
      <c r="E26" s="601">
        <f t="shared" si="1"/>
        <v>33399344.476324599</v>
      </c>
      <c r="F26" s="614"/>
      <c r="G26" s="614">
        <v>33581126.55462081</v>
      </c>
      <c r="H26" s="573">
        <f t="shared" si="0"/>
        <v>33581126.55462081</v>
      </c>
    </row>
    <row r="27" spans="1:8" s="3" customFormat="1">
      <c r="A27" s="269" t="s">
        <v>299</v>
      </c>
      <c r="B27" s="616" t="s">
        <v>300</v>
      </c>
      <c r="C27" s="614"/>
      <c r="D27" s="614">
        <v>0</v>
      </c>
      <c r="E27" s="601">
        <f t="shared" si="1"/>
        <v>0</v>
      </c>
      <c r="F27" s="614"/>
      <c r="G27" s="614">
        <v>0</v>
      </c>
      <c r="H27" s="573">
        <f t="shared" si="0"/>
        <v>0</v>
      </c>
    </row>
    <row r="28" spans="1:8" s="3" customFormat="1">
      <c r="A28" s="269">
        <v>5.4</v>
      </c>
      <c r="B28" s="613" t="s">
        <v>301</v>
      </c>
      <c r="C28" s="614"/>
      <c r="D28" s="614">
        <v>24563464.319366746</v>
      </c>
      <c r="E28" s="601">
        <f t="shared" si="1"/>
        <v>24563464.319366746</v>
      </c>
      <c r="F28" s="614"/>
      <c r="G28" s="614">
        <v>20929397.060081623</v>
      </c>
      <c r="H28" s="573">
        <f t="shared" si="0"/>
        <v>20929397.060081623</v>
      </c>
    </row>
    <row r="29" spans="1:8" s="3" customFormat="1">
      <c r="A29" s="269">
        <v>5.5</v>
      </c>
      <c r="B29" s="613" t="s">
        <v>302</v>
      </c>
      <c r="C29" s="614"/>
      <c r="D29" s="614">
        <v>0</v>
      </c>
      <c r="E29" s="601">
        <f t="shared" si="1"/>
        <v>0</v>
      </c>
      <c r="F29" s="614"/>
      <c r="G29" s="614">
        <v>0</v>
      </c>
      <c r="H29" s="573">
        <f t="shared" si="0"/>
        <v>0</v>
      </c>
    </row>
    <row r="30" spans="1:8" s="3" customFormat="1">
      <c r="A30" s="269">
        <v>5.6</v>
      </c>
      <c r="B30" s="613" t="s">
        <v>303</v>
      </c>
      <c r="C30" s="614"/>
      <c r="D30" s="614">
        <v>0</v>
      </c>
      <c r="E30" s="601">
        <f t="shared" si="1"/>
        <v>0</v>
      </c>
      <c r="F30" s="614"/>
      <c r="G30" s="614">
        <v>0</v>
      </c>
      <c r="H30" s="573">
        <f t="shared" si="0"/>
        <v>0</v>
      </c>
    </row>
    <row r="31" spans="1:8" s="3" customFormat="1">
      <c r="A31" s="269">
        <v>5.7</v>
      </c>
      <c r="B31" s="613" t="s">
        <v>304</v>
      </c>
      <c r="C31" s="614"/>
      <c r="D31" s="614">
        <v>19856367.997775905</v>
      </c>
      <c r="E31" s="601">
        <f t="shared" si="1"/>
        <v>19856367.997775905</v>
      </c>
      <c r="F31" s="614"/>
      <c r="G31" s="614">
        <v>14341159.104</v>
      </c>
      <c r="H31" s="573">
        <f t="shared" si="0"/>
        <v>14341159.104</v>
      </c>
    </row>
    <row r="32" spans="1:8" s="3" customFormat="1">
      <c r="A32" s="269">
        <v>6</v>
      </c>
      <c r="B32" s="612" t="s">
        <v>305</v>
      </c>
      <c r="C32" s="601">
        <f>SUM(C33:C39)</f>
        <v>0</v>
      </c>
      <c r="D32" s="601">
        <f>SUM(D33:D39)</f>
        <v>0</v>
      </c>
      <c r="E32" s="601">
        <f t="shared" si="1"/>
        <v>0</v>
      </c>
      <c r="F32" s="601">
        <f>SUM(F33:F39)</f>
        <v>0</v>
      </c>
      <c r="G32" s="601">
        <f>SUM(G33:G39)</f>
        <v>0</v>
      </c>
      <c r="H32" s="573">
        <f t="shared" si="0"/>
        <v>0</v>
      </c>
    </row>
    <row r="33" spans="1:8" s="3" customFormat="1" ht="25.5">
      <c r="A33" s="269">
        <v>6.1</v>
      </c>
      <c r="B33" s="613" t="s">
        <v>484</v>
      </c>
      <c r="C33" s="614"/>
      <c r="D33" s="614"/>
      <c r="E33" s="601">
        <f t="shared" si="1"/>
        <v>0</v>
      </c>
      <c r="F33" s="614"/>
      <c r="G33" s="614"/>
      <c r="H33" s="573">
        <f t="shared" si="0"/>
        <v>0</v>
      </c>
    </row>
    <row r="34" spans="1:8" s="3" customFormat="1" ht="25.5">
      <c r="A34" s="269">
        <v>6.2</v>
      </c>
      <c r="B34" s="613" t="s">
        <v>306</v>
      </c>
      <c r="C34" s="614"/>
      <c r="D34" s="614"/>
      <c r="E34" s="601">
        <f t="shared" si="1"/>
        <v>0</v>
      </c>
      <c r="F34" s="614"/>
      <c r="G34" s="614"/>
      <c r="H34" s="573">
        <f t="shared" si="0"/>
        <v>0</v>
      </c>
    </row>
    <row r="35" spans="1:8" s="3" customFormat="1" ht="25.5">
      <c r="A35" s="269">
        <v>6.3</v>
      </c>
      <c r="B35" s="613" t="s">
        <v>307</v>
      </c>
      <c r="C35" s="614"/>
      <c r="D35" s="614"/>
      <c r="E35" s="601">
        <f t="shared" si="1"/>
        <v>0</v>
      </c>
      <c r="F35" s="614"/>
      <c r="G35" s="614"/>
      <c r="H35" s="573">
        <f t="shared" si="0"/>
        <v>0</v>
      </c>
    </row>
    <row r="36" spans="1:8" s="3" customFormat="1">
      <c r="A36" s="269">
        <v>6.4</v>
      </c>
      <c r="B36" s="613" t="s">
        <v>308</v>
      </c>
      <c r="C36" s="614"/>
      <c r="D36" s="614"/>
      <c r="E36" s="601">
        <f t="shared" si="1"/>
        <v>0</v>
      </c>
      <c r="F36" s="614"/>
      <c r="G36" s="614"/>
      <c r="H36" s="573">
        <f t="shared" si="0"/>
        <v>0</v>
      </c>
    </row>
    <row r="37" spans="1:8" s="3" customFormat="1">
      <c r="A37" s="269">
        <v>6.5</v>
      </c>
      <c r="B37" s="613" t="s">
        <v>309</v>
      </c>
      <c r="C37" s="614"/>
      <c r="D37" s="614"/>
      <c r="E37" s="601">
        <f t="shared" si="1"/>
        <v>0</v>
      </c>
      <c r="F37" s="614"/>
      <c r="G37" s="614"/>
      <c r="H37" s="573">
        <f t="shared" si="0"/>
        <v>0</v>
      </c>
    </row>
    <row r="38" spans="1:8" s="3" customFormat="1" ht="25.5">
      <c r="A38" s="269">
        <v>6.6</v>
      </c>
      <c r="B38" s="613" t="s">
        <v>310</v>
      </c>
      <c r="C38" s="614"/>
      <c r="D38" s="614"/>
      <c r="E38" s="601">
        <f t="shared" si="1"/>
        <v>0</v>
      </c>
      <c r="F38" s="614"/>
      <c r="G38" s="614"/>
      <c r="H38" s="573">
        <f t="shared" si="0"/>
        <v>0</v>
      </c>
    </row>
    <row r="39" spans="1:8" s="3" customFormat="1" ht="25.5">
      <c r="A39" s="269">
        <v>6.7</v>
      </c>
      <c r="B39" s="613" t="s">
        <v>311</v>
      </c>
      <c r="C39" s="614"/>
      <c r="D39" s="614"/>
      <c r="E39" s="601">
        <f t="shared" si="1"/>
        <v>0</v>
      </c>
      <c r="F39" s="614"/>
      <c r="G39" s="614"/>
      <c r="H39" s="573">
        <f t="shared" si="0"/>
        <v>0</v>
      </c>
    </row>
    <row r="40" spans="1:8" s="3" customFormat="1">
      <c r="A40" s="269">
        <v>7</v>
      </c>
      <c r="B40" s="612" t="s">
        <v>312</v>
      </c>
      <c r="C40" s="601">
        <f>SUM(C41:C44)</f>
        <v>68327.28</v>
      </c>
      <c r="D40" s="601">
        <f>SUM(D41:D44)</f>
        <v>13807.220000000003</v>
      </c>
      <c r="E40" s="601">
        <f t="shared" si="1"/>
        <v>82134.5</v>
      </c>
      <c r="F40" s="601">
        <f>SUM(F41:F44)</f>
        <v>72661.86000000003</v>
      </c>
      <c r="G40" s="601">
        <f>SUM(G41:G44)</f>
        <v>2708.08</v>
      </c>
      <c r="H40" s="573">
        <f t="shared" si="0"/>
        <v>75369.940000000031</v>
      </c>
    </row>
    <row r="41" spans="1:8" s="3" customFormat="1" ht="25.5">
      <c r="A41" s="269">
        <v>7.1</v>
      </c>
      <c r="B41" s="613" t="s">
        <v>313</v>
      </c>
      <c r="C41" s="614"/>
      <c r="D41" s="614"/>
      <c r="E41" s="601">
        <f t="shared" si="1"/>
        <v>0</v>
      </c>
      <c r="F41" s="614"/>
      <c r="G41" s="614"/>
      <c r="H41" s="573">
        <f t="shared" si="0"/>
        <v>0</v>
      </c>
    </row>
    <row r="42" spans="1:8" s="3" customFormat="1" ht="25.5">
      <c r="A42" s="269">
        <v>7.2</v>
      </c>
      <c r="B42" s="613" t="s">
        <v>314</v>
      </c>
      <c r="C42" s="614"/>
      <c r="D42" s="614"/>
      <c r="E42" s="601">
        <f t="shared" si="1"/>
        <v>0</v>
      </c>
      <c r="F42" s="614"/>
      <c r="G42" s="614"/>
      <c r="H42" s="573">
        <f t="shared" si="0"/>
        <v>0</v>
      </c>
    </row>
    <row r="43" spans="1:8" s="3" customFormat="1" ht="25.5">
      <c r="A43" s="269">
        <v>7.3</v>
      </c>
      <c r="B43" s="613" t="s">
        <v>315</v>
      </c>
      <c r="C43" s="614"/>
      <c r="D43" s="614"/>
      <c r="E43" s="601">
        <f t="shared" si="1"/>
        <v>0</v>
      </c>
      <c r="F43" s="614"/>
      <c r="G43" s="614"/>
      <c r="H43" s="573">
        <f t="shared" si="0"/>
        <v>0</v>
      </c>
    </row>
    <row r="44" spans="1:8" s="3" customFormat="1" ht="25.5">
      <c r="A44" s="269">
        <v>7.4</v>
      </c>
      <c r="B44" s="613" t="s">
        <v>316</v>
      </c>
      <c r="C44" s="614">
        <v>68327.28</v>
      </c>
      <c r="D44" s="614">
        <v>13807.220000000003</v>
      </c>
      <c r="E44" s="601">
        <f t="shared" si="1"/>
        <v>82134.5</v>
      </c>
      <c r="F44" s="614">
        <v>72661.86000000003</v>
      </c>
      <c r="G44" s="614">
        <v>2708.08</v>
      </c>
      <c r="H44" s="573">
        <f t="shared" si="0"/>
        <v>75369.940000000031</v>
      </c>
    </row>
    <row r="45" spans="1:8" s="3" customFormat="1">
      <c r="A45" s="269">
        <v>8</v>
      </c>
      <c r="B45" s="612" t="s">
        <v>317</v>
      </c>
      <c r="C45" s="601">
        <f>SUM(C46:C52)</f>
        <v>0</v>
      </c>
      <c r="D45" s="601">
        <f>SUM(D46:D52)</f>
        <v>17563.71</v>
      </c>
      <c r="E45" s="601">
        <f t="shared" si="1"/>
        <v>17563.71</v>
      </c>
      <c r="F45" s="601">
        <f>SUM(F46:F52)</f>
        <v>0</v>
      </c>
      <c r="G45" s="601">
        <f>SUM(G46:G52)</f>
        <v>172744.92</v>
      </c>
      <c r="H45" s="573">
        <f t="shared" si="0"/>
        <v>172744.92</v>
      </c>
    </row>
    <row r="46" spans="1:8" s="3" customFormat="1">
      <c r="A46" s="269">
        <v>8.1</v>
      </c>
      <c r="B46" s="613" t="s">
        <v>318</v>
      </c>
      <c r="C46" s="614"/>
      <c r="D46" s="614"/>
      <c r="E46" s="601">
        <f t="shared" si="1"/>
        <v>0</v>
      </c>
      <c r="F46" s="614"/>
      <c r="G46" s="614"/>
      <c r="H46" s="573">
        <f t="shared" si="0"/>
        <v>0</v>
      </c>
    </row>
    <row r="47" spans="1:8" s="3" customFormat="1">
      <c r="A47" s="269">
        <v>8.1999999999999993</v>
      </c>
      <c r="B47" s="613" t="s">
        <v>319</v>
      </c>
      <c r="C47" s="614"/>
      <c r="D47" s="614">
        <v>17563.71</v>
      </c>
      <c r="E47" s="601">
        <f t="shared" si="1"/>
        <v>17563.71</v>
      </c>
      <c r="F47" s="614"/>
      <c r="G47" s="614">
        <v>172744.92</v>
      </c>
      <c r="H47" s="573">
        <f t="shared" si="0"/>
        <v>172744.92</v>
      </c>
    </row>
    <row r="48" spans="1:8" s="3" customFormat="1">
      <c r="A48" s="269">
        <v>8.3000000000000007</v>
      </c>
      <c r="B48" s="613" t="s">
        <v>320</v>
      </c>
      <c r="C48" s="614"/>
      <c r="D48" s="614"/>
      <c r="E48" s="601">
        <f t="shared" si="1"/>
        <v>0</v>
      </c>
      <c r="F48" s="614"/>
      <c r="G48" s="614"/>
      <c r="H48" s="573">
        <f t="shared" si="0"/>
        <v>0</v>
      </c>
    </row>
    <row r="49" spans="1:8" s="3" customFormat="1">
      <c r="A49" s="269">
        <v>8.4</v>
      </c>
      <c r="B49" s="613" t="s">
        <v>321</v>
      </c>
      <c r="C49" s="614"/>
      <c r="D49" s="614"/>
      <c r="E49" s="601">
        <f t="shared" si="1"/>
        <v>0</v>
      </c>
      <c r="F49" s="614"/>
      <c r="G49" s="614"/>
      <c r="H49" s="573">
        <f t="shared" si="0"/>
        <v>0</v>
      </c>
    </row>
    <row r="50" spans="1:8" s="3" customFormat="1">
      <c r="A50" s="269">
        <v>8.5</v>
      </c>
      <c r="B50" s="613" t="s">
        <v>322</v>
      </c>
      <c r="C50" s="614"/>
      <c r="D50" s="614"/>
      <c r="E50" s="601">
        <f t="shared" si="1"/>
        <v>0</v>
      </c>
      <c r="F50" s="614"/>
      <c r="G50" s="614"/>
      <c r="H50" s="573">
        <f t="shared" si="0"/>
        <v>0</v>
      </c>
    </row>
    <row r="51" spans="1:8" s="3" customFormat="1">
      <c r="A51" s="269">
        <v>8.6</v>
      </c>
      <c r="B51" s="613" t="s">
        <v>323</v>
      </c>
      <c r="C51" s="614"/>
      <c r="D51" s="614"/>
      <c r="E51" s="601">
        <f t="shared" si="1"/>
        <v>0</v>
      </c>
      <c r="F51" s="614"/>
      <c r="G51" s="614"/>
      <c r="H51" s="573">
        <f t="shared" si="0"/>
        <v>0</v>
      </c>
    </row>
    <row r="52" spans="1:8" s="3" customFormat="1">
      <c r="A52" s="269">
        <v>8.6999999999999993</v>
      </c>
      <c r="B52" s="613" t="s">
        <v>324</v>
      </c>
      <c r="C52" s="614"/>
      <c r="D52" s="614"/>
      <c r="E52" s="601">
        <f t="shared" si="1"/>
        <v>0</v>
      </c>
      <c r="F52" s="614"/>
      <c r="G52" s="614"/>
      <c r="H52" s="573">
        <f t="shared" si="0"/>
        <v>0</v>
      </c>
    </row>
    <row r="53" spans="1:8" s="3" customFormat="1" ht="15.75" thickBot="1">
      <c r="A53" s="196">
        <v>9</v>
      </c>
      <c r="B53" s="618" t="s">
        <v>325</v>
      </c>
      <c r="C53" s="619"/>
      <c r="D53" s="619"/>
      <c r="E53" s="619">
        <f t="shared" si="1"/>
        <v>0</v>
      </c>
      <c r="F53" s="619"/>
      <c r="G53" s="619"/>
      <c r="H53" s="611">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4" sqref="B4"/>
    </sheetView>
  </sheetViews>
  <sheetFormatPr defaultColWidth="9.140625" defaultRowHeight="12.75"/>
  <cols>
    <col min="1" max="1" width="9.5703125" style="2" bestFit="1" customWidth="1"/>
    <col min="2" max="2" width="93.5703125" style="2" customWidth="1"/>
    <col min="3" max="4" width="11.28515625" style="2" bestFit="1" customWidth="1"/>
    <col min="5" max="7" width="11.28515625" style="13" bestFit="1" customWidth="1"/>
    <col min="8" max="11" width="9.7109375" style="13" customWidth="1"/>
    <col min="12" max="16384" width="9.140625" style="13"/>
  </cols>
  <sheetData>
    <row r="1" spans="1:8" ht="15">
      <c r="A1" s="527" t="s">
        <v>188</v>
      </c>
      <c r="B1" s="528" t="s">
        <v>954</v>
      </c>
      <c r="C1" s="17"/>
      <c r="D1" s="262"/>
    </row>
    <row r="2" spans="1:8" ht="15">
      <c r="A2" s="527" t="s">
        <v>189</v>
      </c>
      <c r="B2" s="529">
        <f>'1. key ratios'!B2</f>
        <v>44834</v>
      </c>
      <c r="C2" s="30"/>
      <c r="D2" s="19"/>
      <c r="E2" s="12"/>
      <c r="F2" s="12"/>
      <c r="G2" s="12"/>
      <c r="H2" s="12"/>
    </row>
    <row r="3" spans="1:8" ht="15">
      <c r="A3" s="18"/>
      <c r="B3" s="17"/>
      <c r="C3" s="30"/>
      <c r="D3" s="19"/>
      <c r="E3" s="12"/>
      <c r="F3" s="12"/>
      <c r="G3" s="12"/>
      <c r="H3" s="12"/>
    </row>
    <row r="4" spans="1:8" ht="15" customHeight="1" thickBot="1">
      <c r="A4" s="191" t="s">
        <v>409</v>
      </c>
      <c r="B4" s="192" t="s">
        <v>187</v>
      </c>
      <c r="C4" s="628" t="s">
        <v>93</v>
      </c>
    </row>
    <row r="5" spans="1:8" ht="15" customHeight="1">
      <c r="A5" s="189" t="s">
        <v>26</v>
      </c>
      <c r="B5" s="190"/>
      <c r="C5" s="530" t="str">
        <f>INT((MONTH($B$2))/3)&amp;"Q"&amp;"-"&amp;YEAR($B$2)</f>
        <v>3Q-2022</v>
      </c>
      <c r="D5" s="530" t="str">
        <f>IF(INT(MONTH($B$2))=3, "4"&amp;"Q"&amp;"-"&amp;YEAR($B$2)-1, IF(INT(MONTH($B$2))=6, "1"&amp;"Q"&amp;"-"&amp;YEAR($B$2), IF(INT(MONTH($B$2))=9, "2"&amp;"Q"&amp;"-"&amp;YEAR($B$2),IF(INT(MONTH($B$2))=12, "3"&amp;"Q"&amp;"-"&amp;YEAR($B$2), 0))))</f>
        <v>2Q-2022</v>
      </c>
      <c r="E5" s="530" t="str">
        <f>IF(INT(MONTH($B$2))=3, "3"&amp;"Q"&amp;"-"&amp;YEAR($B$2)-1, IF(INT(MONTH($B$2))=6, "4"&amp;"Q"&amp;"-"&amp;YEAR($B$2)-1, IF(INT(MONTH($B$2))=9, "1"&amp;"Q"&amp;"-"&amp;YEAR($B$2),IF(INT(MONTH($B$2))=12, "2"&amp;"Q"&amp;"-"&amp;YEAR($B$2), 0))))</f>
        <v>1Q-2022</v>
      </c>
      <c r="F5" s="530" t="str">
        <f>IF(INT(MONTH($B$2))=3, "2"&amp;"Q"&amp;"-"&amp;YEAR($B$2)-1, IF(INT(MONTH($B$2))=6, "3"&amp;"Q"&amp;"-"&amp;YEAR($B$2)-1, IF(INT(MONTH($B$2))=9, "4"&amp;"Q"&amp;"-"&amp;YEAR($B$2)-1,IF(INT(MONTH($B$2))=12, "1"&amp;"Q"&amp;"-"&amp;YEAR($B$2), 0))))</f>
        <v>4Q-2021</v>
      </c>
      <c r="G5" s="530" t="str">
        <f>IF(INT(MONTH($B$2))=3, "1"&amp;"Q"&amp;"-"&amp;YEAR($B$2)-1, IF(INT(MONTH($B$2))=6, "2"&amp;"Q"&amp;"-"&amp;YEAR($B$2)-1, IF(INT(MONTH($B$2))=9, "3"&amp;"Q"&amp;"-"&amp;YEAR($B$2)-1,IF(INT(MONTH($B$2))=12, "4"&amp;"Q"&amp;"-"&amp;YEAR($B$2)-1, 0))))</f>
        <v>3Q-2021</v>
      </c>
    </row>
    <row r="6" spans="1:8" ht="15" customHeight="1">
      <c r="A6" s="300">
        <v>1</v>
      </c>
      <c r="B6" s="354" t="s">
        <v>192</v>
      </c>
      <c r="C6" s="620">
        <f>C7+C9+C10</f>
        <v>426699886.35773355</v>
      </c>
      <c r="D6" s="620">
        <f>D7+D9+D10</f>
        <v>403155201.07306492</v>
      </c>
      <c r="E6" s="620">
        <f t="shared" ref="E6:G6" si="0">E7+E9+E10</f>
        <v>404992363.25280714</v>
      </c>
      <c r="F6" s="620">
        <f t="shared" si="0"/>
        <v>394562713.2258141</v>
      </c>
      <c r="G6" s="621">
        <f t="shared" si="0"/>
        <v>397919983.40389544</v>
      </c>
    </row>
    <row r="7" spans="1:8" ht="15" customHeight="1">
      <c r="A7" s="300">
        <v>1.1000000000000001</v>
      </c>
      <c r="B7" s="301" t="s">
        <v>605</v>
      </c>
      <c r="C7" s="622">
        <v>372389548.34600157</v>
      </c>
      <c r="D7" s="622">
        <v>349627642.36456496</v>
      </c>
      <c r="E7" s="622">
        <v>347402236.71780717</v>
      </c>
      <c r="F7" s="622">
        <v>338861305.43431413</v>
      </c>
      <c r="G7" s="623">
        <v>340438684.19689542</v>
      </c>
    </row>
    <row r="8" spans="1:8" ht="25.5">
      <c r="A8" s="300" t="s">
        <v>252</v>
      </c>
      <c r="B8" s="302" t="s">
        <v>403</v>
      </c>
      <c r="C8" s="622"/>
      <c r="D8" s="622"/>
      <c r="E8" s="622"/>
      <c r="F8" s="622"/>
      <c r="G8" s="623"/>
    </row>
    <row r="9" spans="1:8" ht="15" customHeight="1">
      <c r="A9" s="300">
        <v>1.2</v>
      </c>
      <c r="B9" s="301" t="s">
        <v>22</v>
      </c>
      <c r="C9" s="622">
        <v>54310338.011731997</v>
      </c>
      <c r="D9" s="622">
        <v>53527558.708499968</v>
      </c>
      <c r="E9" s="622">
        <v>57590126.534999996</v>
      </c>
      <c r="F9" s="622">
        <v>55701407.791499987</v>
      </c>
      <c r="G9" s="623">
        <v>57481299.20700001</v>
      </c>
    </row>
    <row r="10" spans="1:8" ht="15" customHeight="1">
      <c r="A10" s="300">
        <v>1.3</v>
      </c>
      <c r="B10" s="355" t="s">
        <v>77</v>
      </c>
      <c r="C10" s="622">
        <v>0</v>
      </c>
      <c r="D10" s="622">
        <v>0</v>
      </c>
      <c r="E10" s="622">
        <v>0</v>
      </c>
      <c r="F10" s="622">
        <v>0</v>
      </c>
      <c r="G10" s="623">
        <v>0</v>
      </c>
    </row>
    <row r="11" spans="1:8" ht="15" customHeight="1">
      <c r="A11" s="300">
        <v>2</v>
      </c>
      <c r="B11" s="354" t="s">
        <v>193</v>
      </c>
      <c r="C11" s="624">
        <v>491341.02778599295</v>
      </c>
      <c r="D11" s="624">
        <v>1920132.2119698769</v>
      </c>
      <c r="E11" s="624">
        <v>3352602.258583161</v>
      </c>
      <c r="F11" s="624">
        <v>1579818.9339074499</v>
      </c>
      <c r="G11" s="625">
        <v>3375041.0049316972</v>
      </c>
    </row>
    <row r="12" spans="1:8" ht="15" customHeight="1">
      <c r="A12" s="313">
        <v>3</v>
      </c>
      <c r="B12" s="356" t="s">
        <v>191</v>
      </c>
      <c r="C12" s="622">
        <v>33654529.196040712</v>
      </c>
      <c r="D12" s="622">
        <v>33654529.196040712</v>
      </c>
      <c r="E12" s="622">
        <v>33654529.196040712</v>
      </c>
      <c r="F12" s="622">
        <v>33654529.196040712</v>
      </c>
      <c r="G12" s="623">
        <v>26883909.351648834</v>
      </c>
    </row>
    <row r="13" spans="1:8" ht="15" customHeight="1" thickBot="1">
      <c r="A13" s="111">
        <v>4</v>
      </c>
      <c r="B13" s="357" t="s">
        <v>253</v>
      </c>
      <c r="C13" s="626">
        <f>C6+C11+C12</f>
        <v>460845756.58156025</v>
      </c>
      <c r="D13" s="626">
        <f>D6+D11+D12</f>
        <v>438729862.48107547</v>
      </c>
      <c r="E13" s="626">
        <f t="shared" ref="E13:G13" si="1">E6+E11+E12</f>
        <v>441999494.70743102</v>
      </c>
      <c r="F13" s="626">
        <f t="shared" si="1"/>
        <v>429797061.35576224</v>
      </c>
      <c r="G13" s="627">
        <f t="shared" si="1"/>
        <v>428178933.76047593</v>
      </c>
    </row>
    <row r="14" spans="1:8">
      <c r="B14" s="24"/>
    </row>
    <row r="15" spans="1:8" ht="25.5">
      <c r="B15" s="88" t="s">
        <v>606</v>
      </c>
    </row>
    <row r="16" spans="1:8">
      <c r="B16" s="88"/>
    </row>
    <row r="17" spans="2:2">
      <c r="B17" s="88"/>
    </row>
    <row r="18" spans="2:2">
      <c r="B18" s="8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4" sqref="B4"/>
    </sheetView>
  </sheetViews>
  <sheetFormatPr defaultRowHeight="15"/>
  <cols>
    <col min="1" max="1" width="9.5703125" style="2" bestFit="1" customWidth="1"/>
    <col min="2" max="2" width="58.85546875" style="2" customWidth="1"/>
    <col min="3" max="3" width="34.28515625" style="2" customWidth="1"/>
  </cols>
  <sheetData>
    <row r="1" spans="1:8" ht="15.75">
      <c r="A1" s="527" t="s">
        <v>188</v>
      </c>
      <c r="B1" s="528" t="s">
        <v>954</v>
      </c>
    </row>
    <row r="2" spans="1:8" ht="15.75">
      <c r="A2" s="527" t="s">
        <v>189</v>
      </c>
      <c r="B2" s="529">
        <f>'1. key ratios'!B2</f>
        <v>44834</v>
      </c>
    </row>
    <row r="4" spans="1:8" ht="30.75" thickBot="1">
      <c r="A4" s="207" t="s">
        <v>410</v>
      </c>
      <c r="B4" s="44" t="s">
        <v>149</v>
      </c>
      <c r="C4" s="14"/>
    </row>
    <row r="5" spans="1:8" ht="15.75">
      <c r="A5" s="11"/>
      <c r="B5" s="349" t="s">
        <v>150</v>
      </c>
      <c r="C5" s="361" t="s">
        <v>619</v>
      </c>
    </row>
    <row r="6" spans="1:8">
      <c r="A6" s="15">
        <v>1</v>
      </c>
      <c r="B6" s="45" t="s">
        <v>1031</v>
      </c>
      <c r="C6" s="358" t="s">
        <v>962</v>
      </c>
    </row>
    <row r="7" spans="1:8">
      <c r="A7" s="15">
        <v>2</v>
      </c>
      <c r="B7" s="45" t="s">
        <v>1032</v>
      </c>
      <c r="C7" s="358" t="s">
        <v>963</v>
      </c>
    </row>
    <row r="8" spans="1:8">
      <c r="A8" s="15">
        <v>3</v>
      </c>
      <c r="B8" s="45" t="s">
        <v>958</v>
      </c>
      <c r="C8" s="358" t="s">
        <v>963</v>
      </c>
    </row>
    <row r="9" spans="1:8">
      <c r="A9" s="15">
        <v>4</v>
      </c>
      <c r="B9" s="45" t="s">
        <v>1033</v>
      </c>
      <c r="C9" s="358" t="s">
        <v>963</v>
      </c>
    </row>
    <row r="10" spans="1:8">
      <c r="A10" s="15">
        <v>5</v>
      </c>
      <c r="B10" s="45" t="s">
        <v>1034</v>
      </c>
      <c r="C10" s="358" t="s">
        <v>964</v>
      </c>
    </row>
    <row r="11" spans="1:8">
      <c r="A11" s="15">
        <v>6</v>
      </c>
      <c r="B11" s="45" t="s">
        <v>957</v>
      </c>
      <c r="C11" s="358" t="s">
        <v>964</v>
      </c>
    </row>
    <row r="12" spans="1:8">
      <c r="A12" s="15">
        <v>7</v>
      </c>
      <c r="B12" s="45"/>
      <c r="C12" s="358"/>
      <c r="H12" s="4"/>
    </row>
    <row r="13" spans="1:8">
      <c r="A13" s="15">
        <v>8</v>
      </c>
      <c r="B13" s="45"/>
      <c r="C13" s="358"/>
    </row>
    <row r="14" spans="1:8">
      <c r="A14" s="15">
        <v>9</v>
      </c>
      <c r="B14" s="45"/>
      <c r="C14" s="358"/>
    </row>
    <row r="15" spans="1:8">
      <c r="A15" s="15">
        <v>10</v>
      </c>
      <c r="B15" s="45"/>
      <c r="C15" s="358"/>
    </row>
    <row r="16" spans="1:8">
      <c r="A16" s="15"/>
      <c r="B16" s="782"/>
      <c r="C16" s="783"/>
    </row>
    <row r="17" spans="1:3" ht="60">
      <c r="A17" s="15"/>
      <c r="B17" s="350" t="s">
        <v>151</v>
      </c>
      <c r="C17" s="362" t="s">
        <v>620</v>
      </c>
    </row>
    <row r="18" spans="1:3" ht="15.75">
      <c r="A18" s="15">
        <v>1</v>
      </c>
      <c r="B18" s="28" t="s">
        <v>959</v>
      </c>
      <c r="C18" s="359" t="s">
        <v>965</v>
      </c>
    </row>
    <row r="19" spans="1:3" ht="15.75">
      <c r="A19" s="15">
        <v>2</v>
      </c>
      <c r="B19" s="28" t="s">
        <v>960</v>
      </c>
      <c r="C19" s="359" t="s">
        <v>966</v>
      </c>
    </row>
    <row r="20" spans="1:3" ht="15.75">
      <c r="A20" s="15">
        <v>3</v>
      </c>
      <c r="B20" s="28" t="s">
        <v>961</v>
      </c>
      <c r="C20" s="359" t="s">
        <v>967</v>
      </c>
    </row>
    <row r="21" spans="1:3" ht="15.75">
      <c r="A21" s="15">
        <v>4</v>
      </c>
      <c r="B21" s="28" t="s">
        <v>1029</v>
      </c>
      <c r="C21" s="359" t="s">
        <v>1030</v>
      </c>
    </row>
    <row r="22" spans="1:3" ht="15.75">
      <c r="A22" s="15">
        <v>5</v>
      </c>
      <c r="B22" s="28"/>
      <c r="C22" s="359"/>
    </row>
    <row r="23" spans="1:3" ht="15.75">
      <c r="A23" s="15">
        <v>6</v>
      </c>
      <c r="B23" s="28"/>
      <c r="C23" s="359"/>
    </row>
    <row r="24" spans="1:3" ht="15.75">
      <c r="A24" s="15">
        <v>7</v>
      </c>
      <c r="B24" s="28"/>
      <c r="C24" s="359"/>
    </row>
    <row r="25" spans="1:3" ht="15.75">
      <c r="A25" s="15">
        <v>8</v>
      </c>
      <c r="B25" s="28"/>
      <c r="C25" s="359"/>
    </row>
    <row r="26" spans="1:3" ht="15.75">
      <c r="A26" s="15">
        <v>9</v>
      </c>
      <c r="B26" s="28"/>
      <c r="C26" s="359"/>
    </row>
    <row r="27" spans="1:3" ht="15.75" customHeight="1">
      <c r="A27" s="15">
        <v>10</v>
      </c>
      <c r="B27" s="28"/>
      <c r="C27" s="360"/>
    </row>
    <row r="28" spans="1:3" ht="15.75" customHeight="1">
      <c r="A28" s="15"/>
      <c r="B28" s="28"/>
      <c r="C28" s="29"/>
    </row>
    <row r="29" spans="1:3" ht="30" customHeight="1">
      <c r="A29" s="15"/>
      <c r="B29" s="784" t="s">
        <v>152</v>
      </c>
      <c r="C29" s="785"/>
    </row>
    <row r="30" spans="1:3">
      <c r="A30" s="15">
        <v>1</v>
      </c>
      <c r="B30" s="629" t="s">
        <v>968</v>
      </c>
      <c r="C30" s="630">
        <v>1</v>
      </c>
    </row>
    <row r="31" spans="1:3" ht="15.75" customHeight="1">
      <c r="A31" s="15"/>
      <c r="B31" s="45"/>
      <c r="C31" s="46"/>
    </row>
    <row r="32" spans="1:3" ht="29.25" customHeight="1">
      <c r="A32" s="15"/>
      <c r="B32" s="784" t="s">
        <v>273</v>
      </c>
      <c r="C32" s="785"/>
    </row>
    <row r="33" spans="1:3">
      <c r="A33" s="631">
        <v>1</v>
      </c>
      <c r="B33" s="629" t="s">
        <v>969</v>
      </c>
      <c r="C33" s="632">
        <v>0.37309999999999999</v>
      </c>
    </row>
    <row r="34" spans="1:3" ht="16.5" thickBot="1">
      <c r="A34" s="16">
        <v>2</v>
      </c>
      <c r="B34" s="47" t="s">
        <v>970</v>
      </c>
      <c r="C34" s="633">
        <v>0.28089999999999998</v>
      </c>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4" sqref="B4"/>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527" t="s">
        <v>188</v>
      </c>
      <c r="B1" s="528" t="s">
        <v>954</v>
      </c>
    </row>
    <row r="2" spans="1:7" s="22" customFormat="1" ht="15.75" customHeight="1">
      <c r="A2" s="527" t="s">
        <v>189</v>
      </c>
      <c r="B2" s="529">
        <f>'1. key ratios'!B2</f>
        <v>44834</v>
      </c>
    </row>
    <row r="3" spans="1:7" s="22" customFormat="1" ht="15.75" customHeight="1"/>
    <row r="4" spans="1:7" s="22" customFormat="1" ht="15.75" customHeight="1" thickBot="1">
      <c r="A4" s="208" t="s">
        <v>411</v>
      </c>
      <c r="B4" s="209" t="s">
        <v>263</v>
      </c>
      <c r="C4" s="168"/>
      <c r="D4" s="168"/>
      <c r="E4" s="169" t="s">
        <v>93</v>
      </c>
    </row>
    <row r="5" spans="1:7" s="103" customFormat="1" ht="17.45" customHeight="1">
      <c r="A5" s="274"/>
      <c r="B5" s="275"/>
      <c r="C5" s="167" t="s">
        <v>0</v>
      </c>
      <c r="D5" s="167" t="s">
        <v>1</v>
      </c>
      <c r="E5" s="276" t="s">
        <v>2</v>
      </c>
    </row>
    <row r="6" spans="1:7" s="134" customFormat="1" ht="14.45" customHeight="1">
      <c r="A6" s="277"/>
      <c r="B6" s="786" t="s">
        <v>231</v>
      </c>
      <c r="C6" s="786" t="s">
        <v>230</v>
      </c>
      <c r="D6" s="787" t="s">
        <v>229</v>
      </c>
      <c r="E6" s="788"/>
      <c r="G6"/>
    </row>
    <row r="7" spans="1:7" s="134" customFormat="1" ht="99.6" customHeight="1">
      <c r="A7" s="277"/>
      <c r="B7" s="786"/>
      <c r="C7" s="786"/>
      <c r="D7" s="272" t="s">
        <v>228</v>
      </c>
      <c r="E7" s="273" t="s">
        <v>522</v>
      </c>
      <c r="G7"/>
    </row>
    <row r="8" spans="1:7">
      <c r="A8" s="278">
        <v>1</v>
      </c>
      <c r="B8" s="279" t="s">
        <v>154</v>
      </c>
      <c r="C8" s="636">
        <f>'2. RC'!E7</f>
        <v>1994537.87</v>
      </c>
      <c r="D8" s="636"/>
      <c r="E8" s="634">
        <f>C8-D8</f>
        <v>1994537.87</v>
      </c>
    </row>
    <row r="9" spans="1:7">
      <c r="A9" s="278">
        <v>2</v>
      </c>
      <c r="B9" s="279" t="s">
        <v>155</v>
      </c>
      <c r="C9" s="636">
        <f>'2. RC'!E8</f>
        <v>40371271.460000001</v>
      </c>
      <c r="D9" s="636"/>
      <c r="E9" s="634">
        <f t="shared" ref="E9:E20" si="0">C9-D9</f>
        <v>40371271.460000001</v>
      </c>
    </row>
    <row r="10" spans="1:7">
      <c r="A10" s="278">
        <v>3</v>
      </c>
      <c r="B10" s="279" t="s">
        <v>227</v>
      </c>
      <c r="C10" s="636">
        <f>'2. RC'!E9</f>
        <v>46939790.477936</v>
      </c>
      <c r="D10" s="636"/>
      <c r="E10" s="634">
        <f t="shared" si="0"/>
        <v>46939790.477936</v>
      </c>
    </row>
    <row r="11" spans="1:7">
      <c r="A11" s="278">
        <v>4</v>
      </c>
      <c r="B11" s="279" t="s">
        <v>185</v>
      </c>
      <c r="C11" s="636">
        <f>'2. RC'!E10</f>
        <v>0</v>
      </c>
      <c r="D11" s="636"/>
      <c r="E11" s="634">
        <f t="shared" si="0"/>
        <v>0</v>
      </c>
    </row>
    <row r="12" spans="1:7">
      <c r="A12" s="278">
        <v>5</v>
      </c>
      <c r="B12" s="279" t="s">
        <v>157</v>
      </c>
      <c r="C12" s="636">
        <f>'2. RC'!E11</f>
        <v>36612450.157247916</v>
      </c>
      <c r="D12" s="636"/>
      <c r="E12" s="634">
        <f t="shared" si="0"/>
        <v>36612450.157247916</v>
      </c>
    </row>
    <row r="13" spans="1:7">
      <c r="A13" s="278">
        <v>6.1</v>
      </c>
      <c r="B13" s="279" t="s">
        <v>158</v>
      </c>
      <c r="C13" s="637">
        <f>'2. RC'!E12</f>
        <v>277509783.54000002</v>
      </c>
      <c r="D13" s="636"/>
      <c r="E13" s="634">
        <f t="shared" si="0"/>
        <v>277509783.54000002</v>
      </c>
    </row>
    <row r="14" spans="1:7">
      <c r="A14" s="278">
        <v>6.2</v>
      </c>
      <c r="B14" s="280" t="s">
        <v>159</v>
      </c>
      <c r="C14" s="637">
        <f>'2. RC'!E13</f>
        <v>-8585820.9483999982</v>
      </c>
      <c r="D14" s="636"/>
      <c r="E14" s="634">
        <f t="shared" si="0"/>
        <v>-8585820.9483999982</v>
      </c>
    </row>
    <row r="15" spans="1:7">
      <c r="A15" s="278">
        <v>6</v>
      </c>
      <c r="B15" s="279" t="s">
        <v>226</v>
      </c>
      <c r="C15" s="636">
        <f>'2. RC'!E14</f>
        <v>268923962.59160006</v>
      </c>
      <c r="D15" s="636"/>
      <c r="E15" s="634">
        <f t="shared" si="0"/>
        <v>268923962.59160006</v>
      </c>
    </row>
    <row r="16" spans="1:7">
      <c r="A16" s="278">
        <v>7</v>
      </c>
      <c r="B16" s="279" t="s">
        <v>161</v>
      </c>
      <c r="C16" s="636">
        <f>'2. RC'!E15</f>
        <v>2282813.6587840002</v>
      </c>
      <c r="D16" s="636"/>
      <c r="E16" s="634">
        <f t="shared" si="0"/>
        <v>2282813.6587840002</v>
      </c>
    </row>
    <row r="17" spans="1:7">
      <c r="A17" s="278">
        <v>8</v>
      </c>
      <c r="B17" s="279" t="s">
        <v>162</v>
      </c>
      <c r="C17" s="636">
        <f>'2. RC'!E16</f>
        <v>569825.30999999994</v>
      </c>
      <c r="D17" s="636"/>
      <c r="E17" s="634">
        <f t="shared" si="0"/>
        <v>569825.30999999994</v>
      </c>
      <c r="F17" s="6"/>
      <c r="G17" s="6"/>
    </row>
    <row r="18" spans="1:7">
      <c r="A18" s="278">
        <v>9</v>
      </c>
      <c r="B18" s="279" t="s">
        <v>163</v>
      </c>
      <c r="C18" s="636">
        <f>'2. RC'!E17</f>
        <v>0</v>
      </c>
      <c r="D18" s="636"/>
      <c r="E18" s="634">
        <f t="shared" si="0"/>
        <v>0</v>
      </c>
      <c r="G18" s="6"/>
    </row>
    <row r="19" spans="1:7" ht="25.5">
      <c r="A19" s="278">
        <v>10</v>
      </c>
      <c r="B19" s="279" t="s">
        <v>164</v>
      </c>
      <c r="C19" s="636">
        <f>'2. RC'!E18</f>
        <v>7192916.8899999997</v>
      </c>
      <c r="D19" s="636">
        <v>250017.72000000003</v>
      </c>
      <c r="E19" s="634">
        <f t="shared" si="0"/>
        <v>6942899.1699999999</v>
      </c>
      <c r="G19" s="6"/>
    </row>
    <row r="20" spans="1:7">
      <c r="A20" s="278">
        <v>11</v>
      </c>
      <c r="B20" s="279" t="s">
        <v>165</v>
      </c>
      <c r="C20" s="636">
        <f>'2. RC'!E19</f>
        <v>5084736.405401025</v>
      </c>
      <c r="D20" s="636"/>
      <c r="E20" s="634">
        <f t="shared" si="0"/>
        <v>5084736.405401025</v>
      </c>
    </row>
    <row r="21" spans="1:7" ht="39" thickBot="1">
      <c r="A21" s="281"/>
      <c r="B21" s="282" t="s">
        <v>485</v>
      </c>
      <c r="C21" s="638">
        <f>SUM(C8:C12, C15:C20)</f>
        <v>409972304.82096899</v>
      </c>
      <c r="D21" s="638">
        <f>SUM(D8:D12, D15:D20)</f>
        <v>250017.72000000003</v>
      </c>
      <c r="E21" s="635">
        <f>SUM(E8:E12, E15:E20)</f>
        <v>409722287.10096902</v>
      </c>
    </row>
    <row r="22" spans="1:7">
      <c r="A22"/>
      <c r="B22"/>
      <c r="C22"/>
      <c r="D22"/>
      <c r="E22"/>
    </row>
    <row r="23" spans="1:7">
      <c r="A23"/>
      <c r="B23"/>
      <c r="C23"/>
      <c r="D23"/>
      <c r="E23"/>
    </row>
    <row r="25" spans="1:7" s="2" customFormat="1">
      <c r="B25" s="49"/>
      <c r="F25"/>
      <c r="G25"/>
    </row>
    <row r="26" spans="1:7" s="2" customFormat="1">
      <c r="B26" s="50"/>
      <c r="F26"/>
      <c r="G26"/>
    </row>
    <row r="27" spans="1:7" s="2" customFormat="1">
      <c r="B27" s="49"/>
      <c r="F27"/>
      <c r="G27"/>
    </row>
    <row r="28" spans="1:7" s="2" customFormat="1">
      <c r="B28" s="49"/>
      <c r="F28"/>
      <c r="G28"/>
    </row>
    <row r="29" spans="1:7" s="2" customFormat="1">
      <c r="B29" s="49"/>
      <c r="F29"/>
      <c r="G29"/>
    </row>
    <row r="30" spans="1:7" s="2" customFormat="1">
      <c r="B30" s="49"/>
      <c r="F30"/>
      <c r="G30"/>
    </row>
    <row r="31" spans="1:7" s="2" customFormat="1">
      <c r="B31" s="49"/>
      <c r="F31"/>
      <c r="G31"/>
    </row>
    <row r="32" spans="1:7" s="2" customFormat="1">
      <c r="B32" s="50"/>
      <c r="F32"/>
      <c r="G32"/>
    </row>
    <row r="33" spans="2:7" s="2" customFormat="1">
      <c r="B33" s="50"/>
      <c r="F33"/>
      <c r="G33"/>
    </row>
    <row r="34" spans="2:7" s="2" customFormat="1">
      <c r="B34" s="50"/>
      <c r="F34"/>
      <c r="G34"/>
    </row>
    <row r="35" spans="2:7" s="2" customFormat="1">
      <c r="B35" s="50"/>
      <c r="F35"/>
      <c r="G35"/>
    </row>
    <row r="36" spans="2:7" s="2" customFormat="1">
      <c r="B36" s="50"/>
      <c r="F36"/>
      <c r="G36"/>
    </row>
    <row r="37" spans="2:7" s="2" customFormat="1">
      <c r="B37" s="50"/>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4" sqref="B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527" t="s">
        <v>188</v>
      </c>
      <c r="B1" s="528" t="s">
        <v>954</v>
      </c>
    </row>
    <row r="2" spans="1:6" s="22" customFormat="1" ht="15.75" customHeight="1">
      <c r="A2" s="527" t="s">
        <v>189</v>
      </c>
      <c r="B2" s="529">
        <f>'1. key ratios'!B2</f>
        <v>44834</v>
      </c>
      <c r="C2"/>
      <c r="D2"/>
      <c r="E2"/>
      <c r="F2"/>
    </row>
    <row r="3" spans="1:6" s="22" customFormat="1" ht="15.75" customHeight="1">
      <c r="C3"/>
      <c r="D3"/>
      <c r="E3"/>
      <c r="F3"/>
    </row>
    <row r="4" spans="1:6" s="22" customFormat="1" ht="26.25" thickBot="1">
      <c r="A4" s="22" t="s">
        <v>412</v>
      </c>
      <c r="B4" s="175" t="s">
        <v>266</v>
      </c>
      <c r="C4" s="169" t="s">
        <v>93</v>
      </c>
      <c r="D4"/>
      <c r="E4"/>
      <c r="F4"/>
    </row>
    <row r="5" spans="1:6" ht="26.25">
      <c r="A5" s="170">
        <v>1</v>
      </c>
      <c r="B5" s="171" t="s">
        <v>434</v>
      </c>
      <c r="C5" s="639">
        <f>'7. LI1'!E21</f>
        <v>409722287.10096902</v>
      </c>
    </row>
    <row r="6" spans="1:6" s="160" customFormat="1">
      <c r="A6" s="102">
        <v>2.1</v>
      </c>
      <c r="B6" s="177" t="s">
        <v>267</v>
      </c>
      <c r="C6" s="640">
        <f>'4. Off-Balance'!E8+'4. Off-Balance'!E10</f>
        <v>117545592.91</v>
      </c>
    </row>
    <row r="7" spans="1:6" s="4" customFormat="1" ht="25.5" outlineLevel="1">
      <c r="A7" s="176">
        <v>2.2000000000000002</v>
      </c>
      <c r="B7" s="172" t="s">
        <v>268</v>
      </c>
      <c r="C7" s="641"/>
    </row>
    <row r="8" spans="1:6" s="4" customFormat="1" ht="26.25">
      <c r="A8" s="176">
        <v>3</v>
      </c>
      <c r="B8" s="173" t="s">
        <v>435</v>
      </c>
      <c r="C8" s="642">
        <f>SUM(C5:C7)</f>
        <v>527267880.01096904</v>
      </c>
    </row>
    <row r="9" spans="1:6" s="160" customFormat="1">
      <c r="A9" s="102">
        <v>4</v>
      </c>
      <c r="B9" s="180" t="s">
        <v>264</v>
      </c>
      <c r="C9" s="640">
        <v>5333748.5794716701</v>
      </c>
    </row>
    <row r="10" spans="1:6" s="4" customFormat="1" ht="25.5" outlineLevel="1">
      <c r="A10" s="176">
        <v>5.0999999999999996</v>
      </c>
      <c r="B10" s="172" t="s">
        <v>274</v>
      </c>
      <c r="C10" s="643">
        <v>-49151926.765000001</v>
      </c>
    </row>
    <row r="11" spans="1:6" s="4" customFormat="1" ht="25.5" outlineLevel="1">
      <c r="A11" s="176">
        <v>5.2</v>
      </c>
      <c r="B11" s="172" t="s">
        <v>275</v>
      </c>
      <c r="C11" s="641"/>
    </row>
    <row r="12" spans="1:6" s="4" customFormat="1">
      <c r="A12" s="176">
        <v>6</v>
      </c>
      <c r="B12" s="178" t="s">
        <v>607</v>
      </c>
      <c r="C12" s="641">
        <v>0</v>
      </c>
    </row>
    <row r="13" spans="1:6" s="4" customFormat="1" ht="15.75" thickBot="1">
      <c r="A13" s="179">
        <v>7</v>
      </c>
      <c r="B13" s="174" t="s">
        <v>265</v>
      </c>
      <c r="C13" s="644">
        <f>SUM(C8:C12)</f>
        <v>483449701.8254407</v>
      </c>
    </row>
    <row r="15" spans="1:6">
      <c r="B15" s="24"/>
    </row>
    <row r="17" spans="2:9" s="2" customFormat="1">
      <c r="B17" s="51"/>
      <c r="C17"/>
      <c r="D17"/>
      <c r="E17"/>
      <c r="F17"/>
      <c r="G17"/>
      <c r="H17"/>
      <c r="I17"/>
    </row>
    <row r="18" spans="2:9" s="2" customFormat="1">
      <c r="B18" s="48"/>
      <c r="C18"/>
      <c r="D18"/>
      <c r="E18"/>
      <c r="F18"/>
      <c r="G18"/>
      <c r="H18"/>
      <c r="I18"/>
    </row>
    <row r="19" spans="2:9" s="2" customFormat="1">
      <c r="B19" s="48"/>
      <c r="C19"/>
      <c r="D19"/>
      <c r="E19"/>
      <c r="F19"/>
      <c r="G19"/>
      <c r="H19"/>
      <c r="I19"/>
    </row>
    <row r="20" spans="2:9" s="2" customFormat="1">
      <c r="B20" s="50"/>
      <c r="C20"/>
      <c r="D20"/>
      <c r="E20"/>
      <c r="F20"/>
      <c r="G20"/>
      <c r="H20"/>
      <c r="I20"/>
    </row>
    <row r="21" spans="2:9" s="2" customFormat="1">
      <c r="B21" s="49"/>
      <c r="C21"/>
      <c r="D21"/>
      <c r="E21"/>
      <c r="F21"/>
      <c r="G21"/>
      <c r="H21"/>
      <c r="I21"/>
    </row>
    <row r="22" spans="2:9" s="2" customFormat="1">
      <c r="B22" s="50"/>
      <c r="C22"/>
      <c r="D22"/>
      <c r="E22"/>
      <c r="F22"/>
      <c r="G22"/>
      <c r="H22"/>
      <c r="I22"/>
    </row>
    <row r="23" spans="2:9" s="2" customFormat="1">
      <c r="B23" s="49"/>
      <c r="C23"/>
      <c r="D23"/>
      <c r="E23"/>
      <c r="F23"/>
      <c r="G23"/>
      <c r="H23"/>
      <c r="I23"/>
    </row>
    <row r="24" spans="2:9" s="2" customFormat="1">
      <c r="B24" s="49"/>
      <c r="C24"/>
      <c r="D24"/>
      <c r="E24"/>
      <c r="F24"/>
      <c r="G24"/>
      <c r="H24"/>
      <c r="I24"/>
    </row>
    <row r="25" spans="2:9" s="2" customFormat="1">
      <c r="B25" s="49"/>
      <c r="C25"/>
      <c r="D25"/>
      <c r="E25"/>
      <c r="F25"/>
      <c r="G25"/>
      <c r="H25"/>
      <c r="I25"/>
    </row>
    <row r="26" spans="2:9" s="2" customFormat="1">
      <c r="B26" s="49"/>
      <c r="C26"/>
      <c r="D26"/>
      <c r="E26"/>
      <c r="F26"/>
      <c r="G26"/>
      <c r="H26"/>
      <c r="I26"/>
    </row>
    <row r="27" spans="2:9" s="2" customFormat="1">
      <c r="B27" s="49"/>
      <c r="C27"/>
      <c r="D27"/>
      <c r="E27"/>
      <c r="F27"/>
      <c r="G27"/>
      <c r="H27"/>
      <c r="I27"/>
    </row>
    <row r="28" spans="2:9" s="2" customFormat="1">
      <c r="B28" s="50"/>
      <c r="C28"/>
      <c r="D28"/>
      <c r="E28"/>
      <c r="F28"/>
      <c r="G28"/>
      <c r="H28"/>
      <c r="I28"/>
    </row>
    <row r="29" spans="2:9" s="2" customFormat="1">
      <c r="B29" s="50"/>
      <c r="C29"/>
      <c r="D29"/>
      <c r="E29"/>
      <c r="F29"/>
      <c r="G29"/>
      <c r="H29"/>
      <c r="I29"/>
    </row>
    <row r="30" spans="2:9" s="2" customFormat="1">
      <c r="B30" s="50"/>
      <c r="C30"/>
      <c r="D30"/>
      <c r="E30"/>
      <c r="F30"/>
      <c r="G30"/>
      <c r="H30"/>
      <c r="I30"/>
    </row>
    <row r="31" spans="2:9" s="2" customFormat="1">
      <c r="B31" s="50"/>
      <c r="C31"/>
      <c r="D31"/>
      <c r="E31"/>
      <c r="F31"/>
      <c r="G31"/>
      <c r="H31"/>
      <c r="I31"/>
    </row>
    <row r="32" spans="2:9" s="2" customFormat="1">
      <c r="B32" s="50"/>
      <c r="C32"/>
      <c r="D32"/>
      <c r="E32"/>
      <c r="F32"/>
      <c r="G32"/>
      <c r="H32"/>
      <c r="I32"/>
    </row>
    <row r="33" spans="2:9" s="2" customFormat="1">
      <c r="B33" s="50"/>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oHNvT6dPRpZ5/ldxhwqCUIaWXkBR6V8Vnaa4seOozMw=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oUcP3ZvBDzmhKrh5sRqEmeePCjkA5tZJz/cKgk1OUx4=</DigestValue>
    </Reference>
  </SignedInfo>
  <SignatureValue>cmGp4AD06+YkSgwWy4Of76m9iJHiUzaJ9gvlDY7Ao7+XVru8tIm/gZ8gIVm7Srlp4D+MrQK7ubYE
lXcY8QNtqlWJRXURFPifJ+Y09E3FSGTaVxagVFAEdOXHikQ8XmjBO2Y4luiYKpuWef/w9obvxgL6
mkXv/PzF1i1aF+7mRJOGTANYKCTKptsXiFS6Uo3QJ3SUso4c3JIG99J1oNswLBGKR8uUvVNP8qKr
FUZj8EaBiOj7czBuQa3GPa/WxM/YHAde/mzlyOT17J86h7cb27RC/fjtDmwq6rQ5zBRflGaIjpOp
7i9WlUmMynwWGTrfV2s6/J7ZFL5UMzkMr1wv7Q==</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nPPmF759//uJSt9EeczfeB4/ppi4SZohyElEHv7BUYo=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yqsIdUYbC5va4tz6gtBrJu0AO1hmdO++KOkhxMXqGr8=</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66e0ekatuikj1EJp09qyF4pBpzWIYHiw7D/ozCCeRlA=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f5h+q1+Z1PaS9Zc8qLyWm5Y3hK2BPKDEviRljdY+MZA=</DigestValue>
      </Reference>
      <Reference URI="/xl/worksheets/sheet10.xml?ContentType=application/vnd.openxmlformats-officedocument.spreadsheetml.worksheet+xml">
        <DigestMethod Algorithm="http://www.w3.org/2001/04/xmlenc#sha256"/>
        <DigestValue>w+2xDOio0ZwBa3KW0gxw9ZnQrd3VG2h4F4TMjGJpsyE=</DigestValue>
      </Reference>
      <Reference URI="/xl/worksheets/sheet11.xml?ContentType=application/vnd.openxmlformats-officedocument.spreadsheetml.worksheet+xml">
        <DigestMethod Algorithm="http://www.w3.org/2001/04/xmlenc#sha256"/>
        <DigestValue>KLVvQt1+YE/nGQtuleiXgdH6WToPHOL9OGpda/kBP/o=</DigestValue>
      </Reference>
      <Reference URI="/xl/worksheets/sheet12.xml?ContentType=application/vnd.openxmlformats-officedocument.spreadsheetml.worksheet+xml">
        <DigestMethod Algorithm="http://www.w3.org/2001/04/xmlenc#sha256"/>
        <DigestValue>ERKqB+73f+k8ba7kSXeiCk+MUXvA3Q1lPdJxI7Bi+qo=</DigestValue>
      </Reference>
      <Reference URI="/xl/worksheets/sheet13.xml?ContentType=application/vnd.openxmlformats-officedocument.spreadsheetml.worksheet+xml">
        <DigestMethod Algorithm="http://www.w3.org/2001/04/xmlenc#sha256"/>
        <DigestValue>nufFVOBhVXA2US0K7MYhSVyLgm3/blhwx/5JxSSMMfQ=</DigestValue>
      </Reference>
      <Reference URI="/xl/worksheets/sheet14.xml?ContentType=application/vnd.openxmlformats-officedocument.spreadsheetml.worksheet+xml">
        <DigestMethod Algorithm="http://www.w3.org/2001/04/xmlenc#sha256"/>
        <DigestValue>kpfixK4O+K02gNSLP4mCIsE+bWX9LHwvOEmiuSuBCco=</DigestValue>
      </Reference>
      <Reference URI="/xl/worksheets/sheet15.xml?ContentType=application/vnd.openxmlformats-officedocument.spreadsheetml.worksheet+xml">
        <DigestMethod Algorithm="http://www.w3.org/2001/04/xmlenc#sha256"/>
        <DigestValue>201HApB8rRzRA7yinQVY/hHk7o4OJ8XMy58OXWWf4DY=</DigestValue>
      </Reference>
      <Reference URI="/xl/worksheets/sheet16.xml?ContentType=application/vnd.openxmlformats-officedocument.spreadsheetml.worksheet+xml">
        <DigestMethod Algorithm="http://www.w3.org/2001/04/xmlenc#sha256"/>
        <DigestValue>9kvI0aZN1bRIdnqpFV/2WR0bcjAVXaoLEHqUOYLpeUE=</DigestValue>
      </Reference>
      <Reference URI="/xl/worksheets/sheet17.xml?ContentType=application/vnd.openxmlformats-officedocument.spreadsheetml.worksheet+xml">
        <DigestMethod Algorithm="http://www.w3.org/2001/04/xmlenc#sha256"/>
        <DigestValue>Rvqy+f7rvWegpn9sotzy1QSU1XRl1b2yl+WUXUBFgzU=</DigestValue>
      </Reference>
      <Reference URI="/xl/worksheets/sheet18.xml?ContentType=application/vnd.openxmlformats-officedocument.spreadsheetml.worksheet+xml">
        <DigestMethod Algorithm="http://www.w3.org/2001/04/xmlenc#sha256"/>
        <DigestValue>ZPDXohYPezuk2jUV9BJgoG/7z8eGTYI4uIX/IbYvNWM=</DigestValue>
      </Reference>
      <Reference URI="/xl/worksheets/sheet19.xml?ContentType=application/vnd.openxmlformats-officedocument.spreadsheetml.worksheet+xml">
        <DigestMethod Algorithm="http://www.w3.org/2001/04/xmlenc#sha256"/>
        <DigestValue>sPQHEHuJnu+L72oWeYE8Q95Oqz7AkysPHd5nMAyOviE=</DigestValue>
      </Reference>
      <Reference URI="/xl/worksheets/sheet2.xml?ContentType=application/vnd.openxmlformats-officedocument.spreadsheetml.worksheet+xml">
        <DigestMethod Algorithm="http://www.w3.org/2001/04/xmlenc#sha256"/>
        <DigestValue>V3HH/ifYyx65kVK2G4SdXJJtYwNGRmrchi1a5yBfLnY=</DigestValue>
      </Reference>
      <Reference URI="/xl/worksheets/sheet20.xml?ContentType=application/vnd.openxmlformats-officedocument.spreadsheetml.worksheet+xml">
        <DigestMethod Algorithm="http://www.w3.org/2001/04/xmlenc#sha256"/>
        <DigestValue>mEnlb8LhMwYlOgDYED4cuL9SbAHd45Ovov60nuSdrj0=</DigestValue>
      </Reference>
      <Reference URI="/xl/worksheets/sheet21.xml?ContentType=application/vnd.openxmlformats-officedocument.spreadsheetml.worksheet+xml">
        <DigestMethod Algorithm="http://www.w3.org/2001/04/xmlenc#sha256"/>
        <DigestValue>LyTaQiE5LSM6HqCejwIErrIB0xnIfW6KXbkkoZE7ZDU=</DigestValue>
      </Reference>
      <Reference URI="/xl/worksheets/sheet22.xml?ContentType=application/vnd.openxmlformats-officedocument.spreadsheetml.worksheet+xml">
        <DigestMethod Algorithm="http://www.w3.org/2001/04/xmlenc#sha256"/>
        <DigestValue>58R2uPvoroO+/JPUonLWui74aYIZyFtI+tPvRiihmuw=</DigestValue>
      </Reference>
      <Reference URI="/xl/worksheets/sheet23.xml?ContentType=application/vnd.openxmlformats-officedocument.spreadsheetml.worksheet+xml">
        <DigestMethod Algorithm="http://www.w3.org/2001/04/xmlenc#sha256"/>
        <DigestValue>KYlNZf9HCMmVWdJoU+LNcc2kTnZGKJglxUh8amo4WMA=</DigestValue>
      </Reference>
      <Reference URI="/xl/worksheets/sheet24.xml?ContentType=application/vnd.openxmlformats-officedocument.spreadsheetml.worksheet+xml">
        <DigestMethod Algorithm="http://www.w3.org/2001/04/xmlenc#sha256"/>
        <DigestValue>mjwAzMdJ7eHtkoKaq8RI5vdndVuFkEUK1MlybfPvmSk=</DigestValue>
      </Reference>
      <Reference URI="/xl/worksheets/sheet25.xml?ContentType=application/vnd.openxmlformats-officedocument.spreadsheetml.worksheet+xml">
        <DigestMethod Algorithm="http://www.w3.org/2001/04/xmlenc#sha256"/>
        <DigestValue>ZKl3asp9BOXrzghjHEkechKbDjAJ/AvK0iwkxnonye0=</DigestValue>
      </Reference>
      <Reference URI="/xl/worksheets/sheet26.xml?ContentType=application/vnd.openxmlformats-officedocument.spreadsheetml.worksheet+xml">
        <DigestMethod Algorithm="http://www.w3.org/2001/04/xmlenc#sha256"/>
        <DigestValue>LXCf2Oe5SgABG8nMm1n9+UCSUTdRETlLBk0qlR0Jpe0=</DigestValue>
      </Reference>
      <Reference URI="/xl/worksheets/sheet27.xml?ContentType=application/vnd.openxmlformats-officedocument.spreadsheetml.worksheet+xml">
        <DigestMethod Algorithm="http://www.w3.org/2001/04/xmlenc#sha256"/>
        <DigestValue>YMP0RlN4QiAuGfRqlNw49BhD6jeCfv6D+KxHa4cUMiM=</DigestValue>
      </Reference>
      <Reference URI="/xl/worksheets/sheet28.xml?ContentType=application/vnd.openxmlformats-officedocument.spreadsheetml.worksheet+xml">
        <DigestMethod Algorithm="http://www.w3.org/2001/04/xmlenc#sha256"/>
        <DigestValue>J/ftvrlgE2HGoutdlt8AfGGTZwHpfUEGJrFFWGmgsiE=</DigestValue>
      </Reference>
      <Reference URI="/xl/worksheets/sheet29.xml?ContentType=application/vnd.openxmlformats-officedocument.spreadsheetml.worksheet+xml">
        <DigestMethod Algorithm="http://www.w3.org/2001/04/xmlenc#sha256"/>
        <DigestValue>c2WHeBCw+UUPnL3Fg5Y5k42CWaW+mAJqjyEGOzKDR9E=</DigestValue>
      </Reference>
      <Reference URI="/xl/worksheets/sheet3.xml?ContentType=application/vnd.openxmlformats-officedocument.spreadsheetml.worksheet+xml">
        <DigestMethod Algorithm="http://www.w3.org/2001/04/xmlenc#sha256"/>
        <DigestValue>vZHtd+dkrJI4N+fMntuXMWukaYfRC5WJChNvnoX18IM=</DigestValue>
      </Reference>
      <Reference URI="/xl/worksheets/sheet30.xml?ContentType=application/vnd.openxmlformats-officedocument.spreadsheetml.worksheet+xml">
        <DigestMethod Algorithm="http://www.w3.org/2001/04/xmlenc#sha256"/>
        <DigestValue>XFo3Fqv7LRNstsVQxF0dN9BkCPIHPBPwn0qZHZf3yuM=</DigestValue>
      </Reference>
      <Reference URI="/xl/worksheets/sheet4.xml?ContentType=application/vnd.openxmlformats-officedocument.spreadsheetml.worksheet+xml">
        <DigestMethod Algorithm="http://www.w3.org/2001/04/xmlenc#sha256"/>
        <DigestValue>x5Y9m4e1VdP7CAqhebJIMTZSB3V21CDU7GkqJasWwUg=</DigestValue>
      </Reference>
      <Reference URI="/xl/worksheets/sheet5.xml?ContentType=application/vnd.openxmlformats-officedocument.spreadsheetml.worksheet+xml">
        <DigestMethod Algorithm="http://www.w3.org/2001/04/xmlenc#sha256"/>
        <DigestValue>90llkhF2tlQJFR2PPANsonHVjWaCI7mU97s7Z09zBm8=</DigestValue>
      </Reference>
      <Reference URI="/xl/worksheets/sheet6.xml?ContentType=application/vnd.openxmlformats-officedocument.spreadsheetml.worksheet+xml">
        <DigestMethod Algorithm="http://www.w3.org/2001/04/xmlenc#sha256"/>
        <DigestValue>w7gi9CPZAMbt4KCrzXHVQaWSkaiDROqZLcDVQgX3BpU=</DigestValue>
      </Reference>
      <Reference URI="/xl/worksheets/sheet7.xml?ContentType=application/vnd.openxmlformats-officedocument.spreadsheetml.worksheet+xml">
        <DigestMethod Algorithm="http://www.w3.org/2001/04/xmlenc#sha256"/>
        <DigestValue>dMQFYMeWTzytMblTI/OxR2ksU1eWgRUp9SH0JQDjF4w=</DigestValue>
      </Reference>
      <Reference URI="/xl/worksheets/sheet8.xml?ContentType=application/vnd.openxmlformats-officedocument.spreadsheetml.worksheet+xml">
        <DigestMethod Algorithm="http://www.w3.org/2001/04/xmlenc#sha256"/>
        <DigestValue>Ef7vKca+ZudCHUy17yGLU2l7l33b/U2Xxk5uS7BFm58=</DigestValue>
      </Reference>
      <Reference URI="/xl/worksheets/sheet9.xml?ContentType=application/vnd.openxmlformats-officedocument.spreadsheetml.worksheet+xml">
        <DigestMethod Algorithm="http://www.w3.org/2001/04/xmlenc#sha256"/>
        <DigestValue>f6ESmHQmuz4TA9I/xOzG3pEK4fNyRTzV7eyqcAIA9u4=</DigestValue>
      </Reference>
    </Manifest>
    <SignatureProperties>
      <SignatureProperty Id="idSignatureTime" Target="#idPackageSignature">
        <mdssi:SignatureTime xmlns:mdssi="http://schemas.openxmlformats.org/package/2006/digital-signature">
          <mdssi:Format>YYYY-MM-DDThh:mm:ssTZD</mdssi:Format>
          <mdssi:Value>2022-11-01T06:15:47Z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2022-11-01T06:15:47Z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DC1k+7D/QDpyCinhSKIpBcY9LIDtC1jOaJtvi93MEak=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jkoRUgbZY9v6aKMeniBjvxtDaS0YJfidOY7NVlRIGTs=</DigestValue>
    </Reference>
  </SignedInfo>
  <SignatureValue>4+sL0B+gwEvnXzu/ZCG1/ctQrbfjP4byI/P/GgfClRgMdDqiKI7M3qiMKeSGuFZpmY4PvgWKj4U+
7Lh4lkrJct251DCkfH2dbW+QHELeHwNRyRbkSq7EZL5i6Ri20RGZPgmyNq5QalNQaPsFFNSKUKFV
y+x42ksAlUcCNMk22UAxHZQyqFU9DXHA5+nvssp6aLom5KqwMW1k4+ZVUZFAq+U03k1i0EUW2PuR
ySBGwz58G/xfMooHcK2mq98Ne6k6cPh1Vyy1Whzp2PXnQCVqMqU/taj+f7E6F4Ts1XCqiic+RuD9
EkUnijo3x0UchyWRGjkwxyxD9agdosqvOTJ2cg==</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WD8GylP2c0ZwcTajiE5ds+UqE9hf5EONUTC1tppI9wY=</DigestValue>
      </Reference>
      <Reference URI="/xl/calcChain.xml?ContentType=application/vnd.openxmlformats-officedocument.spreadsheetml.calcChain+xml">
        <DigestMethod Algorithm="http://www.w3.org/2001/04/xmlenc#sha256"/>
        <DigestValue>nPPmF759//uJSt9EeczfeB4/ppi4SZohyElEHv7BUYo=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EB9YnySyuGa6Lhp13pXUU1M1ihYYTAL3hcDCk/eSuO4=</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UV41FFKbUJYvvnIUAyLpZkjRdVA99bxLucqGnzS5/rc=</DigestValue>
      </Reference>
      <Reference URI="/xl/printerSettings/printerSettings17.bin?ContentType=application/vnd.openxmlformats-officedocument.spreadsheetml.printerSettings">
        <DigestMethod Algorithm="http://www.w3.org/2001/04/xmlenc#sha256"/>
        <DigestValue>BfOqFYncvTrOA0w5jBPLJpo6svE1gFZliFydlsU/uz4=</DigestValue>
      </Reference>
      <Reference URI="/xl/printerSettings/printerSettings18.bin?ContentType=application/vnd.openxmlformats-officedocument.spreadsheetml.printerSettings">
        <DigestMethod Algorithm="http://www.w3.org/2001/04/xmlenc#sha256"/>
        <DigestValue>zxLIGjiJ19gUsPtQr72salfkFKrVFBCr1X8320JEcsQ=</DigestValue>
      </Reference>
      <Reference URI="/xl/printerSettings/printerSettings19.bin?ContentType=application/vnd.openxmlformats-officedocument.spreadsheetml.printerSettings">
        <DigestMethod Algorithm="http://www.w3.org/2001/04/xmlenc#sha256"/>
        <DigestValue>qqKz7UtelGHdfiWdqNc1EvL8LqlQ7O4MTpeoyQcgyv0=</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nkR1lu9OLM1UMxWiPa7wm3YcnQOlFOICy95qYiodDz0=</DigestValue>
      </Reference>
      <Reference URI="/xl/printerSettings/printerSettings21.bin?ContentType=application/vnd.openxmlformats-officedocument.spreadsheetml.printerSettings">
        <DigestMethod Algorithm="http://www.w3.org/2001/04/xmlenc#sha256"/>
        <DigestValue>2bvX94YA3UVSaKlpfCjo157kRTaGD9ZFW7t96/Nk1uk=</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SWiohiWSuPjjcblZxueyphOzVidWJvXmdfCiNQW6SiY=</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qqKz7UtelGHdfiWdqNc1EvL8LqlQ7O4MTpeoyQcgyv0=</DigestValue>
      </Reference>
      <Reference URI="/xl/printerSettings/printerSettings26.bin?ContentType=application/vnd.openxmlformats-officedocument.spreadsheetml.printerSettings">
        <DigestMethod Algorithm="http://www.w3.org/2001/04/xmlenc#sha256"/>
        <DigestValue>ze+MZOtihPj9dKeV/Dz5QESpeY6Fdwmnkxhrh69STxA=</DigestValue>
      </Reference>
      <Reference URI="/xl/printerSettings/printerSettings27.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yqsIdUYbC5va4tz6gtBrJu0AO1hmdO++KOkhxMXqGr8=</DigestValue>
      </Reference>
      <Reference URI="/xl/styles.xml?ContentType=application/vnd.openxmlformats-officedocument.spreadsheetml.styles+xml">
        <DigestMethod Algorithm="http://www.w3.org/2001/04/xmlenc#sha256"/>
        <DigestValue>ECayRWfMBQawM+x5aXER87eD8tJaO/ukp+H/r9k1Rrg=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66e0ekatuikj1EJp09qyF4pBpzWIYHiw7D/ozCCeRlA=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f5h+q1+Z1PaS9Zc8qLyWm5Y3hK2BPKDEviRljdY+MZA=</DigestValue>
      </Reference>
      <Reference URI="/xl/worksheets/sheet10.xml?ContentType=application/vnd.openxmlformats-officedocument.spreadsheetml.worksheet+xml">
        <DigestMethod Algorithm="http://www.w3.org/2001/04/xmlenc#sha256"/>
        <DigestValue>w+2xDOio0ZwBa3KW0gxw9ZnQrd3VG2h4F4TMjGJpsyE=</DigestValue>
      </Reference>
      <Reference URI="/xl/worksheets/sheet11.xml?ContentType=application/vnd.openxmlformats-officedocument.spreadsheetml.worksheet+xml">
        <DigestMethod Algorithm="http://www.w3.org/2001/04/xmlenc#sha256"/>
        <DigestValue>KLVvQt1+YE/nGQtuleiXgdH6WToPHOL9OGpda/kBP/o=</DigestValue>
      </Reference>
      <Reference URI="/xl/worksheets/sheet12.xml?ContentType=application/vnd.openxmlformats-officedocument.spreadsheetml.worksheet+xml">
        <DigestMethod Algorithm="http://www.w3.org/2001/04/xmlenc#sha256"/>
        <DigestValue>ERKqB+73f+k8ba7kSXeiCk+MUXvA3Q1lPdJxI7Bi+qo=</DigestValue>
      </Reference>
      <Reference URI="/xl/worksheets/sheet13.xml?ContentType=application/vnd.openxmlformats-officedocument.spreadsheetml.worksheet+xml">
        <DigestMethod Algorithm="http://www.w3.org/2001/04/xmlenc#sha256"/>
        <DigestValue>nufFVOBhVXA2US0K7MYhSVyLgm3/blhwx/5JxSSMMfQ=</DigestValue>
      </Reference>
      <Reference URI="/xl/worksheets/sheet14.xml?ContentType=application/vnd.openxmlformats-officedocument.spreadsheetml.worksheet+xml">
        <DigestMethod Algorithm="http://www.w3.org/2001/04/xmlenc#sha256"/>
        <DigestValue>kpfixK4O+K02gNSLP4mCIsE+bWX9LHwvOEmiuSuBCco=</DigestValue>
      </Reference>
      <Reference URI="/xl/worksheets/sheet15.xml?ContentType=application/vnd.openxmlformats-officedocument.spreadsheetml.worksheet+xml">
        <DigestMethod Algorithm="http://www.w3.org/2001/04/xmlenc#sha256"/>
        <DigestValue>201HApB8rRzRA7yinQVY/hHk7o4OJ8XMy58OXWWf4DY=</DigestValue>
      </Reference>
      <Reference URI="/xl/worksheets/sheet16.xml?ContentType=application/vnd.openxmlformats-officedocument.spreadsheetml.worksheet+xml">
        <DigestMethod Algorithm="http://www.w3.org/2001/04/xmlenc#sha256"/>
        <DigestValue>9kvI0aZN1bRIdnqpFV/2WR0bcjAVXaoLEHqUOYLpeUE=</DigestValue>
      </Reference>
      <Reference URI="/xl/worksheets/sheet17.xml?ContentType=application/vnd.openxmlformats-officedocument.spreadsheetml.worksheet+xml">
        <DigestMethod Algorithm="http://www.w3.org/2001/04/xmlenc#sha256"/>
        <DigestValue>Rvqy+f7rvWegpn9sotzy1QSU1XRl1b2yl+WUXUBFgzU=</DigestValue>
      </Reference>
      <Reference URI="/xl/worksheets/sheet18.xml?ContentType=application/vnd.openxmlformats-officedocument.spreadsheetml.worksheet+xml">
        <DigestMethod Algorithm="http://www.w3.org/2001/04/xmlenc#sha256"/>
        <DigestValue>ZPDXohYPezuk2jUV9BJgoG/7z8eGTYI4uIX/IbYvNWM=</DigestValue>
      </Reference>
      <Reference URI="/xl/worksheets/sheet19.xml?ContentType=application/vnd.openxmlformats-officedocument.spreadsheetml.worksheet+xml">
        <DigestMethod Algorithm="http://www.w3.org/2001/04/xmlenc#sha256"/>
        <DigestValue>sPQHEHuJnu+L72oWeYE8Q95Oqz7AkysPHd5nMAyOviE=</DigestValue>
      </Reference>
      <Reference URI="/xl/worksheets/sheet2.xml?ContentType=application/vnd.openxmlformats-officedocument.spreadsheetml.worksheet+xml">
        <DigestMethod Algorithm="http://www.w3.org/2001/04/xmlenc#sha256"/>
        <DigestValue>V3HH/ifYyx65kVK2G4SdXJJtYwNGRmrchi1a5yBfLnY=</DigestValue>
      </Reference>
      <Reference URI="/xl/worksheets/sheet20.xml?ContentType=application/vnd.openxmlformats-officedocument.spreadsheetml.worksheet+xml">
        <DigestMethod Algorithm="http://www.w3.org/2001/04/xmlenc#sha256"/>
        <DigestValue>mEnlb8LhMwYlOgDYED4cuL9SbAHd45Ovov60nuSdrj0=</DigestValue>
      </Reference>
      <Reference URI="/xl/worksheets/sheet21.xml?ContentType=application/vnd.openxmlformats-officedocument.spreadsheetml.worksheet+xml">
        <DigestMethod Algorithm="http://www.w3.org/2001/04/xmlenc#sha256"/>
        <DigestValue>LyTaQiE5LSM6HqCejwIErrIB0xnIfW6KXbkkoZE7ZDU=</DigestValue>
      </Reference>
      <Reference URI="/xl/worksheets/sheet22.xml?ContentType=application/vnd.openxmlformats-officedocument.spreadsheetml.worksheet+xml">
        <DigestMethod Algorithm="http://www.w3.org/2001/04/xmlenc#sha256"/>
        <DigestValue>58R2uPvoroO+/JPUonLWui74aYIZyFtI+tPvRiihmuw=</DigestValue>
      </Reference>
      <Reference URI="/xl/worksheets/sheet23.xml?ContentType=application/vnd.openxmlformats-officedocument.spreadsheetml.worksheet+xml">
        <DigestMethod Algorithm="http://www.w3.org/2001/04/xmlenc#sha256"/>
        <DigestValue>KYlNZf9HCMmVWdJoU+LNcc2kTnZGKJglxUh8amo4WMA=</DigestValue>
      </Reference>
      <Reference URI="/xl/worksheets/sheet24.xml?ContentType=application/vnd.openxmlformats-officedocument.spreadsheetml.worksheet+xml">
        <DigestMethod Algorithm="http://www.w3.org/2001/04/xmlenc#sha256"/>
        <DigestValue>mjwAzMdJ7eHtkoKaq8RI5vdndVuFkEUK1MlybfPvmSk=</DigestValue>
      </Reference>
      <Reference URI="/xl/worksheets/sheet25.xml?ContentType=application/vnd.openxmlformats-officedocument.spreadsheetml.worksheet+xml">
        <DigestMethod Algorithm="http://www.w3.org/2001/04/xmlenc#sha256"/>
        <DigestValue>ZKl3asp9BOXrzghjHEkechKbDjAJ/AvK0iwkxnonye0=</DigestValue>
      </Reference>
      <Reference URI="/xl/worksheets/sheet26.xml?ContentType=application/vnd.openxmlformats-officedocument.spreadsheetml.worksheet+xml">
        <DigestMethod Algorithm="http://www.w3.org/2001/04/xmlenc#sha256"/>
        <DigestValue>LXCf2Oe5SgABG8nMm1n9+UCSUTdRETlLBk0qlR0Jpe0=</DigestValue>
      </Reference>
      <Reference URI="/xl/worksheets/sheet27.xml?ContentType=application/vnd.openxmlformats-officedocument.spreadsheetml.worksheet+xml">
        <DigestMethod Algorithm="http://www.w3.org/2001/04/xmlenc#sha256"/>
        <DigestValue>YMP0RlN4QiAuGfRqlNw49BhD6jeCfv6D+KxHa4cUMiM=</DigestValue>
      </Reference>
      <Reference URI="/xl/worksheets/sheet28.xml?ContentType=application/vnd.openxmlformats-officedocument.spreadsheetml.worksheet+xml">
        <DigestMethod Algorithm="http://www.w3.org/2001/04/xmlenc#sha256"/>
        <DigestValue>J/ftvrlgE2HGoutdlt8AfGGTZwHpfUEGJrFFWGmgsiE=</DigestValue>
      </Reference>
      <Reference URI="/xl/worksheets/sheet29.xml?ContentType=application/vnd.openxmlformats-officedocument.spreadsheetml.worksheet+xml">
        <DigestMethod Algorithm="http://www.w3.org/2001/04/xmlenc#sha256"/>
        <DigestValue>c2WHeBCw+UUPnL3Fg5Y5k42CWaW+mAJqjyEGOzKDR9E=</DigestValue>
      </Reference>
      <Reference URI="/xl/worksheets/sheet3.xml?ContentType=application/vnd.openxmlformats-officedocument.spreadsheetml.worksheet+xml">
        <DigestMethod Algorithm="http://www.w3.org/2001/04/xmlenc#sha256"/>
        <DigestValue>vZHtd+dkrJI4N+fMntuXMWukaYfRC5WJChNvnoX18IM=</DigestValue>
      </Reference>
      <Reference URI="/xl/worksheets/sheet30.xml?ContentType=application/vnd.openxmlformats-officedocument.spreadsheetml.worksheet+xml">
        <DigestMethod Algorithm="http://www.w3.org/2001/04/xmlenc#sha256"/>
        <DigestValue>XFo3Fqv7LRNstsVQxF0dN9BkCPIHPBPwn0qZHZf3yuM=</DigestValue>
      </Reference>
      <Reference URI="/xl/worksheets/sheet4.xml?ContentType=application/vnd.openxmlformats-officedocument.spreadsheetml.worksheet+xml">
        <DigestMethod Algorithm="http://www.w3.org/2001/04/xmlenc#sha256"/>
        <DigestValue>x5Y9m4e1VdP7CAqhebJIMTZSB3V21CDU7GkqJasWwUg=</DigestValue>
      </Reference>
      <Reference URI="/xl/worksheets/sheet5.xml?ContentType=application/vnd.openxmlformats-officedocument.spreadsheetml.worksheet+xml">
        <DigestMethod Algorithm="http://www.w3.org/2001/04/xmlenc#sha256"/>
        <DigestValue>90llkhF2tlQJFR2PPANsonHVjWaCI7mU97s7Z09zBm8=</DigestValue>
      </Reference>
      <Reference URI="/xl/worksheets/sheet6.xml?ContentType=application/vnd.openxmlformats-officedocument.spreadsheetml.worksheet+xml">
        <DigestMethod Algorithm="http://www.w3.org/2001/04/xmlenc#sha256"/>
        <DigestValue>w7gi9CPZAMbt4KCrzXHVQaWSkaiDROqZLcDVQgX3BpU=</DigestValue>
      </Reference>
      <Reference URI="/xl/worksheets/sheet7.xml?ContentType=application/vnd.openxmlformats-officedocument.spreadsheetml.worksheet+xml">
        <DigestMethod Algorithm="http://www.w3.org/2001/04/xmlenc#sha256"/>
        <DigestValue>dMQFYMeWTzytMblTI/OxR2ksU1eWgRUp9SH0JQDjF4w=</DigestValue>
      </Reference>
      <Reference URI="/xl/worksheets/sheet8.xml?ContentType=application/vnd.openxmlformats-officedocument.spreadsheetml.worksheet+xml">
        <DigestMethod Algorithm="http://www.w3.org/2001/04/xmlenc#sha256"/>
        <DigestValue>Ef7vKca+ZudCHUy17yGLU2l7l33b/U2Xxk5uS7BFm58=</DigestValue>
      </Reference>
      <Reference URI="/xl/worksheets/sheet9.xml?ContentType=application/vnd.openxmlformats-officedocument.spreadsheetml.worksheet+xml">
        <DigestMethod Algorithm="http://www.w3.org/2001/04/xmlenc#sha256"/>
        <DigestValue>f6ESmHQmuz4TA9I/xOzG3pEK4fNyRTzV7eyqcAIA9u4=</DigestValue>
      </Reference>
    </Manifest>
    <SignatureProperties>
      <SignatureProperty Id="idSignatureTime" Target="#idPackageSignature">
        <mdssi:SignatureTime xmlns:mdssi="http://schemas.openxmlformats.org/package/2006/digital-signature">
          <mdssi:Format>YYYY-MM-DDThh:mm:ssTZD</mdssi:Format>
          <mdssi:Value>2022-11-01T06:16:35Z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2022-11-01T06:16:35Z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2022-11-01T06:14:34Z</dcterms:modified>
</cp:coreProperties>
</file>