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8"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64" l="1"/>
  <c r="C6" i="73"/>
  <c r="E48" i="6"/>
  <c r="D48" i="6"/>
  <c r="C48" i="6"/>
  <c r="E44" i="6"/>
  <c r="D44" i="6"/>
  <c r="C44" i="6"/>
  <c r="C8" i="94" l="1"/>
  <c r="R13" i="104" l="1"/>
  <c r="R19" i="104" s="1"/>
  <c r="Q13" i="104"/>
  <c r="Q19" i="104" s="1"/>
  <c r="P13" i="104"/>
  <c r="P19" i="104" s="1"/>
  <c r="O13" i="104"/>
  <c r="O19" i="104" s="1"/>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C7" i="98"/>
  <c r="B2" i="98"/>
  <c r="B1" i="98"/>
  <c r="G34" i="97"/>
  <c r="F34" i="97"/>
  <c r="E34" i="97"/>
  <c r="D34" i="97"/>
  <c r="C34" i="97"/>
  <c r="H34" i="97" s="1"/>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3" i="36"/>
  <c r="I23" i="36"/>
  <c r="G23" i="36"/>
  <c r="F23" i="36"/>
  <c r="J21" i="36"/>
  <c r="I21" i="36"/>
  <c r="K21" i="36" s="1"/>
  <c r="G21" i="36"/>
  <c r="F21" i="36"/>
  <c r="D21" i="36"/>
  <c r="C21" i="36"/>
  <c r="K20" i="36"/>
  <c r="H20" i="36"/>
  <c r="E20" i="36"/>
  <c r="K19" i="36"/>
  <c r="H19" i="36"/>
  <c r="E19" i="36"/>
  <c r="K18" i="36"/>
  <c r="H18" i="36"/>
  <c r="E18" i="36"/>
  <c r="J16" i="36"/>
  <c r="I16" i="36"/>
  <c r="G16" i="36"/>
  <c r="G24" i="36" s="1"/>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7" i="69"/>
  <c r="C15" i="69"/>
  <c r="C13" i="69"/>
  <c r="C12" i="69"/>
  <c r="C10" i="69"/>
  <c r="C11" i="69"/>
  <c r="C62" i="69"/>
  <c r="C58" i="69"/>
  <c r="B2" i="69"/>
  <c r="B1" i="69"/>
  <c r="B2" i="77"/>
  <c r="B1" i="77"/>
  <c r="C7" i="28"/>
  <c r="B2" i="28"/>
  <c r="B1" i="28"/>
  <c r="B2" i="73"/>
  <c r="B1" i="73"/>
  <c r="C36" i="72"/>
  <c r="C33" i="72"/>
  <c r="C29" i="72"/>
  <c r="C27" i="72"/>
  <c r="C24" i="72"/>
  <c r="C23" i="72"/>
  <c r="C19" i="72"/>
  <c r="C17" i="72"/>
  <c r="C15" i="72"/>
  <c r="C14" i="72"/>
  <c r="C13" i="72"/>
  <c r="C12" i="72"/>
  <c r="E36" i="72"/>
  <c r="E33" i="72"/>
  <c r="D31" i="72"/>
  <c r="E27" i="72"/>
  <c r="D25" i="72"/>
  <c r="E24" i="72"/>
  <c r="E23" i="72"/>
  <c r="D20" i="72"/>
  <c r="E19" i="72"/>
  <c r="D16" i="72"/>
  <c r="E15" i="72"/>
  <c r="E14" i="72"/>
  <c r="E13" i="72"/>
  <c r="E12" i="72"/>
  <c r="D8" i="72"/>
  <c r="B2" i="72"/>
  <c r="B1" i="72"/>
  <c r="B2" i="52"/>
  <c r="B1" i="52"/>
  <c r="B2" i="71"/>
  <c r="B1" i="71"/>
  <c r="B2" i="94"/>
  <c r="B1" i="94"/>
  <c r="B2" i="93"/>
  <c r="B1" i="93"/>
  <c r="D15" i="92"/>
  <c r="C15" i="92"/>
  <c r="B2" i="92"/>
  <c r="B1" i="92"/>
  <c r="D15" i="98" l="1"/>
  <c r="J24" i="36"/>
  <c r="J25" i="36" s="1"/>
  <c r="K16" i="36"/>
  <c r="F24" i="36"/>
  <c r="G25" i="36"/>
  <c r="E21" i="36"/>
  <c r="C22" i="74"/>
  <c r="C15" i="98"/>
  <c r="I24" i="36"/>
  <c r="I25" i="36" s="1"/>
  <c r="H21" i="36"/>
  <c r="F25" i="36"/>
  <c r="H24" i="36"/>
  <c r="H23" i="36"/>
  <c r="H16" i="36"/>
  <c r="K23" i="36"/>
  <c r="E17" i="72"/>
  <c r="D29" i="72"/>
  <c r="K24" i="36" l="1"/>
  <c r="K25" i="36"/>
  <c r="H25" i="36"/>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22" i="95" s="1"/>
  <c r="H19" i="95"/>
  <c r="H20" i="95"/>
  <c r="D22" i="95"/>
  <c r="E22" i="95"/>
  <c r="F22" i="95"/>
  <c r="G22" i="95"/>
  <c r="H21" i="96" l="1"/>
  <c r="G45" i="93"/>
  <c r="F45" i="93"/>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D13" i="93"/>
  <c r="C13" i="93"/>
  <c r="H12" i="93"/>
  <c r="E12" i="93"/>
  <c r="H11" i="93"/>
  <c r="E11" i="93"/>
  <c r="H10" i="93"/>
  <c r="E10" i="93"/>
  <c r="H9" i="93"/>
  <c r="E9" i="93"/>
  <c r="H8" i="93"/>
  <c r="E8" i="93"/>
  <c r="H7" i="93"/>
  <c r="E7" i="93"/>
  <c r="G6" i="93"/>
  <c r="G43" i="93" s="1"/>
  <c r="F6" i="93"/>
  <c r="F43" i="93" s="1"/>
  <c r="D6" i="93"/>
  <c r="C6" i="93"/>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C45" i="69" s="1"/>
  <c r="H45" i="92"/>
  <c r="E45" i="92"/>
  <c r="C44" i="69" s="1"/>
  <c r="H44" i="92"/>
  <c r="E44" i="92"/>
  <c r="C43" i="69" s="1"/>
  <c r="H43" i="92"/>
  <c r="E43" i="92"/>
  <c r="C42" i="69" s="1"/>
  <c r="H42" i="92"/>
  <c r="E42" i="92"/>
  <c r="C41" i="69" s="1"/>
  <c r="G41" i="92"/>
  <c r="G53" i="92" s="1"/>
  <c r="F41" i="92"/>
  <c r="H41" i="92" s="1"/>
  <c r="D41" i="92"/>
  <c r="D53" i="92" s="1"/>
  <c r="C41" i="92"/>
  <c r="H40" i="92"/>
  <c r="E40" i="92"/>
  <c r="H39" i="92"/>
  <c r="E39" i="92"/>
  <c r="H38" i="92"/>
  <c r="E38" i="92"/>
  <c r="H35" i="92"/>
  <c r="E35" i="92"/>
  <c r="H34" i="92"/>
  <c r="E34" i="92"/>
  <c r="C35" i="72" s="1"/>
  <c r="H33" i="92"/>
  <c r="E33" i="92"/>
  <c r="C34" i="72" s="1"/>
  <c r="H32" i="92"/>
  <c r="E32" i="92"/>
  <c r="H31" i="92"/>
  <c r="E31" i="92"/>
  <c r="C32" i="72" s="1"/>
  <c r="G30" i="92"/>
  <c r="G36" i="92" s="1"/>
  <c r="F30" i="92"/>
  <c r="H30" i="92" s="1"/>
  <c r="D30" i="92"/>
  <c r="C30" i="92"/>
  <c r="E30" i="92" s="1"/>
  <c r="H29" i="92"/>
  <c r="E29" i="92"/>
  <c r="C30" i="72" s="1"/>
  <c r="H28" i="92"/>
  <c r="E28" i="92"/>
  <c r="H27" i="92"/>
  <c r="G27" i="92"/>
  <c r="F27" i="92"/>
  <c r="D27" i="92"/>
  <c r="C27" i="92"/>
  <c r="E27" i="92" s="1"/>
  <c r="C15" i="28" s="1"/>
  <c r="H26" i="92"/>
  <c r="E26" i="92"/>
  <c r="H25" i="92"/>
  <c r="E25" i="92"/>
  <c r="C26" i="72" s="1"/>
  <c r="G24" i="92"/>
  <c r="F24" i="92"/>
  <c r="F36" i="92" s="1"/>
  <c r="H36" i="92" s="1"/>
  <c r="D24" i="92"/>
  <c r="C24" i="92"/>
  <c r="E24" i="92" s="1"/>
  <c r="H23" i="92"/>
  <c r="E23" i="92"/>
  <c r="H22" i="92"/>
  <c r="E22" i="92"/>
  <c r="H21" i="92"/>
  <c r="E21" i="92"/>
  <c r="C22" i="72" s="1"/>
  <c r="H20" i="92"/>
  <c r="E20" i="92"/>
  <c r="C21" i="72" s="1"/>
  <c r="H19" i="92"/>
  <c r="G19" i="92"/>
  <c r="F19" i="92"/>
  <c r="D19" i="92"/>
  <c r="C19" i="92"/>
  <c r="H18" i="92"/>
  <c r="E18" i="92"/>
  <c r="H17" i="92"/>
  <c r="E17" i="92"/>
  <c r="C18" i="72" s="1"/>
  <c r="H16" i="92"/>
  <c r="E16" i="92"/>
  <c r="H15" i="92"/>
  <c r="G15" i="92"/>
  <c r="F15" i="92"/>
  <c r="E15" i="92"/>
  <c r="H14" i="92"/>
  <c r="E14" i="92"/>
  <c r="H13" i="92"/>
  <c r="E13" i="92"/>
  <c r="H12" i="92"/>
  <c r="E12" i="92"/>
  <c r="H11" i="92"/>
  <c r="E11" i="92"/>
  <c r="H10" i="92"/>
  <c r="E10" i="92"/>
  <c r="C11" i="72" s="1"/>
  <c r="H9" i="92"/>
  <c r="E9" i="92"/>
  <c r="C10" i="72" s="1"/>
  <c r="H8" i="92"/>
  <c r="E8" i="92"/>
  <c r="C9" i="72" s="1"/>
  <c r="H7" i="92"/>
  <c r="G7" i="92"/>
  <c r="F7" i="92"/>
  <c r="D7" i="92"/>
  <c r="C7" i="92"/>
  <c r="C43" i="93" l="1"/>
  <c r="C45" i="93" s="1"/>
  <c r="E13" i="93"/>
  <c r="C36" i="92"/>
  <c r="D36" i="92"/>
  <c r="C19" i="69"/>
  <c r="E21" i="72"/>
  <c r="E29" i="93"/>
  <c r="C11" i="28"/>
  <c r="C66" i="69"/>
  <c r="C67" i="69" s="1"/>
  <c r="C40" i="69"/>
  <c r="C52" i="69" s="1"/>
  <c r="E34" i="72"/>
  <c r="C32" i="69"/>
  <c r="E35" i="72"/>
  <c r="C33" i="69"/>
  <c r="E32" i="72"/>
  <c r="E31" i="72" s="1"/>
  <c r="C30" i="69"/>
  <c r="C29" i="69" s="1"/>
  <c r="C31" i="72"/>
  <c r="C28" i="69"/>
  <c r="C26" i="69" s="1"/>
  <c r="D30" i="72"/>
  <c r="C28" i="72"/>
  <c r="E26" i="72"/>
  <c r="E25" i="72" s="1"/>
  <c r="C24" i="69"/>
  <c r="C23" i="69" s="1"/>
  <c r="C25" i="72"/>
  <c r="C20" i="72"/>
  <c r="E22" i="72"/>
  <c r="E20" i="72" s="1"/>
  <c r="C20" i="69"/>
  <c r="C18" i="69" s="1"/>
  <c r="E19" i="92"/>
  <c r="E18" i="72"/>
  <c r="E16" i="72" s="1"/>
  <c r="C16" i="69"/>
  <c r="C14" i="69" s="1"/>
  <c r="C16" i="72"/>
  <c r="E10" i="72"/>
  <c r="C8" i="69"/>
  <c r="C9" i="69"/>
  <c r="E11" i="72"/>
  <c r="E9" i="72"/>
  <c r="E8" i="72" s="1"/>
  <c r="C7" i="69"/>
  <c r="C8" i="72"/>
  <c r="E6" i="93"/>
  <c r="E41" i="92"/>
  <c r="H8" i="94"/>
  <c r="E8" i="94"/>
  <c r="E14" i="94"/>
  <c r="H38" i="94"/>
  <c r="E30" i="94"/>
  <c r="E11" i="94"/>
  <c r="E17" i="94"/>
  <c r="H11" i="94"/>
  <c r="H14" i="94"/>
  <c r="H43" i="93"/>
  <c r="H45" i="93"/>
  <c r="H6" i="93"/>
  <c r="D43" i="93"/>
  <c r="D45" i="93" s="1"/>
  <c r="D69" i="92"/>
  <c r="H69" i="92"/>
  <c r="C53" i="92"/>
  <c r="H68" i="92"/>
  <c r="F53" i="92"/>
  <c r="H53" i="92" s="1"/>
  <c r="E7" i="92"/>
  <c r="H24" i="92"/>
  <c r="C68" i="69" l="1"/>
  <c r="E36" i="92"/>
  <c r="C6" i="69"/>
  <c r="E30" i="72"/>
  <c r="E28" i="72" s="1"/>
  <c r="E37" i="72" s="1"/>
  <c r="D28" i="72"/>
  <c r="D37" i="72" s="1"/>
  <c r="C35" i="69"/>
  <c r="C37" i="72"/>
  <c r="E45" i="93"/>
  <c r="E43" i="93"/>
  <c r="C69" i="92"/>
  <c r="E69" i="92" s="1"/>
  <c r="E53" i="92"/>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F13" i="71"/>
  <c r="G6" i="71"/>
  <c r="G13" i="71" s="1"/>
  <c r="F6" i="71"/>
  <c r="E6" i="71"/>
  <c r="E13" i="71" s="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K5" i="6" s="1"/>
  <c r="G5" i="71"/>
  <c r="E5" i="6"/>
  <c r="J5" i="6" s="1"/>
  <c r="D5" i="6"/>
  <c r="I5" i="6" s="1"/>
  <c r="G5" i="6"/>
  <c r="L5" i="6" s="1"/>
  <c r="C5" i="71" l="1"/>
  <c r="E5" i="71"/>
  <c r="F5" i="71"/>
  <c r="D5" i="71"/>
</calcChain>
</file>

<file path=xl/sharedStrings.xml><?xml version="1.0" encoding="utf-8"?>
<sst xmlns="http://schemas.openxmlformats.org/spreadsheetml/2006/main" count="1584" uniqueCount="983">
  <si>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</si>
  <si>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</si>
  <si>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</si>
  <si>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</si>
  <si>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</si>
  <si>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</si>
  <si>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</si>
  <si>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</si>
  <si>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</si>
  <si>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</si>
  <si>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</si>
  <si>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</si>
  <si>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</si>
  <si>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</si>
  <si>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</si>
  <si>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</si>
  <si>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</si>
  <si>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</si>
  <si>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</si>
  <si>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</si>
  <si>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</si>
  <si>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</si>
  <si>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</si>
  <si>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</si>
  <si>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</si>
  <si>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</si>
  <si>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</si>
  <si>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</si>
  <si>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</si>
  <si>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</si>
  <si>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</si>
  <si>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</si>
  <si>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</si>
  <si>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</si>
  <si>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</si>
  <si>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</si>
  <si>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</si>
  <si>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</si>
  <si>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</si>
  <si>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</si>
  <si>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</si>
  <si>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</si>
  <si>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</si>
  <si>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</si>
  <si>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</si>
  <si>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</si>
  <si>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</si>
  <si>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</si>
  <si>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</si>
  <si>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</si>
  <si>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</si>
  <si>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</si>
  <si>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</si>
  <si>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</si>
  <si>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</si>
  <si>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</si>
  <si>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</si>
  <si>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</si>
  <si>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</si>
  <si>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</si>
  <si>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</si>
  <si>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</si>
  <si>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</si>
  <si>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</si>
  <si>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</si>
  <si>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</si>
  <si>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</si>
  <si>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</si>
  <si>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</si>
  <si>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</si>
  <si>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</si>
  <si>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</si>
  <si>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</si>
  <si>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</si>
  <si>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</si>
  <si>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</si>
  <si>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</si>
  <si>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</si>
  <si>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</si>
  <si>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</si>
  <si>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</si>
  <si>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</si>
  <si>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</si>
  <si>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</si>
  <si>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</si>
  <si>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</si>
  <si>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</si>
  <si>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</si>
  <si>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</si>
  <si>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</si>
  <si>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</si>
  <si>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</si>
  <si>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</si>
  <si>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</si>
  <si>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</si>
  <si>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</si>
  <si>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</si>
  <si>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</si>
  <si>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</si>
  <si>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</si>
  <si>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</si>
  <si>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</si>
  <si>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</si>
  <si>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</si>
  <si>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</si>
  <si>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</si>
  <si>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</si>
  <si>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</si>
  <si>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</si>
  <si>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</si>
  <si>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</si>
  <si>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</si>
  <si>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</si>
  <si>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</si>
  <si>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</si>
  <si>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</si>
  <si>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</si>
  <si>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</si>
  <si>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</si>
  <si>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</si>
  <si>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</si>
  <si>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</si>
  <si>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</si>
  <si>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</si>
  <si>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</si>
  <si>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</si>
  <si>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</si>
  <si>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</si>
  <si>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</si>
  <si>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</si>
  <si>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</si>
  <si>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</si>
  <si>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</si>
  <si>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</si>
  <si>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</si>
  <si>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</si>
  <si>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</si>
  <si>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</si>
  <si>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</si>
  <si>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</si>
  <si>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</si>
  <si>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</si>
  <si>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</si>
  <si>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</si>
  <si>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</si>
  <si>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</si>
  <si>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</si>
  <si>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</si>
  <si>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</si>
  <si>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</si>
  <si>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</si>
  <si>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</si>
  <si>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</si>
  <si>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</si>
  <si>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</si>
  <si>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</si>
  <si>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</si>
  <si>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</si>
  <si>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</si>
  <si>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</si>
  <si>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</si>
  <si>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</si>
  <si>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</si>
  <si>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</si>
  <si>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</si>
  <si>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</si>
  <si>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</si>
  <si>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</si>
  <si>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</si>
  <si>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</si>
  <si>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</si>
  <si>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</si>
  <si>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</si>
  <si>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</si>
  <si>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</si>
  <si>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</si>
  <si>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</si>
  <si>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</si>
  <si>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</si>
  <si>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</si>
  <si>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</si>
  <si>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</si>
  <si>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</si>
  <si>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</si>
  <si>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</si>
  <si>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</si>
  <si>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</si>
  <si>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</si>
  <si>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</si>
  <si>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</si>
  <si>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</si>
  <si>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</si>
  <si>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</si>
  <si>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</si>
  <si>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</si>
  <si>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</si>
  <si>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</si>
  <si>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</si>
  <si>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</si>
  <si>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</si>
  <si>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</si>
  <si>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</si>
  <si>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</si>
  <si>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</si>
  <si>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</si>
  <si>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</si>
  <si>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</si>
  <si>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</si>
  <si>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</si>
  <si>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</si>
  <si>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</si>
  <si>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</si>
  <si>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</si>
  <si>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</si>
  <si>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</si>
  <si>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</si>
  <si>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</si>
  <si>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</si>
  <si>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</si>
  <si>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</si>
  <si>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</si>
  <si>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</si>
  <si>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</si>
  <si>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</si>
  <si>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</si>
  <si>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</si>
  <si>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</si>
  <si>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</si>
  <si>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</si>
  <si>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</si>
  <si>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</si>
  <si>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</si>
  <si>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</si>
  <si>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</si>
  <si>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</si>
  <si>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</si>
  <si>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</si>
  <si>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</si>
  <si>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</si>
  <si>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</si>
  <si>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</si>
  <si>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</si>
  <si>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</si>
  <si>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</si>
  <si>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</si>
  <si>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</si>
  <si>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</si>
  <si>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</si>
  <si>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</si>
  <si>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</si>
  <si>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</si>
  <si>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</si>
  <si>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</si>
  <si>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</si>
  <si>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</si>
  <si>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</si>
  <si>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</si>
  <si>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</si>
  <si>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</si>
  <si>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</si>
  <si>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</si>
  <si>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</si>
  <si>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</si>
  <si>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</si>
  <si>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</si>
  <si>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</si>
  <si>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</si>
  <si>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</si>
  <si>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</si>
  <si>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</si>
  <si>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</si>
  <si>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</si>
  <si>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</si>
  <si>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</si>
  <si>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</si>
  <si>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</si>
  <si>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</si>
  <si>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</si>
  <si>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</si>
  <si>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</si>
  <si>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</si>
  <si>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</si>
  <si>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</si>
  <si>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</si>
  <si>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</si>
  <si>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</si>
  <si>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</si>
  <si>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</si>
  <si>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</si>
  <si>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</si>
  <si>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</si>
  <si>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</si>
  <si>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</si>
  <si>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</si>
  <si>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</si>
  <si>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</si>
  <si>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</si>
  <si>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</si>
  <si>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</si>
  <si>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</si>
  <si>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</si>
  <si>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</si>
  <si>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</si>
  <si>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</si>
  <si>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</si>
  <si>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</si>
  <si>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</si>
  <si>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</si>
  <si>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</si>
  <si>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</si>
  <si>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</si>
  <si>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</si>
  <si>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</si>
  <si>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</si>
  <si>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</si>
  <si>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</si>
  <si>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</si>
  <si>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</si>
  <si>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</si>
  <si>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</si>
  <si>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</si>
  <si>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</si>
  <si>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</si>
  <si>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</si>
  <si>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</si>
  <si>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</si>
  <si>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</si>
  <si>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</si>
  <si>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</si>
  <si>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</si>
  <si>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</si>
  <si>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</si>
  <si>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</si>
  <si>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</si>
  <si>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</si>
  <si>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</si>
  <si>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</si>
  <si>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</si>
  <si>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</si>
  <si>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</si>
  <si>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</si>
  <si>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</si>
  <si>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</si>
  <si>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</si>
  <si>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</si>
  <si>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</si>
  <si>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</si>
  <si>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</si>
  <si>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</si>
  <si>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</si>
  <si>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</si>
  <si>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</si>
  <si>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</si>
  <si>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</si>
  <si>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</si>
  <si>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</si>
  <si>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</si>
  <si>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</si>
  <si>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</si>
  <si>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</si>
  <si>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</si>
  <si>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</si>
  <si>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</si>
  <si>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</si>
  <si>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</si>
  <si>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</si>
  <si>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</si>
  <si>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</si>
  <si>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</si>
  <si>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</si>
  <si>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</si>
  <si>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</si>
  <si>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</si>
  <si>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</si>
  <si>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</si>
  <si>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</si>
  <si>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</si>
  <si>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</si>
  <si>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</si>
  <si>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</si>
  <si>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</si>
  <si>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</si>
  <si>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</si>
  <si>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</si>
  <si>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</si>
  <si>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</si>
  <si>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</si>
  <si>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</si>
  <si>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</si>
  <si>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</si>
  <si>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</si>
  <si>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</si>
  <si>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</si>
  <si>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</si>
  <si>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</si>
  <si>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</si>
  <si>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</si>
  <si>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</si>
  <si>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</si>
  <si>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</si>
  <si>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</si>
  <si>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</si>
  <si>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</si>
  <si>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</si>
  <si>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</si>
  <si>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</si>
  <si>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</si>
  <si>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</si>
  <si>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</si>
  <si>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</si>
  <si>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</si>
  <si>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</si>
  <si>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</si>
  <si>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</si>
  <si>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</si>
  <si>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</si>
  <si>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</si>
  <si>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</si>
  <si>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</si>
  <si>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</si>
  <si>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</si>
  <si>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</si>
  <si>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</si>
  <si>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</si>
  <si>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</si>
  <si>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</si>
  <si>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</si>
  <si>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</si>
  <si>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</si>
  <si>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</si>
  <si>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</si>
  <si>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</si>
  <si>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</si>
  <si>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</si>
  <si>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</si>
  <si>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</si>
  <si>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</si>
  <si>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</si>
  <si>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</si>
  <si>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</si>
  <si>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</si>
  <si>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</si>
  <si>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</si>
  <si>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</si>
  <si>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</si>
  <si>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</si>
  <si>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</si>
  <si>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</si>
  <si>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</si>
  <si>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</si>
  <si>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</si>
  <si>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</si>
  <si>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</si>
  <si>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</si>
  <si>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</si>
  <si>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</si>
  <si>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</si>
  <si>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</si>
  <si>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</si>
  <si>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</si>
  <si>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</si>
  <si>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</si>
  <si>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</si>
  <si>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</si>
  <si>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</si>
  <si>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</si>
  <si>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</si>
  <si>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</si>
  <si>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</si>
  <si>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</si>
  <si>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</si>
  <si>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</si>
  <si>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</si>
  <si>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</si>
  <si>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</si>
  <si>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</si>
  <si>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</si>
  <si>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</si>
  <si>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</si>
  <si>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</si>
  <si>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</si>
  <si>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</si>
  <si>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</si>
  <si>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</si>
  <si>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</si>
  <si>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</si>
  <si>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</si>
  <si>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</si>
  <si>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</si>
  <si>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</si>
  <si>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</si>
  <si>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</si>
  <si>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</si>
  <si>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</si>
  <si>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</si>
  <si>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</si>
  <si>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</si>
  <si>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</si>
  <si>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</si>
  <si>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</si>
  <si>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</si>
  <si>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</si>
  <si>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</si>
  <si>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</si>
  <si>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</si>
  <si>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</si>
  <si>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</si>
  <si>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</si>
  <si>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</si>
  <si>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</si>
  <si>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</si>
  <si>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</si>
  <si>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</si>
  <si>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</si>
  <si>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</si>
  <si>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</si>
  <si>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</si>
  <si>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</si>
  <si>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</si>
  <si>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</si>
  <si>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</si>
  <si>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</si>
  <si>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</si>
  <si>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</si>
  <si>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</si>
  <si>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</si>
  <si>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</si>
  <si>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</si>
  <si>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</si>
  <si>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</si>
  <si>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</si>
  <si>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</si>
  <si>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</si>
  <si>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</si>
  <si>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</si>
  <si>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</si>
  <si>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</si>
  <si>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</si>
  <si>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</si>
  <si>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</si>
  <si>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</si>
  <si>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</si>
  <si>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</si>
  <si>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</si>
  <si>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</si>
  <si>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</si>
  <si>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</si>
  <si>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</si>
  <si>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</si>
  <si>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</si>
  <si>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</si>
  <si>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</si>
  <si>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</si>
  <si>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</si>
  <si>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</si>
  <si>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</si>
  <si>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</si>
  <si>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</si>
  <si>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</si>
  <si>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</si>
  <si>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</si>
  <si>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</si>
  <si>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</si>
  <si>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</si>
  <si>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</si>
  <si>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</si>
  <si>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</si>
  <si>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</si>
  <si>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</si>
  <si>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</si>
  <si>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</si>
  <si>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</si>
  <si>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</si>
  <si>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</si>
  <si>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</si>
  <si>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</si>
  <si>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</si>
  <si>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</si>
  <si>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</si>
  <si>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</si>
  <si>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</si>
  <si>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</si>
  <si>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</si>
  <si>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</si>
  <si>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</si>
  <si>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</si>
  <si>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</si>
  <si>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</si>
  <si>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</si>
  <si>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</si>
  <si>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</si>
  <si>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</si>
  <si>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</si>
  <si>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</si>
  <si>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</si>
  <si>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</si>
  <si>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</si>
  <si>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</si>
  <si>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</si>
  <si>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</si>
  <si>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</si>
  <si>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</si>
  <si>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</si>
  <si>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</si>
  <si>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</si>
  <si>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</si>
  <si>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</si>
  <si>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</si>
  <si>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</si>
  <si>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</si>
  <si>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</si>
  <si>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</si>
  <si>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</si>
  <si>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</si>
  <si>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</si>
  <si>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</si>
  <si>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</si>
  <si>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</si>
  <si>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</si>
  <si>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</si>
  <si>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</si>
  <si>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</si>
  <si>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</si>
  <si>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</si>
  <si>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</si>
  <si>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</si>
  <si>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</si>
  <si>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</si>
  <si>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</si>
  <si>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</si>
  <si>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</si>
  <si>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</si>
  <si>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</si>
  <si>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</si>
  <si>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</si>
  <si>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</si>
  <si>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</si>
  <si>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</si>
  <si>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</si>
  <si>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</si>
  <si>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</si>
  <si>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</si>
  <si>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</si>
  <si>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</si>
  <si>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</si>
  <si>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</si>
  <si>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</si>
  <si>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</si>
  <si>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</si>
  <si>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</si>
  <si>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</si>
  <si>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</si>
  <si>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</si>
  <si>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</si>
  <si>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</si>
  <si>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</si>
  <si>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</si>
  <si>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</si>
  <si>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</si>
  <si>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</si>
  <si>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</si>
  <si>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</si>
  <si>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</si>
  <si>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</si>
  <si>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</si>
  <si>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</si>
  <si>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</si>
  <si>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</si>
  <si>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</si>
  <si>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</si>
  <si>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</si>
  <si>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</si>
  <si>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</si>
  <si>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</si>
  <si>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</si>
  <si>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</si>
  <si>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</si>
  <si>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</si>
  <si>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</si>
  <si>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</si>
  <si>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</si>
  <si>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</si>
  <si>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</si>
  <si>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</si>
  <si>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</si>
  <si>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</si>
  <si>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</si>
  <si>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</si>
  <si>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</si>
  <si>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</si>
  <si>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</si>
  <si>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</si>
  <si>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</si>
  <si>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</si>
  <si>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</si>
  <si>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</si>
  <si>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</si>
  <si>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</si>
  <si>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</si>
  <si>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</si>
  <si>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</si>
  <si>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</si>
  <si>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</si>
  <si>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</si>
  <si>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</si>
  <si>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</si>
  <si>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</si>
  <si>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</si>
  <si>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</si>
  <si>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</si>
  <si>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</si>
  <si>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</si>
  <si>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</si>
  <si>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</si>
  <si>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</si>
  <si>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</si>
  <si>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</si>
  <si>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</si>
  <si>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</si>
  <si>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</si>
  <si>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</si>
  <si>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</si>
  <si>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</si>
  <si>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</si>
  <si>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</si>
  <si>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</si>
  <si>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</si>
  <si>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</si>
  <si>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</si>
  <si>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</si>
  <si>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</si>
  <si>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</si>
  <si>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</si>
  <si>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</si>
  <si>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</si>
  <si>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</si>
  <si>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</si>
  <si>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</si>
  <si>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</si>
  <si>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</si>
  <si>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</si>
  <si>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</si>
  <si>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</si>
  <si>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</si>
  <si>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</si>
  <si>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</si>
  <si>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</si>
  <si>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</si>
  <si>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</si>
  <si>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</si>
  <si>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</si>
  <si>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</si>
  <si>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</si>
  <si>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</si>
  <si>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</si>
  <si>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</si>
  <si>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</si>
  <si>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</si>
  <si>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</si>
  <si>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</si>
  <si>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</si>
  <si>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</si>
  <si>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</si>
  <si>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</si>
  <si>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</si>
  <si>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</si>
  <si>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</si>
  <si>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</si>
  <si>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</si>
  <si>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</si>
  <si>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</si>
  <si>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</si>
  <si>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</si>
  <si>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</si>
  <si>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</si>
  <si>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</si>
  <si>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</si>
  <si>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</si>
  <si>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</si>
  <si>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</si>
  <si>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</si>
  <si>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</si>
  <si>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</si>
  <si>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</si>
  <si>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</si>
  <si>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</si>
  <si>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</si>
  <si>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</si>
  <si>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</si>
  <si>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</si>
  <si>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</si>
  <si>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</si>
  <si>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</si>
  <si>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</si>
  <si>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</si>
  <si>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</si>
  <si>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</si>
  <si>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</si>
  <si>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</si>
  <si>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</si>
  <si>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</si>
  <si>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</si>
  <si>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</si>
  <si>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</si>
  <si>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</si>
  <si>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</si>
  <si>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</si>
  <si>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</si>
  <si>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</si>
  <si>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</si>
  <si>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</si>
  <si>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</si>
  <si>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</si>
  <si>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</si>
  <si>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</si>
  <si>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</si>
  <si>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</si>
  <si>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</si>
  <si>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</si>
  <si>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</si>
  <si>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</si>
  <si>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</si>
  <si>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</si>
  <si>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</si>
  <si>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</si>
  <si>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</si>
  <si>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</si>
  <si>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</si>
  <si>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</si>
  <si>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</si>
  <si>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</si>
  <si>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</si>
  <si>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</si>
  <si>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</si>
  <si>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</si>
  <si>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</si>
  <si>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</si>
  <si>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</si>
  <si>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</si>
  <si>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</si>
  <si>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</si>
  <si>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</si>
  <si>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</si>
  <si>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</si>
  <si>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</si>
  <si>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</si>
  <si>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</si>
  <si>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</si>
  <si>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</si>
  <si>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</si>
  <si>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</si>
  <si>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</si>
  <si>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</si>
  <si>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</si>
  <si>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</si>
  <si>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</si>
  <si>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</si>
  <si>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</si>
  <si>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</si>
  <si>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</si>
  <si>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</si>
  <si>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</si>
  <si>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</si>
  <si>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</si>
  <si>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</si>
  <si>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</si>
  <si>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</si>
  <si>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</si>
  <si>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</si>
  <si>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</si>
  <si>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</si>
  <si>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</si>
  <si>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</si>
  <si>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</si>
  <si>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</si>
  <si>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</si>
  <si>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</si>
  <si>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</si>
  <si>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</si>
  <si>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</si>
  <si>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</si>
  <si>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</si>
  <si>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</si>
  <si>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</si>
  <si>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</si>
  <si>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</si>
  <si>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</si>
  <si>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</si>
  <si>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</si>
  <si>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</si>
  <si>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</si>
  <si>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</si>
  <si>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</si>
  <si>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</si>
  <si>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</si>
  <si>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</si>
  <si>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</si>
  <si>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</si>
  <si>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</si>
  <si>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</si>
  <si>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</si>
  <si>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</si>
  <si>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</si>
  <si>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</si>
  <si>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</si>
  <si>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</si>
  <si>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</si>
  <si>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</si>
  <si>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</si>
  <si>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</si>
  <si>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</si>
  <si>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</si>
  <si>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</si>
  <si>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</si>
  <si>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</si>
  <si>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</si>
  <si>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</si>
  <si>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</si>
  <si>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</si>
  <si>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</si>
  <si>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</si>
  <si>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</si>
  <si>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</si>
  <si>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</si>
  <si>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</si>
  <si>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</si>
  <si>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</si>
  <si>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</si>
  <si>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</si>
  <si>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</si>
  <si>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</si>
  <si>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</si>
  <si>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</si>
  <si>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</si>
  <si>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</si>
  <si>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</si>
  <si>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</si>
  <si>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</si>
  <si>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</si>
  <si>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</si>
  <si>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</si>
  <si>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</si>
  <si>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</si>
  <si>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</si>
  <si>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</si>
  <si>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</si>
  <si>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</si>
  <si>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</si>
  <si>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</si>
  <si>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</si>
  <si>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</si>
  <si>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</si>
  <si>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</si>
  <si>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</si>
  <si>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</si>
  <si>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</si>
  <si>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</si>
  <si>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</si>
  <si>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</si>
  <si>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</si>
  <si>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</si>
  <si>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</si>
  <si>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</si>
  <si>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</si>
  <si>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</si>
  <si>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</si>
  <si>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</si>
  <si>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</si>
  <si>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</si>
  <si>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ჰაკან ქურალ</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</si>
  <si>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</si>
  <si>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</si>
  <si>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</si>
  <si>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</si>
  <si>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</si>
  <si>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</si>
  <si>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</si>
  <si>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</si>
  <si>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</si>
  <si>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</si>
  <si>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</si>
  <si>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</si>
  <si>
    <t>ჰუსეინ ქარაბულუთ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</si>
</sst>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sz val="11"/>
      <color theme="1"/>
      <name val="Arial"/>
      <family val="2"/>
    </font>
    <font>
      <b/>
      <sz val="10"/>
      <name val="Sylfaen"/>
      <family val="1"/>
      <charset val="162"/>
    </font>
    <font>
      <b/>
      <sz val="10"/>
      <name val="Arial"/>
      <family val="2"/>
      <charset val="16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51">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9" fillId="0" borderId="96" xfId="0" applyFont="1" applyFill="1" applyBorder="1" applyAlignment="1" applyProtection="1">
      <alignment horizontal="center" vertical="center" wrapText="1"/>
    </xf>
    <xf numFmtId="0" fontId="3" fillId="0" borderId="96" xfId="0" applyFont="1" applyBorder="1" applyAlignment="1">
      <alignment horizontal="center" vertical="center"/>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0" fillId="0" borderId="137" xfId="0" applyBorder="1"/>
    <xf numFmtId="0" fontId="0" fillId="36" borderId="137" xfId="0" applyFill="1" applyBorder="1"/>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29" fillId="0" borderId="137" xfId="21414"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0" fillId="0" borderId="137" xfId="0" applyBorder="1" applyProtection="1"/>
    <xf numFmtId="0" fontId="129" fillId="0" borderId="134" xfId="0" applyFont="1" applyFill="1" applyBorder="1" applyAlignment="1">
      <alignment vertical="center" wrapText="1"/>
    </xf>
    <xf numFmtId="0" fontId="129"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83" borderId="137" xfId="0" applyNumberFormat="1" applyFont="1" applyFill="1" applyBorder="1" applyAlignment="1">
      <alignment vertical="center" wrapText="1"/>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3" fillId="0" borderId="137" xfId="0" applyFont="1" applyFill="1" applyBorder="1" applyAlignment="1" applyProtection="1">
      <alignment horizontal="left" vertical="center" indent="1"/>
      <protection locked="0"/>
    </xf>
    <xf numFmtId="0" fontId="134" fillId="0" borderId="137" xfId="0" applyFont="1" applyFill="1" applyBorder="1" applyAlignment="1" applyProtection="1">
      <alignment horizontal="left" vertical="center" indent="3"/>
      <protection locked="0"/>
    </xf>
    <xf numFmtId="0" fontId="135"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6" fillId="84" borderId="145" xfId="0" applyFont="1" applyFill="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0" fontId="2" fillId="0" borderId="16" xfId="0" applyNumberFormat="1" applyFont="1" applyFill="1" applyBorder="1" applyAlignment="1">
      <alignment horizontal="left" vertical="center" wrapText="1" indent="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40" fillId="0" borderId="145" xfId="0" applyFont="1" applyBorder="1"/>
    <xf numFmtId="0" fontId="141" fillId="0" borderId="145" xfId="17" applyFont="1" applyBorder="1" applyAlignment="1" applyProtection="1"/>
    <xf numFmtId="0" fontId="142" fillId="0" borderId="0" xfId="0" applyFont="1"/>
    <xf numFmtId="179" fontId="142"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93" fontId="143" fillId="0" borderId="155" xfId="0" applyNumberFormat="1" applyFont="1" applyFill="1" applyBorder="1" applyAlignment="1" applyProtection="1">
      <alignment vertical="center" wrapText="1"/>
      <protection locked="0"/>
    </xf>
    <xf numFmtId="193" fontId="143" fillId="0" borderId="145" xfId="0" applyNumberFormat="1" applyFont="1" applyFill="1" applyBorder="1" applyAlignment="1" applyProtection="1">
      <alignment vertical="center" wrapText="1"/>
      <protection locked="0"/>
    </xf>
    <xf numFmtId="193" fontId="143" fillId="0" borderId="154" xfId="0" applyNumberFormat="1" applyFont="1" applyFill="1" applyBorder="1" applyAlignment="1" applyProtection="1">
      <alignment vertical="center" wrapText="1"/>
      <protection locked="0"/>
    </xf>
    <xf numFmtId="169" fontId="2" fillId="37" borderId="61" xfId="20" applyFont="1" applyBorder="1"/>
    <xf numFmtId="169" fontId="2" fillId="37" borderId="90" xfId="20" applyFont="1" applyBorder="1"/>
    <xf numFmtId="10" fontId="143" fillId="0" borderId="155" xfId="20961" applyNumberFormat="1" applyFont="1" applyBorder="1" applyAlignment="1" applyProtection="1">
      <alignment vertical="center" wrapText="1"/>
      <protection locked="0"/>
    </xf>
    <xf numFmtId="10" fontId="143" fillId="0" borderId="145" xfId="20961" applyNumberFormat="1" applyFont="1" applyBorder="1" applyAlignment="1" applyProtection="1">
      <alignment vertical="center" wrapText="1"/>
      <protection locked="0"/>
    </xf>
    <xf numFmtId="10" fontId="143" fillId="0" borderId="154" xfId="20961" applyNumberFormat="1" applyFont="1" applyBorder="1" applyAlignment="1" applyProtection="1">
      <alignment vertical="center" wrapText="1"/>
      <protection locked="0"/>
    </xf>
    <xf numFmtId="10" fontId="144" fillId="2" borderId="155" xfId="20961" applyNumberFormat="1" applyFont="1" applyFill="1" applyBorder="1" applyAlignment="1" applyProtection="1">
      <alignment vertical="center"/>
      <protection locked="0"/>
    </xf>
    <xf numFmtId="10" fontId="144" fillId="2" borderId="145" xfId="20961" applyNumberFormat="1" applyFont="1" applyFill="1" applyBorder="1" applyAlignment="1" applyProtection="1">
      <alignment vertical="center"/>
      <protection locked="0"/>
    </xf>
    <xf numFmtId="10" fontId="144" fillId="2" borderId="154" xfId="20961" applyNumberFormat="1" applyFont="1" applyFill="1" applyBorder="1" applyAlignment="1" applyProtection="1">
      <alignment vertical="center"/>
      <protection locked="0"/>
    </xf>
    <xf numFmtId="10" fontId="143" fillId="0" borderId="155" xfId="20961" applyNumberFormat="1" applyFont="1" applyFill="1" applyBorder="1" applyAlignment="1" applyProtection="1">
      <alignment horizontal="right" vertical="center" wrapText="1"/>
      <protection locked="0"/>
    </xf>
    <xf numFmtId="10" fontId="143" fillId="0" borderId="145" xfId="20961" applyNumberFormat="1" applyFont="1" applyFill="1" applyBorder="1" applyAlignment="1" applyProtection="1">
      <alignment horizontal="right" vertical="center" wrapText="1"/>
      <protection locked="0"/>
    </xf>
    <xf numFmtId="10" fontId="143" fillId="0" borderId="154" xfId="20961" applyNumberFormat="1" applyFont="1" applyFill="1" applyBorder="1" applyAlignment="1" applyProtection="1">
      <alignment horizontal="right" vertical="center" wrapText="1"/>
      <protection locked="0"/>
    </xf>
    <xf numFmtId="193" fontId="144" fillId="2" borderId="155" xfId="0" applyNumberFormat="1" applyFont="1" applyFill="1" applyBorder="1" applyAlignment="1" applyProtection="1">
      <alignment vertical="center"/>
      <protection locked="0"/>
    </xf>
    <xf numFmtId="193" fontId="144" fillId="2" borderId="145" xfId="0" applyNumberFormat="1" applyFont="1" applyFill="1" applyBorder="1" applyAlignment="1" applyProtection="1">
      <alignment vertical="center"/>
      <protection locked="0"/>
    </xf>
    <xf numFmtId="193" fontId="144" fillId="2" borderId="154" xfId="0" applyNumberFormat="1" applyFont="1" applyFill="1" applyBorder="1" applyAlignment="1" applyProtection="1">
      <alignment vertical="center"/>
      <protection locked="0"/>
    </xf>
    <xf numFmtId="10" fontId="144" fillId="2" borderId="104" xfId="20961" applyNumberFormat="1" applyFont="1" applyFill="1" applyBorder="1" applyAlignment="1" applyProtection="1">
      <alignment vertical="center"/>
      <protection locked="0"/>
    </xf>
    <xf numFmtId="10" fontId="144" fillId="2" borderId="146" xfId="20961" applyNumberFormat="1" applyFont="1" applyFill="1" applyBorder="1" applyAlignment="1" applyProtection="1">
      <alignment vertical="center"/>
      <protection locked="0"/>
    </xf>
    <xf numFmtId="10" fontId="144" fillId="2" borderId="105" xfId="20961" applyNumberFormat="1" applyFont="1" applyFill="1" applyBorder="1" applyAlignment="1" applyProtection="1">
      <alignment vertical="center"/>
      <protection locked="0"/>
    </xf>
    <xf numFmtId="193" fontId="144" fillId="2" borderId="104" xfId="0" applyNumberFormat="1" applyFont="1" applyFill="1" applyBorder="1" applyAlignment="1" applyProtection="1">
      <alignment vertical="center"/>
      <protection locked="0"/>
    </xf>
    <xf numFmtId="193" fontId="144" fillId="2" borderId="146" xfId="0" applyNumberFormat="1" applyFont="1" applyFill="1" applyBorder="1" applyAlignment="1" applyProtection="1">
      <alignment vertical="center"/>
      <protection locked="0"/>
    </xf>
    <xf numFmtId="193" fontId="144" fillId="2" borderId="105" xfId="0" applyNumberFormat="1" applyFont="1" applyFill="1" applyBorder="1" applyAlignment="1" applyProtection="1">
      <alignment vertical="center"/>
      <protection locked="0"/>
    </xf>
    <xf numFmtId="10" fontId="144" fillId="2" borderId="153" xfId="20961" applyNumberFormat="1" applyFont="1" applyFill="1" applyBorder="1" applyAlignment="1" applyProtection="1">
      <alignment vertical="center"/>
      <protection locked="0"/>
    </xf>
    <xf numFmtId="10" fontId="144" fillId="2" borderId="152" xfId="20961" applyNumberFormat="1" applyFont="1" applyFill="1" applyBorder="1" applyAlignment="1" applyProtection="1">
      <alignment vertical="center"/>
      <protection locked="0"/>
    </xf>
    <xf numFmtId="10" fontId="144" fillId="2" borderId="151" xfId="20961" applyNumberFormat="1" applyFont="1" applyFill="1" applyBorder="1" applyAlignment="1" applyProtection="1">
      <alignment vertical="center"/>
      <protection locked="0"/>
    </xf>
    <xf numFmtId="164" fontId="0" fillId="0" borderId="155" xfId="7" applyNumberFormat="1" applyFont="1" applyBorder="1"/>
    <xf numFmtId="164" fontId="0" fillId="0" borderId="145" xfId="7" applyNumberFormat="1" applyFont="1" applyBorder="1"/>
    <xf numFmtId="164" fontId="0" fillId="0" borderId="96" xfId="7" applyNumberFormat="1" applyFont="1" applyBorder="1"/>
    <xf numFmtId="164" fontId="0" fillId="36" borderId="96" xfId="7" applyNumberFormat="1" applyFont="1" applyFill="1" applyBorder="1"/>
    <xf numFmtId="164" fontId="0" fillId="0" borderId="96" xfId="7" applyNumberFormat="1" applyFont="1" applyBorder="1" applyAlignment="1">
      <alignment vertical="center"/>
    </xf>
    <xf numFmtId="164" fontId="0" fillId="36" borderId="96" xfId="7" applyNumberFormat="1" applyFont="1" applyFill="1" applyBorder="1" applyAlignment="1">
      <alignment vertical="center"/>
    </xf>
    <xf numFmtId="164" fontId="0" fillId="0" borderId="137" xfId="7" applyNumberFormat="1" applyFont="1" applyBorder="1"/>
    <xf numFmtId="164" fontId="0" fillId="36" borderId="137" xfId="7" applyNumberFormat="1" applyFont="1" applyFill="1" applyBorder="1"/>
    <xf numFmtId="164" fontId="9" fillId="0" borderId="137" xfId="7" applyNumberFormat="1" applyFont="1" applyFill="1" applyBorder="1" applyAlignment="1" applyProtection="1">
      <alignment horizontal="right"/>
    </xf>
    <xf numFmtId="164" fontId="9" fillId="36" borderId="137" xfId="7" applyNumberFormat="1" applyFont="1" applyFill="1" applyBorder="1" applyAlignment="1" applyProtection="1">
      <alignment horizontal="right"/>
    </xf>
    <xf numFmtId="164" fontId="9" fillId="36" borderId="111" xfId="7" applyNumberFormat="1" applyFont="1" applyFill="1" applyBorder="1" applyAlignment="1" applyProtection="1">
      <alignment horizontal="right"/>
    </xf>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5" fillId="36" borderId="96" xfId="0" applyNumberFormat="1" applyFont="1" applyFill="1" applyBorder="1" applyAlignment="1">
      <alignment vertical="center" wrapText="1"/>
    </xf>
    <xf numFmtId="3" fontId="145" fillId="36" borderId="97" xfId="0" applyNumberFormat="1" applyFont="1" applyFill="1" applyBorder="1" applyAlignment="1">
      <alignment vertical="center" wrapText="1"/>
    </xf>
    <xf numFmtId="3" fontId="145" fillId="36" borderId="111" xfId="0" applyNumberFormat="1" applyFont="1" applyFill="1" applyBorder="1" applyAlignment="1">
      <alignment vertical="center" wrapText="1"/>
    </xf>
    <xf numFmtId="3" fontId="145" fillId="36" borderId="21" xfId="0" applyNumberFormat="1" applyFont="1" applyFill="1" applyBorder="1" applyAlignment="1">
      <alignment vertical="center" wrapText="1"/>
    </xf>
    <xf numFmtId="3" fontId="145" fillId="36" borderId="23" xfId="0" applyNumberFormat="1" applyFont="1" applyFill="1" applyBorder="1" applyAlignment="1">
      <alignment vertical="center" wrapText="1"/>
    </xf>
    <xf numFmtId="3" fontId="145" fillId="36" borderId="25" xfId="0" applyNumberFormat="1" applyFont="1" applyFill="1" applyBorder="1" applyAlignment="1">
      <alignment vertical="center" wrapText="1"/>
    </xf>
    <xf numFmtId="3" fontId="145" fillId="36" borderId="24" xfId="0" applyNumberFormat="1" applyFont="1" applyFill="1" applyBorder="1" applyAlignment="1">
      <alignment vertical="center" wrapText="1"/>
    </xf>
    <xf numFmtId="3" fontId="145"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6" fillId="0" borderId="145" xfId="7" applyFont="1" applyFill="1" applyBorder="1" applyAlignment="1">
      <alignment horizontal="center" vertical="center"/>
    </xf>
    <xf numFmtId="43" fontId="143" fillId="0" borderId="145" xfId="7" applyFont="1" applyFill="1" applyBorder="1" applyAlignment="1">
      <alignment horizontal="center" vertical="center"/>
    </xf>
    <xf numFmtId="43" fontId="146" fillId="0" borderId="154" xfId="7" applyFont="1" applyFill="1" applyBorder="1" applyAlignment="1">
      <alignment horizontal="center" vertical="center"/>
    </xf>
    <xf numFmtId="43" fontId="143" fillId="0" borderId="154" xfId="7" applyFont="1" applyFill="1" applyBorder="1" applyAlignment="1">
      <alignment horizontal="center" vertical="center"/>
    </xf>
    <xf numFmtId="193" fontId="147" fillId="36" borderId="152" xfId="0" applyNumberFormat="1" applyFont="1" applyFill="1" applyBorder="1" applyAlignment="1">
      <alignment horizontal="center" vertical="center"/>
    </xf>
    <xf numFmtId="193" fontId="147" fillId="36" borderId="151" xfId="0" applyNumberFormat="1" applyFont="1" applyFill="1" applyBorder="1" applyAlignment="1">
      <alignment horizontal="center" vertical="center"/>
    </xf>
    <xf numFmtId="193" fontId="148" fillId="36" borderId="18" xfId="0" applyNumberFormat="1" applyFont="1" applyFill="1" applyBorder="1" applyAlignment="1">
      <alignment horizontal="center" vertical="center"/>
    </xf>
    <xf numFmtId="193" fontId="148" fillId="36" borderId="20" xfId="0" applyNumberFormat="1" applyFont="1" applyFill="1" applyBorder="1" applyAlignment="1">
      <alignment horizontal="center" vertical="center" wrapText="1"/>
    </xf>
    <xf numFmtId="193" fontId="148" fillId="36" borderId="24" xfId="0" applyNumberFormat="1" applyFont="1" applyFill="1" applyBorder="1" applyAlignment="1">
      <alignment horizontal="center" vertical="center" wrapText="1"/>
    </xf>
    <xf numFmtId="193" fontId="143"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6" fillId="0" borderId="160" xfId="0" applyNumberFormat="1" applyFont="1" applyBorder="1" applyAlignment="1">
      <alignment horizontal="center" vertical="center"/>
    </xf>
    <xf numFmtId="167" fontId="143" fillId="0" borderId="161" xfId="0" applyNumberFormat="1" applyFont="1" applyBorder="1" applyAlignment="1">
      <alignment horizontal="center"/>
    </xf>
    <xf numFmtId="193" fontId="143" fillId="0" borderId="12" xfId="0" applyNumberFormat="1" applyFont="1" applyBorder="1" applyAlignment="1">
      <alignment horizontal="center" vertical="center"/>
    </xf>
    <xf numFmtId="167" fontId="143" fillId="0" borderId="57" xfId="0" applyNumberFormat="1" applyFont="1" applyBorder="1" applyAlignment="1">
      <alignment horizontal="center"/>
    </xf>
    <xf numFmtId="167" fontId="143" fillId="0" borderId="57" xfId="0" applyNumberFormat="1" applyFont="1" applyFill="1" applyBorder="1" applyAlignment="1">
      <alignment horizontal="center"/>
    </xf>
    <xf numFmtId="193" fontId="146" fillId="0" borderId="12" xfId="0" applyNumberFormat="1" applyFont="1" applyBorder="1" applyAlignment="1">
      <alignment horizontal="center" vertical="center"/>
    </xf>
    <xf numFmtId="167" fontId="149" fillId="0" borderId="57" xfId="0" applyNumberFormat="1" applyFont="1" applyFill="1" applyBorder="1" applyAlignment="1">
      <alignment horizontal="center"/>
    </xf>
    <xf numFmtId="193" fontId="150" fillId="0" borderId="12" xfId="0" applyNumberFormat="1" applyFont="1" applyFill="1" applyBorder="1" applyAlignment="1">
      <alignment horizontal="center" vertical="center"/>
    </xf>
    <xf numFmtId="193" fontId="146"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3" fillId="0" borderId="59" xfId="0" applyNumberFormat="1" applyFont="1" applyFill="1" applyBorder="1" applyAlignment="1">
      <alignment horizontal="center"/>
    </xf>
    <xf numFmtId="167" fontId="147" fillId="0" borderId="55" xfId="0" applyNumberFormat="1" applyFont="1" applyFill="1" applyBorder="1" applyAlignment="1">
      <alignment horizontal="center"/>
    </xf>
    <xf numFmtId="193" fontId="146" fillId="0" borderId="15" xfId="0" applyNumberFormat="1" applyFont="1" applyBorder="1" applyAlignment="1">
      <alignment horizontal="center" vertical="center"/>
    </xf>
    <xf numFmtId="167" fontId="151" fillId="85" borderId="56" xfId="0" applyNumberFormat="1" applyFont="1" applyFill="1" applyBorder="1" applyAlignment="1">
      <alignment horizontal="center"/>
    </xf>
    <xf numFmtId="167" fontId="143" fillId="0" borderId="59" xfId="0" applyNumberFormat="1" applyFont="1" applyBorder="1" applyAlignment="1">
      <alignment horizontal="center"/>
    </xf>
    <xf numFmtId="193" fontId="146" fillId="0" borderId="13" xfId="0" applyNumberFormat="1" applyFont="1" applyBorder="1" applyAlignment="1">
      <alignment horizontal="center" vertical="center"/>
    </xf>
    <xf numFmtId="193" fontId="149" fillId="0" borderId="13" xfId="0" applyNumberFormat="1" applyFont="1" applyBorder="1" applyAlignment="1">
      <alignment vertical="center"/>
    </xf>
    <xf numFmtId="167" fontId="143" fillId="0" borderId="60" xfId="0" applyNumberFormat="1" applyFont="1" applyBorder="1" applyAlignment="1">
      <alignment horizontal="center"/>
    </xf>
    <xf numFmtId="193" fontId="147" fillId="0" borderId="14" xfId="0" applyNumberFormat="1" applyFont="1" applyFill="1" applyBorder="1" applyAlignment="1">
      <alignment horizontal="center" vertical="center"/>
    </xf>
    <xf numFmtId="193" fontId="152" fillId="0" borderId="14" xfId="0" applyNumberFormat="1" applyFont="1" applyFill="1" applyBorder="1" applyAlignment="1">
      <alignment horizontal="center" vertical="center"/>
    </xf>
    <xf numFmtId="193" fontId="146" fillId="0" borderId="14" xfId="0" applyNumberFormat="1" applyFont="1" applyFill="1" applyBorder="1" applyAlignment="1">
      <alignment horizontal="center" vertical="center"/>
    </xf>
    <xf numFmtId="167" fontId="143" fillId="0" borderId="154" xfId="0" applyNumberFormat="1" applyFont="1" applyBorder="1" applyAlignment="1">
      <alignment horizontal="center"/>
    </xf>
    <xf numFmtId="167" fontId="147" fillId="0" borderId="154" xfId="0" applyNumberFormat="1" applyFont="1" applyFill="1" applyBorder="1" applyAlignment="1">
      <alignment horizontal="center"/>
    </xf>
    <xf numFmtId="0" fontId="143" fillId="0" borderId="154" xfId="0" applyFont="1" applyBorder="1"/>
    <xf numFmtId="0" fontId="143" fillId="0" borderId="145" xfId="0" applyFont="1" applyBorder="1"/>
    <xf numFmtId="0" fontId="146" fillId="0" borderId="145" xfId="0" applyFont="1" applyBorder="1" applyAlignment="1">
      <alignment horizontal="center"/>
    </xf>
    <xf numFmtId="193" fontId="146" fillId="0" borderId="162" xfId="0" applyNumberFormat="1" applyFont="1" applyBorder="1" applyAlignment="1">
      <alignment horizontal="center" vertical="center"/>
    </xf>
    <xf numFmtId="0" fontId="143" fillId="0" borderId="151" xfId="0" applyFont="1" applyBorder="1"/>
    <xf numFmtId="193" fontId="143" fillId="0" borderId="145" xfId="0" applyNumberFormat="1" applyFont="1" applyBorder="1" applyAlignment="1"/>
    <xf numFmtId="164" fontId="143"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3" fillId="0" borderId="155" xfId="0" applyNumberFormat="1" applyFont="1" applyBorder="1" applyAlignment="1"/>
    <xf numFmtId="193" fontId="143" fillId="0" borderId="154" xfId="0" applyNumberFormat="1" applyFont="1" applyBorder="1" applyAlignment="1"/>
    <xf numFmtId="193" fontId="143" fillId="0" borderId="21" xfId="0" applyNumberFormat="1" applyFont="1" applyBorder="1" applyAlignment="1"/>
    <xf numFmtId="193" fontId="153" fillId="36" borderId="50" xfId="0" applyNumberFormat="1" applyFont="1" applyFill="1" applyBorder="1" applyAlignment="1"/>
    <xf numFmtId="193" fontId="154" fillId="36" borderId="22" xfId="0" applyNumberFormat="1" applyFont="1" applyFill="1" applyBorder="1"/>
    <xf numFmtId="193" fontId="154" fillId="36" borderId="23" xfId="0" applyNumberFormat="1" applyFont="1" applyFill="1" applyBorder="1"/>
    <xf numFmtId="193" fontId="154" fillId="36" borderId="24" xfId="0" applyNumberFormat="1" applyFont="1" applyFill="1" applyBorder="1"/>
    <xf numFmtId="193" fontId="154" fillId="36" borderId="51" xfId="0" applyNumberFormat="1" applyFont="1" applyFill="1" applyBorder="1"/>
    <xf numFmtId="193" fontId="4" fillId="0" borderId="145" xfId="0" applyNumberFormat="1" applyFont="1" applyBorder="1"/>
    <xf numFmtId="193" fontId="4" fillId="0" borderId="148" xfId="0" applyNumberFormat="1" applyFont="1" applyBorder="1"/>
    <xf numFmtId="9" fontId="153"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5"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3" fillId="36" borderId="145" xfId="7" applyNumberFormat="1" applyFont="1" applyFill="1" applyBorder="1"/>
    <xf numFmtId="164" fontId="116" fillId="0" borderId="145" xfId="7" applyNumberFormat="1" applyFont="1" applyBorder="1"/>
    <xf numFmtId="164" fontId="156"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7"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8" fillId="0" borderId="145" xfId="7" applyNumberFormat="1" applyFont="1" applyBorder="1"/>
    <xf numFmtId="164" fontId="157" fillId="0" borderId="155" xfId="7" applyNumberFormat="1" applyFont="1" applyBorder="1"/>
    <xf numFmtId="164" fontId="157"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9" fillId="0" borderId="145" xfId="7" applyNumberFormat="1" applyFont="1" applyBorder="1"/>
    <xf numFmtId="164" fontId="118" fillId="0" borderId="146" xfId="7" applyNumberFormat="1" applyFont="1" applyBorder="1"/>
    <xf numFmtId="10" fontId="118" fillId="0" borderId="146" xfId="20961" applyNumberFormat="1" applyFont="1" applyBorder="1"/>
    <xf numFmtId="193" fontId="2" fillId="0" borderId="112" xfId="0" applyNumberFormat="1" applyFont="1" applyFill="1" applyBorder="1" applyAlignment="1" applyProtection="1">
      <alignment vertical="center" wrapText="1"/>
      <protection locked="0"/>
    </xf>
    <xf numFmtId="0" fontId="160" fillId="0" borderId="0" xfId="0" applyFont="1"/>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0" fontId="160" fillId="0" borderId="0" xfId="0" applyFont="1" applyFill="1"/>
    <xf numFmtId="10" fontId="2" fillId="0" borderId="112" xfId="20961" applyNumberFormat="1" applyFont="1" applyBorder="1" applyAlignment="1" applyProtection="1">
      <alignment horizontal="right" vertical="center" wrapText="1"/>
      <protection locked="0"/>
    </xf>
    <xf numFmtId="10" fontId="2" fillId="2" borderId="112" xfId="20961" applyNumberFormat="1" applyFont="1" applyFill="1" applyBorder="1" applyAlignment="1" applyProtection="1">
      <alignment vertical="center"/>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164" fontId="148" fillId="0" borderId="96" xfId="7" applyNumberFormat="1" applyFont="1" applyBorder="1"/>
    <xf numFmtId="164" fontId="148" fillId="36" borderId="96" xfId="7" applyNumberFormat="1" applyFont="1" applyFill="1" applyBorder="1"/>
    <xf numFmtId="164" fontId="148" fillId="0" borderId="96" xfId="7" applyNumberFormat="1" applyFont="1" applyBorder="1" applyAlignment="1">
      <alignment vertical="center"/>
    </xf>
    <xf numFmtId="164" fontId="148" fillId="36" borderId="96" xfId="7" applyNumberFormat="1" applyFont="1" applyFill="1" applyBorder="1" applyAlignment="1">
      <alignment vertical="center"/>
    </xf>
    <xf numFmtId="164" fontId="148" fillId="0" borderId="137" xfId="7" applyNumberFormat="1" applyFont="1" applyBorder="1"/>
    <xf numFmtId="164" fontId="148" fillId="36" borderId="137" xfId="7" applyNumberFormat="1" applyFont="1" applyFill="1" applyBorder="1"/>
    <xf numFmtId="0" fontId="148" fillId="0" borderId="137" xfId="0" applyFont="1" applyBorder="1"/>
    <xf numFmtId="0" fontId="148" fillId="36" borderId="137" xfId="0" applyFont="1" applyFill="1" applyBorder="1"/>
    <xf numFmtId="164" fontId="161" fillId="0" borderId="137" xfId="7" applyNumberFormat="1" applyFont="1" applyFill="1" applyBorder="1" applyAlignment="1" applyProtection="1">
      <alignment horizontal="right"/>
    </xf>
    <xf numFmtId="164" fontId="161" fillId="36" borderId="137" xfId="7" applyNumberFormat="1" applyFont="1" applyFill="1" applyBorder="1" applyAlignment="1" applyProtection="1">
      <alignment horizontal="right"/>
    </xf>
    <xf numFmtId="164" fontId="161" fillId="36" borderId="111" xfId="7" applyNumberFormat="1" applyFont="1" applyFill="1" applyBorder="1" applyAlignment="1" applyProtection="1">
      <alignment horizontal="right"/>
    </xf>
    <xf numFmtId="0" fontId="162" fillId="0" borderId="17" xfId="0" applyNumberFormat="1" applyFont="1" applyFill="1" applyBorder="1" applyAlignment="1">
      <alignment horizontal="left" vertical="center" wrapText="1" indent="1"/>
    </xf>
    <xf numFmtId="193" fontId="153" fillId="36" borderId="23" xfId="0" applyNumberFormat="1" applyFont="1" applyFill="1" applyBorder="1"/>
    <xf numFmtId="9" fontId="153" fillId="36" borderId="24" xfId="20961" applyFont="1" applyFill="1" applyBorder="1"/>
    <xf numFmtId="164" fontId="153" fillId="0" borderId="96" xfId="7" applyNumberFormat="1" applyFont="1" applyBorder="1"/>
    <xf numFmtId="164" fontId="153" fillId="0" borderId="111" xfId="7" applyNumberFormat="1" applyFont="1" applyBorder="1"/>
    <xf numFmtId="164" fontId="153" fillId="0" borderId="96" xfId="7" applyNumberFormat="1" applyFont="1" applyBorder="1" applyAlignment="1">
      <alignment vertical="center"/>
    </xf>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0" fontId="139" fillId="0" borderId="158" xfId="0" applyFont="1" applyBorder="1" applyAlignment="1">
      <alignment horizontal="center" wrapText="1"/>
    </xf>
    <xf numFmtId="0" fontId="139" fillId="0" borderId="29" xfId="0" applyFont="1" applyBorder="1" applyAlignment="1">
      <alignment horizontal="center" wrapText="1"/>
    </xf>
    <xf numFmtId="0" fontId="139" fillId="0" borderId="159" xfId="0" applyFont="1" applyBorder="1" applyAlignment="1">
      <alignment horizontal="center" wrapText="1"/>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38"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0" fontId="0" fillId="0" borderId="137" xfId="0" applyBorder="1" applyAlignment="1">
      <alignment horizontal="center" vertical="center"/>
    </xf>
    <xf numFmtId="0" fontId="125" fillId="0" borderId="92"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97"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125" fillId="0" borderId="141"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2" fillId="76" borderId="145" xfId="0" applyFont="1" applyFill="1" applyBorder="1" applyAlignment="1">
      <alignment horizontal="center" vertical="center" wrapText="1"/>
    </xf>
    <xf numFmtId="0" fontId="102" fillId="0" borderId="145" xfId="0" applyFont="1" applyFill="1" applyBorder="1" applyAlignment="1">
      <alignment horizontal="center" vertical="center"/>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49" fontId="103" fillId="0" borderId="0" xfId="0" applyNumberFormat="1" applyFont="1" applyFill="1" applyBorder="1" applyAlignment="1">
      <alignment horizontal="center" vertical="center"/>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193" fontId="2" fillId="0" borderId="154" xfId="0" applyNumberFormat="1" applyFont="1" applyFill="1" applyBorder="1" applyAlignment="1" applyProtection="1">
      <alignment vertical="center" wrapText="1"/>
      <protection locked="0"/>
    </xf>
    <xf numFmtId="169" fontId="2" fillId="37" borderId="126" xfId="20" applyFont="1" applyBorder="1"/>
    <xf numFmtId="169" fontId="2" fillId="37" borderId="164" xfId="20" applyFont="1" applyBorder="1"/>
    <xf numFmtId="193" fontId="2" fillId="0" borderId="154" xfId="0" applyNumberFormat="1" applyFont="1" applyFill="1" applyBorder="1" applyAlignment="1" applyProtection="1">
      <alignment horizontal="right" vertical="center" wrapText="1"/>
      <protection locked="0"/>
    </xf>
    <xf numFmtId="193" fontId="60" fillId="0" borderId="154" xfId="0" applyNumberFormat="1" applyFont="1" applyFill="1" applyBorder="1" applyAlignment="1" applyProtection="1">
      <alignment horizontal="right" vertical="center" wrapText="1"/>
      <protection locked="0"/>
    </xf>
    <xf numFmtId="10" fontId="2" fillId="0" borderId="154" xfId="20961" applyNumberFormat="1" applyFont="1" applyBorder="1" applyAlignment="1" applyProtection="1">
      <alignment horizontal="right" vertical="center" wrapText="1"/>
      <protection locked="0"/>
    </xf>
    <xf numFmtId="10" fontId="2" fillId="2" borderId="154" xfId="20961" applyNumberFormat="1" applyFont="1" applyFill="1" applyBorder="1" applyAlignment="1" applyProtection="1">
      <alignment vertical="center"/>
      <protection locked="0"/>
    </xf>
    <xf numFmtId="193" fontId="2" fillId="2" borderId="154" xfId="0" applyNumberFormat="1" applyFont="1" applyFill="1" applyBorder="1" applyAlignment="1" applyProtection="1">
      <alignment vertical="center"/>
      <protection locked="0"/>
    </xf>
    <xf numFmtId="10" fontId="2" fillId="2" borderId="105" xfId="20961" applyNumberFormat="1" applyFont="1" applyFill="1" applyBorder="1" applyAlignment="1" applyProtection="1">
      <alignment vertical="center"/>
      <protection locked="0"/>
    </xf>
    <xf numFmtId="193" fontId="2" fillId="2" borderId="105" xfId="0" applyNumberFormat="1" applyFont="1" applyFill="1" applyBorder="1" applyAlignment="1" applyProtection="1">
      <alignment vertical="center"/>
      <protection locked="0"/>
    </xf>
    <xf numFmtId="10" fontId="2" fillId="2" borderId="151" xfId="20961" applyNumberFormat="1" applyFont="1" applyFill="1" applyBorder="1" applyAlignment="1" applyProtection="1">
      <alignment vertical="center"/>
      <protection locked="0"/>
    </xf>
    <xf numFmtId="164" fontId="148" fillId="0" borderId="155" xfId="7" applyNumberFormat="1" applyFont="1" applyBorder="1"/>
    <xf numFmtId="164" fontId="148" fillId="0" borderId="145" xfId="7" applyNumberFormat="1" applyFont="1" applyBorder="1"/>
    <xf numFmtId="38" fontId="0" fillId="0" borderId="145" xfId="7" applyNumberFormat="1" applyFont="1" applyBorder="1"/>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4.4"/>
  <cols>
    <col min="1" max="1" width="10.33203125" style="2" customWidth="1"/>
    <col min="2" max="2" width="153" bestFit="1" customWidth="1"/>
    <col min="3" max="3" width="39.44140625" customWidth="1"/>
    <col min="7" max="7" width="25" customWidth="1"/>
  </cols>
  <sheetData>
    <row r="1" spans="1:3">
      <c r="A1" s="9"/>
      <c r="B1" s="127" t="s">
        <v>159</v>
      </c>
      <c r="C1" s="55"/>
    </row>
    <row r="2" spans="1:3" s="124" customFormat="1">
      <c r="A2" s="168">
        <v>1</v>
      </c>
      <c r="B2" s="125" t="s">
        <v>160</v>
      </c>
      <c r="C2" s="621" t="s">
        <v>957</v>
      </c>
    </row>
    <row r="3" spans="1:3" s="124" customFormat="1">
      <c r="A3" s="168">
        <v>2</v>
      </c>
      <c r="B3" s="126" t="s">
        <v>161</v>
      </c>
      <c r="C3" s="621" t="s">
        <v>958</v>
      </c>
    </row>
    <row r="4" spans="1:3" s="124" customFormat="1">
      <c r="A4" s="168">
        <v>3</v>
      </c>
      <c r="B4" s="126" t="s">
        <v>162</v>
      </c>
      <c r="C4" s="621" t="s">
        <v>959</v>
      </c>
    </row>
    <row r="5" spans="1:3" s="124" customFormat="1">
      <c r="A5" s="169">
        <v>4</v>
      </c>
      <c r="B5" s="129" t="s">
        <v>163</v>
      </c>
      <c r="C5" s="622" t="s">
        <v>960</v>
      </c>
    </row>
    <row r="6" spans="1:3" s="128" customFormat="1" ht="65.25" customHeight="1">
      <c r="A6" s="846" t="s">
        <v>321</v>
      </c>
      <c r="B6" s="847"/>
      <c r="C6" s="847"/>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451</v>
      </c>
    </row>
    <row r="26" spans="1:2">
      <c r="A26" s="267">
        <v>17</v>
      </c>
      <c r="B26" s="259" t="s">
        <v>675</v>
      </c>
    </row>
    <row r="27" spans="1:2">
      <c r="A27" s="267">
        <v>18</v>
      </c>
      <c r="B27" s="259" t="s">
        <v>936</v>
      </c>
    </row>
    <row r="28" spans="1:2">
      <c r="A28" s="267">
        <v>19</v>
      </c>
      <c r="B28" s="259" t="s">
        <v>937</v>
      </c>
    </row>
    <row r="29" spans="1:2">
      <c r="A29" s="267">
        <v>20</v>
      </c>
      <c r="B29" s="259" t="s">
        <v>938</v>
      </c>
    </row>
    <row r="30" spans="1:2">
      <c r="A30" s="267">
        <v>21</v>
      </c>
      <c r="B30" s="259" t="s">
        <v>544</v>
      </c>
    </row>
    <row r="31" spans="1:2">
      <c r="A31" s="267">
        <v>22</v>
      </c>
      <c r="B31" s="259" t="s">
        <v>939</v>
      </c>
    </row>
    <row r="32" spans="1:2" ht="26.4">
      <c r="A32" s="267">
        <v>23</v>
      </c>
      <c r="B32" s="617" t="s">
        <v>935</v>
      </c>
    </row>
    <row r="33" spans="1:2">
      <c r="A33" s="267">
        <v>24</v>
      </c>
      <c r="B33" s="259" t="s">
        <v>940</v>
      </c>
    </row>
    <row r="34" spans="1:2">
      <c r="A34" s="267">
        <v>25</v>
      </c>
      <c r="B34" s="259" t="s">
        <v>941</v>
      </c>
    </row>
    <row r="35" spans="1:2">
      <c r="A35" s="263">
        <v>26</v>
      </c>
      <c r="B35" s="259" t="s">
        <v>721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4.4"/>
  <cols>
    <col min="1" max="1" width="9.5546875" style="5" bestFit="1" customWidth="1"/>
    <col min="2" max="2" width="132.44140625" style="2" customWidth="1"/>
    <col min="3" max="3" width="18.44140625" style="2" customWidth="1"/>
  </cols>
  <sheetData>
    <row r="1" spans="1:6">
      <c r="A1" s="17" t="s">
        <v>108</v>
      </c>
      <c r="B1" s="623" t="str">
        <f>'1. key ratios'!B1</f>
        <v>სს იშბანკი საქართველო</v>
      </c>
      <c r="D1" s="2"/>
      <c r="E1" s="2"/>
      <c r="F1" s="2"/>
    </row>
    <row r="2" spans="1:6" s="21" customFormat="1" ht="15.75" customHeight="1">
      <c r="A2" s="21" t="s">
        <v>109</v>
      </c>
      <c r="B2" s="624">
        <f>'1. key ratios'!B2</f>
        <v>45199</v>
      </c>
    </row>
    <row r="3" spans="1:6" s="21" customFormat="1" ht="15.75" customHeight="1"/>
    <row r="4" spans="1:6" ht="15" thickBot="1">
      <c r="A4" s="5" t="s">
        <v>257</v>
      </c>
      <c r="B4" s="30" t="s">
        <v>85</v>
      </c>
    </row>
    <row r="5" spans="1:6">
      <c r="A5" s="88" t="s">
        <v>25</v>
      </c>
      <c r="B5" s="89"/>
      <c r="C5" s="90" t="s">
        <v>26</v>
      </c>
    </row>
    <row r="6" spans="1:6">
      <c r="A6" s="91">
        <v>1</v>
      </c>
      <c r="B6" s="51" t="s">
        <v>27</v>
      </c>
      <c r="C6" s="173">
        <f>SUM(C7:C11)</f>
        <v>130966063.00861134</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61804463.008611336</v>
      </c>
    </row>
    <row r="12" spans="1:6" s="4" customFormat="1">
      <c r="A12" s="91">
        <v>7</v>
      </c>
      <c r="B12" s="51" t="s">
        <v>33</v>
      </c>
      <c r="C12" s="175">
        <f>SUM(C13:C28)</f>
        <v>177648.31928219183</v>
      </c>
    </row>
    <row r="13" spans="1:6" s="4" customFormat="1">
      <c r="A13" s="91">
        <v>8</v>
      </c>
      <c r="B13" s="50" t="s">
        <v>34</v>
      </c>
      <c r="C13" s="176"/>
    </row>
    <row r="14" spans="1:6" s="4" customFormat="1" ht="27.6">
      <c r="A14" s="91">
        <v>9</v>
      </c>
      <c r="B14" s="43" t="s">
        <v>35</v>
      </c>
      <c r="C14" s="176"/>
    </row>
    <row r="15" spans="1:6" s="4" customFormat="1">
      <c r="A15" s="91">
        <v>10</v>
      </c>
      <c r="B15" s="44" t="s">
        <v>36</v>
      </c>
      <c r="C15" s="176">
        <f>'2. SOFP'!E27</f>
        <v>177648.31928219183</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7.6">
      <c r="A20" s="91">
        <v>15</v>
      </c>
      <c r="B20" s="44" t="s">
        <v>41</v>
      </c>
      <c r="C20" s="176"/>
    </row>
    <row r="21" spans="1:3" s="4" customFormat="1" ht="27.6">
      <c r="A21" s="91">
        <v>16</v>
      </c>
      <c r="B21" s="43" t="s">
        <v>42</v>
      </c>
      <c r="C21" s="176"/>
    </row>
    <row r="22" spans="1:3" s="4" customFormat="1">
      <c r="A22" s="91">
        <v>17</v>
      </c>
      <c r="B22" s="92" t="s">
        <v>43</v>
      </c>
      <c r="C22" s="176"/>
    </row>
    <row r="23" spans="1:3" s="4" customFormat="1">
      <c r="A23" s="91">
        <v>18</v>
      </c>
      <c r="B23" s="618" t="s">
        <v>724</v>
      </c>
      <c r="C23" s="394"/>
    </row>
    <row r="24" spans="1:3" s="4" customFormat="1" ht="27.6">
      <c r="A24" s="91">
        <v>19</v>
      </c>
      <c r="B24" s="43" t="s">
        <v>44</v>
      </c>
      <c r="C24" s="176"/>
    </row>
    <row r="25" spans="1:3" s="4" customFormat="1" ht="27.6">
      <c r="A25" s="91">
        <v>20</v>
      </c>
      <c r="B25" s="43" t="s">
        <v>45</v>
      </c>
      <c r="C25" s="176"/>
    </row>
    <row r="26" spans="1:3" s="4" customFormat="1" ht="27.6">
      <c r="A26" s="91">
        <v>21</v>
      </c>
      <c r="B26" s="46" t="s">
        <v>46</v>
      </c>
      <c r="C26" s="176"/>
    </row>
    <row r="27" spans="1:3" s="4" customFormat="1">
      <c r="A27" s="91">
        <v>22</v>
      </c>
      <c r="B27" s="46" t="s">
        <v>47</v>
      </c>
      <c r="C27" s="176"/>
    </row>
    <row r="28" spans="1:3" s="4" customFormat="1" ht="27.6">
      <c r="A28" s="91">
        <v>23</v>
      </c>
      <c r="B28" s="46" t="s">
        <v>48</v>
      </c>
      <c r="C28" s="176"/>
    </row>
    <row r="29" spans="1:3" s="4" customFormat="1">
      <c r="A29" s="91">
        <v>24</v>
      </c>
      <c r="B29" s="52" t="s">
        <v>22</v>
      </c>
      <c r="C29" s="175">
        <f>C6-C12</f>
        <v>130788414.68932915</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7.6">
      <c r="A39" s="93">
        <v>33</v>
      </c>
      <c r="B39" s="43" t="s">
        <v>57</v>
      </c>
      <c r="C39" s="176"/>
    </row>
    <row r="40" spans="1:3" s="4" customFormat="1" ht="27.6">
      <c r="A40" s="93">
        <v>34</v>
      </c>
      <c r="B40" s="43" t="s">
        <v>45</v>
      </c>
      <c r="C40" s="176"/>
    </row>
    <row r="41" spans="1:3" s="4" customFormat="1" ht="27.6">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619" t="s">
        <v>723</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7.6">
      <c r="A51" s="93">
        <v>44</v>
      </c>
      <c r="B51" s="43" t="s">
        <v>65</v>
      </c>
      <c r="C51" s="176"/>
    </row>
    <row r="52" spans="1:3" s="4" customFormat="1" ht="27.6">
      <c r="A52" s="93">
        <v>45</v>
      </c>
      <c r="B52" s="43" t="s">
        <v>45</v>
      </c>
      <c r="C52" s="176"/>
    </row>
    <row r="53" spans="1:3" s="4" customFormat="1" ht="1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09375" defaultRowHeight="13.8"/>
  <cols>
    <col min="1" max="1" width="10.88671875" style="218" bestFit="1" customWidth="1"/>
    <col min="2" max="2" width="59" style="218" customWidth="1"/>
    <col min="3" max="3" width="16.6640625" style="218" bestFit="1" customWidth="1"/>
    <col min="4" max="4" width="13.109375" style="218" bestFit="1" customWidth="1"/>
    <col min="5" max="16384" width="9.109375" style="218"/>
  </cols>
  <sheetData>
    <row r="1" spans="1:4">
      <c r="A1" s="17" t="s">
        <v>108</v>
      </c>
      <c r="B1" s="623" t="str">
        <f>'1. key ratios'!B1</f>
        <v>სს იშბანკი საქართველო</v>
      </c>
    </row>
    <row r="2" spans="1:4" s="21" customFormat="1" ht="15.75" customHeight="1">
      <c r="A2" s="21" t="s">
        <v>109</v>
      </c>
      <c r="B2" s="624">
        <f>'1. key ratios'!B2</f>
        <v>45199</v>
      </c>
    </row>
    <row r="3" spans="1:4" s="21" customFormat="1" ht="15.75" customHeight="1"/>
    <row r="4" spans="1:4" ht="14.4" thickBot="1">
      <c r="A4" s="219" t="s">
        <v>357</v>
      </c>
      <c r="B4" s="248" t="s">
        <v>358</v>
      </c>
    </row>
    <row r="5" spans="1:4" s="249" customFormat="1">
      <c r="A5" s="882" t="s">
        <v>359</v>
      </c>
      <c r="B5" s="883"/>
      <c r="C5" s="238" t="s">
        <v>360</v>
      </c>
      <c r="D5" s="239" t="s">
        <v>361</v>
      </c>
    </row>
    <row r="6" spans="1:4" s="250" customFormat="1">
      <c r="A6" s="240">
        <v>1</v>
      </c>
      <c r="B6" s="241" t="s">
        <v>362</v>
      </c>
      <c r="C6" s="241"/>
      <c r="D6" s="242"/>
    </row>
    <row r="7" spans="1:4" s="250" customFormat="1">
      <c r="A7" s="243" t="s">
        <v>363</v>
      </c>
      <c r="B7" s="244" t="s">
        <v>364</v>
      </c>
      <c r="C7" s="295">
        <v>4.4999999999999998E-2</v>
      </c>
      <c r="D7" s="700">
        <f>C7*'5. RWA'!$C$13</f>
        <v>21397905.549584541</v>
      </c>
    </row>
    <row r="8" spans="1:4" s="250" customFormat="1">
      <c r="A8" s="243" t="s">
        <v>365</v>
      </c>
      <c r="B8" s="244" t="s">
        <v>366</v>
      </c>
      <c r="C8" s="296">
        <v>0.06</v>
      </c>
      <c r="D8" s="700">
        <f>C8*'5. RWA'!$C$13</f>
        <v>28530540.732779391</v>
      </c>
    </row>
    <row r="9" spans="1:4" s="250" customFormat="1">
      <c r="A9" s="243" t="s">
        <v>367</v>
      </c>
      <c r="B9" s="244" t="s">
        <v>368</v>
      </c>
      <c r="C9" s="296">
        <v>0.08</v>
      </c>
      <c r="D9" s="700">
        <f>C9*'5. RWA'!$C$13</f>
        <v>38040720.977039188</v>
      </c>
    </row>
    <row r="10" spans="1:4" s="250" customFormat="1">
      <c r="A10" s="240" t="s">
        <v>369</v>
      </c>
      <c r="B10" s="241" t="s">
        <v>370</v>
      </c>
      <c r="C10" s="297"/>
      <c r="D10" s="701"/>
    </row>
    <row r="11" spans="1:4" s="251" customFormat="1">
      <c r="A11" s="245" t="s">
        <v>371</v>
      </c>
      <c r="B11" s="246" t="s">
        <v>433</v>
      </c>
      <c r="C11" s="699">
        <v>2.5000000000000001E-2</v>
      </c>
      <c r="D11" s="702">
        <f>C11*'5. RWA'!$C$13</f>
        <v>11887725.305324748</v>
      </c>
    </row>
    <row r="12" spans="1:4" s="251" customFormat="1">
      <c r="A12" s="245" t="s">
        <v>372</v>
      </c>
      <c r="B12" s="246" t="s">
        <v>373</v>
      </c>
      <c r="C12" s="699">
        <v>0</v>
      </c>
      <c r="D12" s="702">
        <f>C12*'5. RWA'!$C$13</f>
        <v>0</v>
      </c>
    </row>
    <row r="13" spans="1:4" s="251" customFormat="1">
      <c r="A13" s="245" t="s">
        <v>374</v>
      </c>
      <c r="B13" s="246" t="s">
        <v>375</v>
      </c>
      <c r="C13" s="298"/>
      <c r="D13" s="702">
        <f>C13*'5. RWA'!$C$13</f>
        <v>0</v>
      </c>
    </row>
    <row r="14" spans="1:4" s="250" customFormat="1">
      <c r="A14" s="240" t="s">
        <v>376</v>
      </c>
      <c r="B14" s="241" t="s">
        <v>431</v>
      </c>
      <c r="C14" s="299"/>
      <c r="D14" s="701"/>
    </row>
    <row r="15" spans="1:4" s="250" customFormat="1">
      <c r="A15" s="260" t="s">
        <v>379</v>
      </c>
      <c r="B15" s="246" t="s">
        <v>432</v>
      </c>
      <c r="C15" s="699">
        <v>5.6650252057858314E-2</v>
      </c>
      <c r="D15" s="702">
        <f>C15*'5. RWA'!$C$13</f>
        <v>26937705.397649102</v>
      </c>
    </row>
    <row r="16" spans="1:4" s="250" customFormat="1">
      <c r="A16" s="260" t="s">
        <v>380</v>
      </c>
      <c r="B16" s="246" t="s">
        <v>382</v>
      </c>
      <c r="C16" s="699">
        <v>7.2779509011262428E-2</v>
      </c>
      <c r="D16" s="702">
        <f>C16*'5. RWA'!$C$13</f>
        <v>34607312.43929179</v>
      </c>
    </row>
    <row r="17" spans="1:6" s="250" customFormat="1">
      <c r="A17" s="260" t="s">
        <v>381</v>
      </c>
      <c r="B17" s="246" t="s">
        <v>429</v>
      </c>
      <c r="C17" s="699">
        <v>9.4002215528899452E-2</v>
      </c>
      <c r="D17" s="702">
        <f>C17*'5. RWA'!$C$13</f>
        <v>44698900.651979558</v>
      </c>
    </row>
    <row r="18" spans="1:6" s="249" customFormat="1">
      <c r="A18" s="884" t="s">
        <v>430</v>
      </c>
      <c r="B18" s="885"/>
      <c r="C18" s="300" t="s">
        <v>360</v>
      </c>
      <c r="D18" s="294" t="s">
        <v>361</v>
      </c>
    </row>
    <row r="19" spans="1:6" s="250" customFormat="1">
      <c r="A19" s="247">
        <v>4</v>
      </c>
      <c r="B19" s="246" t="s">
        <v>22</v>
      </c>
      <c r="C19" s="298">
        <f>C7+C11+C12+C13+C15</f>
        <v>0.12665025205785832</v>
      </c>
      <c r="D19" s="700">
        <f>C19*'5. RWA'!$C$13</f>
        <v>60223336.252558395</v>
      </c>
    </row>
    <row r="20" spans="1:6" s="250" customFormat="1">
      <c r="A20" s="247">
        <v>5</v>
      </c>
      <c r="B20" s="246" t="s">
        <v>86</v>
      </c>
      <c r="C20" s="298">
        <f>C8+C11+C12+C13+C16</f>
        <v>0.15777950901126242</v>
      </c>
      <c r="D20" s="700">
        <f>C20*'5. RWA'!$C$13</f>
        <v>75025578.477395922</v>
      </c>
    </row>
    <row r="21" spans="1:6" s="250" customFormat="1" ht="14.4" thickBot="1">
      <c r="A21" s="252" t="s">
        <v>377</v>
      </c>
      <c r="B21" s="253" t="s">
        <v>85</v>
      </c>
      <c r="C21" s="301">
        <f>C9+C11+C12+C13+C17</f>
        <v>0.19900221552889946</v>
      </c>
      <c r="D21" s="703">
        <f>C21*'5. RWA'!$C$13</f>
        <v>94627346.934343502</v>
      </c>
    </row>
    <row r="22" spans="1:6">
      <c r="F22" s="219"/>
    </row>
    <row r="23" spans="1:6">
      <c r="B23" s="23"/>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4.4"/>
  <cols>
    <col min="1" max="1" width="10.6640625" style="39" customWidth="1"/>
    <col min="2" max="2" width="91.88671875" style="39" customWidth="1"/>
    <col min="3" max="3" width="53.109375" style="39" customWidth="1"/>
    <col min="4" max="4" width="32.33203125" style="39" customWidth="1"/>
    <col min="5" max="5" width="9.44140625" customWidth="1"/>
  </cols>
  <sheetData>
    <row r="1" spans="1:6">
      <c r="A1" s="17" t="s">
        <v>108</v>
      </c>
      <c r="B1" s="623" t="str">
        <f>'1. key ratios'!B1</f>
        <v>სს იშბანკი საქართველო</v>
      </c>
      <c r="E1" s="2"/>
      <c r="F1" s="2"/>
    </row>
    <row r="2" spans="1:6" s="21" customFormat="1" ht="15.75" customHeight="1">
      <c r="A2" s="21" t="s">
        <v>109</v>
      </c>
      <c r="B2" s="624">
        <f>'1. key ratios'!B2</f>
        <v>45199</v>
      </c>
    </row>
    <row r="3" spans="1:6" s="21" customFormat="1" ht="15.75" customHeight="1">
      <c r="A3" s="26"/>
    </row>
    <row r="4" spans="1:6" s="21" customFormat="1" ht="15.75" customHeight="1" thickBot="1">
      <c r="A4" s="21" t="s">
        <v>258</v>
      </c>
      <c r="B4" s="144" t="s">
        <v>172</v>
      </c>
      <c r="D4" s="146" t="s">
        <v>87</v>
      </c>
    </row>
    <row r="5" spans="1:6" ht="27.6">
      <c r="A5" s="95" t="s">
        <v>25</v>
      </c>
      <c r="B5" s="96" t="s">
        <v>144</v>
      </c>
      <c r="C5" s="97" t="s">
        <v>856</v>
      </c>
      <c r="D5" s="145" t="s">
        <v>173</v>
      </c>
    </row>
    <row r="6" spans="1:6">
      <c r="A6" s="443">
        <v>1</v>
      </c>
      <c r="B6" s="397" t="s">
        <v>841</v>
      </c>
      <c r="C6" s="704">
        <f>SUM(C7:C9)</f>
        <v>126375595.30674212</v>
      </c>
      <c r="D6" s="705"/>
      <c r="E6" s="7"/>
    </row>
    <row r="7" spans="1:6">
      <c r="A7" s="443">
        <v>1.1000000000000001</v>
      </c>
      <c r="B7" s="398" t="s">
        <v>96</v>
      </c>
      <c r="C7" s="706">
        <f>'7. LI1'!C9</f>
        <v>2270470.7790999999</v>
      </c>
      <c r="D7" s="707"/>
      <c r="E7" s="7"/>
    </row>
    <row r="8" spans="1:6">
      <c r="A8" s="443">
        <v>1.2</v>
      </c>
      <c r="B8" s="398" t="s">
        <v>97</v>
      </c>
      <c r="C8" s="706">
        <f>'7. LI1'!C10</f>
        <v>79401790.668326303</v>
      </c>
      <c r="D8" s="707"/>
      <c r="E8" s="7"/>
    </row>
    <row r="9" spans="1:6">
      <c r="A9" s="443">
        <v>1.3</v>
      </c>
      <c r="B9" s="398" t="s">
        <v>98</v>
      </c>
      <c r="C9" s="706">
        <f>'7. LI1'!C11</f>
        <v>44703333.859315813</v>
      </c>
      <c r="D9" s="708"/>
      <c r="E9" s="7"/>
    </row>
    <row r="10" spans="1:6">
      <c r="A10" s="443">
        <v>2</v>
      </c>
      <c r="B10" s="399" t="s">
        <v>728</v>
      </c>
      <c r="C10" s="709">
        <f>C11</f>
        <v>0</v>
      </c>
      <c r="D10" s="708"/>
      <c r="E10" s="7"/>
    </row>
    <row r="11" spans="1:6">
      <c r="A11" s="443">
        <v>2.1</v>
      </c>
      <c r="B11" s="400" t="s">
        <v>729</v>
      </c>
      <c r="C11" s="706">
        <f>'7. LI1'!C13</f>
        <v>0</v>
      </c>
      <c r="D11" s="710"/>
      <c r="E11" s="8"/>
    </row>
    <row r="12" spans="1:6" ht="23.4" customHeight="1">
      <c r="A12" s="443">
        <v>3</v>
      </c>
      <c r="B12" s="401" t="s">
        <v>730</v>
      </c>
      <c r="C12" s="706">
        <f>'7. LI1'!C14</f>
        <v>0</v>
      </c>
      <c r="D12" s="710"/>
      <c r="E12" s="8"/>
    </row>
    <row r="13" spans="1:6" ht="23.1" customHeight="1">
      <c r="A13" s="443">
        <v>4</v>
      </c>
      <c r="B13" s="402" t="s">
        <v>731</v>
      </c>
      <c r="C13" s="706">
        <f>'7. LI1'!C15</f>
        <v>0</v>
      </c>
      <c r="D13" s="710"/>
      <c r="E13" s="8"/>
    </row>
    <row r="14" spans="1:6">
      <c r="A14" s="443">
        <v>5</v>
      </c>
      <c r="B14" s="402" t="s">
        <v>732</v>
      </c>
      <c r="C14" s="711">
        <f>SUM(C15:C17)</f>
        <v>0</v>
      </c>
      <c r="D14" s="710"/>
      <c r="E14" s="8"/>
    </row>
    <row r="15" spans="1:6">
      <c r="A15" s="443">
        <v>5.0999999999999996</v>
      </c>
      <c r="B15" s="403" t="s">
        <v>733</v>
      </c>
      <c r="C15" s="706">
        <f>'7. LI1'!C17</f>
        <v>0</v>
      </c>
      <c r="D15" s="710"/>
      <c r="E15" s="7"/>
    </row>
    <row r="16" spans="1:6">
      <c r="A16" s="443">
        <v>5.2</v>
      </c>
      <c r="B16" s="403" t="s">
        <v>567</v>
      </c>
      <c r="C16" s="706">
        <f>'7. LI1'!C18</f>
        <v>0</v>
      </c>
      <c r="D16" s="708"/>
      <c r="E16" s="7"/>
    </row>
    <row r="17" spans="1:5">
      <c r="A17" s="443">
        <v>5.3</v>
      </c>
      <c r="B17" s="403" t="s">
        <v>734</v>
      </c>
      <c r="C17" s="706">
        <f>'7. LI1'!C19</f>
        <v>0</v>
      </c>
      <c r="D17" s="708"/>
      <c r="E17" s="7"/>
    </row>
    <row r="18" spans="1:5">
      <c r="A18" s="443">
        <v>6</v>
      </c>
      <c r="B18" s="401" t="s">
        <v>735</v>
      </c>
      <c r="C18" s="712">
        <f>SUM(C19:C20)</f>
        <v>303213116.3300615</v>
      </c>
      <c r="D18" s="708"/>
      <c r="E18" s="7"/>
    </row>
    <row r="19" spans="1:5">
      <c r="A19" s="443">
        <v>6.1</v>
      </c>
      <c r="B19" s="403" t="s">
        <v>567</v>
      </c>
      <c r="C19" s="706">
        <f>'7. LI1'!C21</f>
        <v>65752574.387231566</v>
      </c>
      <c r="D19" s="708"/>
      <c r="E19" s="7"/>
    </row>
    <row r="20" spans="1:5">
      <c r="A20" s="443">
        <v>6.2</v>
      </c>
      <c r="B20" s="403" t="s">
        <v>734</v>
      </c>
      <c r="C20" s="706">
        <f>'7. LI1'!C22</f>
        <v>237460541.94282991</v>
      </c>
      <c r="D20" s="708"/>
      <c r="E20" s="7"/>
    </row>
    <row r="21" spans="1:5">
      <c r="A21" s="443">
        <v>7</v>
      </c>
      <c r="B21" s="404" t="s">
        <v>736</v>
      </c>
      <c r="C21" s="706">
        <f>'7. LI1'!C23</f>
        <v>0</v>
      </c>
      <c r="D21" s="708"/>
      <c r="E21" s="7"/>
    </row>
    <row r="22" spans="1:5">
      <c r="A22" s="443">
        <v>8</v>
      </c>
      <c r="B22" s="405" t="s">
        <v>737</v>
      </c>
      <c r="C22" s="706">
        <f>'7. LI1'!C24</f>
        <v>0</v>
      </c>
      <c r="D22" s="708"/>
      <c r="E22" s="7"/>
    </row>
    <row r="23" spans="1:5">
      <c r="A23" s="443">
        <v>9</v>
      </c>
      <c r="B23" s="402" t="s">
        <v>738</v>
      </c>
      <c r="C23" s="712">
        <f>SUM(C24:C25)</f>
        <v>6073902.7700000005</v>
      </c>
      <c r="D23" s="713"/>
      <c r="E23" s="7"/>
    </row>
    <row r="24" spans="1:5">
      <c r="A24" s="443">
        <v>9.1</v>
      </c>
      <c r="B24" s="406" t="s">
        <v>739</v>
      </c>
      <c r="C24" s="706">
        <f>'7. LI1'!C26</f>
        <v>6073902.7700000005</v>
      </c>
      <c r="D24" s="714"/>
      <c r="E24" s="7"/>
    </row>
    <row r="25" spans="1:5">
      <c r="A25" s="443">
        <v>9.1999999999999993</v>
      </c>
      <c r="B25" s="406" t="s">
        <v>740</v>
      </c>
      <c r="C25" s="706">
        <f>'7. LI1'!C27</f>
        <v>0</v>
      </c>
      <c r="D25" s="715"/>
      <c r="E25" s="6"/>
    </row>
    <row r="26" spans="1:5">
      <c r="A26" s="443">
        <v>10</v>
      </c>
      <c r="B26" s="402" t="s">
        <v>36</v>
      </c>
      <c r="C26" s="716">
        <f>SUM(C27:C28)</f>
        <v>177648.31928219183</v>
      </c>
      <c r="D26" s="717" t="s">
        <v>978</v>
      </c>
      <c r="E26" s="7"/>
    </row>
    <row r="27" spans="1:5">
      <c r="A27" s="443">
        <v>10.1</v>
      </c>
      <c r="B27" s="406" t="s">
        <v>741</v>
      </c>
      <c r="C27" s="706">
        <f>'7. LI1'!C29</f>
        <v>0</v>
      </c>
      <c r="D27" s="707"/>
      <c r="E27" s="7"/>
    </row>
    <row r="28" spans="1:5">
      <c r="A28" s="443">
        <v>10.199999999999999</v>
      </c>
      <c r="B28" s="406" t="s">
        <v>742</v>
      </c>
      <c r="C28" s="706">
        <f>'7. LI1'!C30</f>
        <v>177648.31928219183</v>
      </c>
      <c r="D28" s="707"/>
      <c r="E28" s="7"/>
    </row>
    <row r="29" spans="1:5">
      <c r="A29" s="443">
        <v>11</v>
      </c>
      <c r="B29" s="402" t="s">
        <v>743</v>
      </c>
      <c r="C29" s="709">
        <f>SUM(C30:C31)</f>
        <v>4126977.25</v>
      </c>
      <c r="D29" s="707"/>
      <c r="E29" s="7"/>
    </row>
    <row r="30" spans="1:5">
      <c r="A30" s="443">
        <v>11.1</v>
      </c>
      <c r="B30" s="406" t="s">
        <v>744</v>
      </c>
      <c r="C30" s="706">
        <f>'7. LI1'!C32</f>
        <v>4126977.25</v>
      </c>
      <c r="D30" s="707"/>
      <c r="E30" s="7"/>
    </row>
    <row r="31" spans="1:5">
      <c r="A31" s="443">
        <v>11.2</v>
      </c>
      <c r="B31" s="406" t="s">
        <v>745</v>
      </c>
      <c r="C31" s="706">
        <f>'7. LI1'!C33</f>
        <v>0</v>
      </c>
      <c r="D31" s="707"/>
      <c r="E31" s="7"/>
    </row>
    <row r="32" spans="1:5">
      <c r="A32" s="443">
        <v>13</v>
      </c>
      <c r="B32" s="402" t="s">
        <v>99</v>
      </c>
      <c r="C32" s="706">
        <f>'7. LI1'!C34</f>
        <v>3674178.8664237075</v>
      </c>
      <c r="D32" s="707"/>
      <c r="E32" s="7"/>
    </row>
    <row r="33" spans="1:5">
      <c r="A33" s="443">
        <v>13.1</v>
      </c>
      <c r="B33" s="407" t="s">
        <v>746</v>
      </c>
      <c r="C33" s="706">
        <f>'7. LI1'!C35</f>
        <v>1349093.18</v>
      </c>
      <c r="D33" s="707"/>
      <c r="E33" s="7"/>
    </row>
    <row r="34" spans="1:5">
      <c r="A34" s="443">
        <v>13.2</v>
      </c>
      <c r="B34" s="407" t="s">
        <v>747</v>
      </c>
      <c r="C34" s="706">
        <f>'7. LI1'!C36</f>
        <v>0</v>
      </c>
      <c r="D34" s="718"/>
      <c r="E34" s="7"/>
    </row>
    <row r="35" spans="1:5">
      <c r="A35" s="443">
        <v>14</v>
      </c>
      <c r="B35" s="408" t="s">
        <v>748</v>
      </c>
      <c r="C35" s="719">
        <f>SUM(C6,C10,C12,C13,C14,C18,C21,C22,C23,C26,C29,C32)</f>
        <v>443641418.84250951</v>
      </c>
      <c r="D35" s="718"/>
      <c r="E35" s="7"/>
    </row>
    <row r="36" spans="1:5">
      <c r="A36" s="443"/>
      <c r="B36" s="409" t="s">
        <v>104</v>
      </c>
      <c r="C36" s="720"/>
      <c r="D36" s="721"/>
      <c r="E36" s="7"/>
    </row>
    <row r="37" spans="1:5">
      <c r="A37" s="443">
        <v>15</v>
      </c>
      <c r="B37" s="410" t="s">
        <v>749</v>
      </c>
      <c r="C37" s="722">
        <f>C38</f>
        <v>0</v>
      </c>
      <c r="D37" s="715"/>
      <c r="E37" s="6"/>
    </row>
    <row r="38" spans="1:5">
      <c r="A38" s="443">
        <v>15.1</v>
      </c>
      <c r="B38" s="413" t="s">
        <v>729</v>
      </c>
      <c r="C38" s="723">
        <f>'2. SOFP'!E39</f>
        <v>0</v>
      </c>
      <c r="D38" s="707"/>
      <c r="E38" s="7"/>
    </row>
    <row r="39" spans="1:5" ht="20.399999999999999">
      <c r="A39" s="443">
        <v>16</v>
      </c>
      <c r="B39" s="404" t="s">
        <v>750</v>
      </c>
      <c r="C39" s="723">
        <f>'2. SOFP'!E40</f>
        <v>0</v>
      </c>
      <c r="D39" s="707"/>
      <c r="E39" s="7"/>
    </row>
    <row r="40" spans="1:5">
      <c r="A40" s="443">
        <v>17</v>
      </c>
      <c r="B40" s="404" t="s">
        <v>751</v>
      </c>
      <c r="C40" s="709">
        <f>SUM(C41:C44)</f>
        <v>305000374.84109408</v>
      </c>
      <c r="D40" s="707"/>
      <c r="E40" s="7"/>
    </row>
    <row r="41" spans="1:5">
      <c r="A41" s="443">
        <v>17.100000000000001</v>
      </c>
      <c r="B41" s="414" t="s">
        <v>752</v>
      </c>
      <c r="C41" s="723">
        <f>'2. SOFP'!E42</f>
        <v>255211561.2245757</v>
      </c>
      <c r="D41" s="707"/>
      <c r="E41" s="7"/>
    </row>
    <row r="42" spans="1:5">
      <c r="A42" s="457">
        <v>17.2</v>
      </c>
      <c r="B42" s="458" t="s">
        <v>100</v>
      </c>
      <c r="C42" s="723">
        <f>'2. SOFP'!E43</f>
        <v>44963468.295112357</v>
      </c>
      <c r="D42" s="707"/>
      <c r="E42" s="7"/>
    </row>
    <row r="43" spans="1:5">
      <c r="A43" s="443">
        <v>17.3</v>
      </c>
      <c r="B43" s="459" t="s">
        <v>753</v>
      </c>
      <c r="C43" s="723">
        <f>'2. SOFP'!E44</f>
        <v>0</v>
      </c>
      <c r="D43" s="718"/>
      <c r="E43" s="7"/>
    </row>
    <row r="44" spans="1:5">
      <c r="A44" s="443">
        <v>17.399999999999999</v>
      </c>
      <c r="B44" s="459" t="s">
        <v>754</v>
      </c>
      <c r="C44" s="723">
        <f>'2. SOFP'!E45</f>
        <v>4825345.3214060003</v>
      </c>
      <c r="D44" s="725"/>
      <c r="E44" s="7"/>
    </row>
    <row r="45" spans="1:5">
      <c r="A45" s="443">
        <v>18</v>
      </c>
      <c r="B45" s="460" t="s">
        <v>755</v>
      </c>
      <c r="C45" s="723">
        <f>'2. SOFP'!E46</f>
        <v>410196.47129417607</v>
      </c>
      <c r="D45" s="726"/>
      <c r="E45" s="6"/>
    </row>
    <row r="46" spans="1:5">
      <c r="A46" s="443">
        <v>19</v>
      </c>
      <c r="B46" s="460" t="s">
        <v>756</v>
      </c>
      <c r="C46" s="724">
        <f>SUM(C47:C48)</f>
        <v>4422961.04</v>
      </c>
      <c r="D46" s="727"/>
    </row>
    <row r="47" spans="1:5">
      <c r="A47" s="443">
        <v>19.100000000000001</v>
      </c>
      <c r="B47" s="461" t="s">
        <v>757</v>
      </c>
      <c r="C47" s="723">
        <f>'2. SOFP'!E48</f>
        <v>4422961.04</v>
      </c>
      <c r="D47" s="727"/>
    </row>
    <row r="48" spans="1:5">
      <c r="A48" s="443">
        <v>19.2</v>
      </c>
      <c r="B48" s="461" t="s">
        <v>758</v>
      </c>
      <c r="C48" s="723">
        <f>'2. SOFP'!E49</f>
        <v>0</v>
      </c>
      <c r="D48" s="727"/>
    </row>
    <row r="49" spans="1:4">
      <c r="A49" s="443">
        <v>20</v>
      </c>
      <c r="B49" s="419" t="s">
        <v>101</v>
      </c>
      <c r="C49" s="723">
        <f>'2. SOFP'!E50</f>
        <v>0</v>
      </c>
      <c r="D49" s="727"/>
    </row>
    <row r="50" spans="1:4">
      <c r="A50" s="443">
        <v>21</v>
      </c>
      <c r="B50" s="420" t="s">
        <v>89</v>
      </c>
      <c r="C50" s="723">
        <f>'2. SOFP'!E51</f>
        <v>2841823.4815099174</v>
      </c>
      <c r="D50" s="727"/>
    </row>
    <row r="51" spans="1:4">
      <c r="A51" s="443">
        <v>21.1</v>
      </c>
      <c r="B51" s="415" t="s">
        <v>759</v>
      </c>
      <c r="C51" s="723">
        <f>'2. SOFP'!E52</f>
        <v>0</v>
      </c>
      <c r="D51" s="727"/>
    </row>
    <row r="52" spans="1:4">
      <c r="A52" s="443">
        <v>22</v>
      </c>
      <c r="B52" s="419" t="s">
        <v>760</v>
      </c>
      <c r="C52" s="719">
        <f>SUM(C37,C39,C40,C45,C46,C49,C50)</f>
        <v>312675355.83389819</v>
      </c>
      <c r="D52" s="727"/>
    </row>
    <row r="53" spans="1:4">
      <c r="A53" s="443"/>
      <c r="B53" s="421" t="s">
        <v>761</v>
      </c>
      <c r="C53" s="728"/>
      <c r="D53" s="727"/>
    </row>
    <row r="54" spans="1:4">
      <c r="A54" s="443">
        <v>23</v>
      </c>
      <c r="B54" s="419" t="s">
        <v>105</v>
      </c>
      <c r="C54" s="723">
        <f>'2. SOFP'!E55</f>
        <v>69161600</v>
      </c>
      <c r="D54" s="717" t="s">
        <v>979</v>
      </c>
    </row>
    <row r="55" spans="1:4">
      <c r="A55" s="443">
        <v>24</v>
      </c>
      <c r="B55" s="419" t="s">
        <v>762</v>
      </c>
      <c r="C55" s="723">
        <f>'2. SOFP'!E56</f>
        <v>0</v>
      </c>
      <c r="D55" s="727"/>
    </row>
    <row r="56" spans="1:4">
      <c r="A56" s="443">
        <v>25</v>
      </c>
      <c r="B56" s="422" t="s">
        <v>102</v>
      </c>
      <c r="C56" s="723">
        <f>'2. SOFP'!E57</f>
        <v>0</v>
      </c>
      <c r="D56" s="727"/>
    </row>
    <row r="57" spans="1:4">
      <c r="A57" s="443">
        <v>26</v>
      </c>
      <c r="B57" s="460" t="s">
        <v>763</v>
      </c>
      <c r="C57" s="723">
        <f>'2. SOFP'!E58</f>
        <v>0</v>
      </c>
      <c r="D57" s="727"/>
    </row>
    <row r="58" spans="1:4">
      <c r="A58" s="443">
        <v>27</v>
      </c>
      <c r="B58" s="460" t="s">
        <v>764</v>
      </c>
      <c r="C58" s="729">
        <f>SUM(C59:C60)</f>
        <v>0</v>
      </c>
      <c r="D58" s="727"/>
    </row>
    <row r="59" spans="1:4">
      <c r="A59" s="443">
        <v>27.1</v>
      </c>
      <c r="B59" s="462" t="s">
        <v>765</v>
      </c>
      <c r="C59" s="723">
        <f>'2. SOFP'!E60</f>
        <v>0</v>
      </c>
      <c r="D59" s="727"/>
    </row>
    <row r="60" spans="1:4">
      <c r="A60" s="443">
        <v>27.2</v>
      </c>
      <c r="B60" s="459" t="s">
        <v>766</v>
      </c>
      <c r="C60" s="723">
        <f>'2. SOFP'!E61</f>
        <v>0</v>
      </c>
      <c r="D60" s="727"/>
    </row>
    <row r="61" spans="1:4">
      <c r="A61" s="443">
        <v>28</v>
      </c>
      <c r="B61" s="420" t="s">
        <v>767</v>
      </c>
      <c r="C61" s="723">
        <f>'2. SOFP'!E62</f>
        <v>0</v>
      </c>
      <c r="D61" s="727"/>
    </row>
    <row r="62" spans="1:4">
      <c r="A62" s="443">
        <v>29</v>
      </c>
      <c r="B62" s="460" t="s">
        <v>768</v>
      </c>
      <c r="C62" s="729">
        <f>SUM(C63:C65)</f>
        <v>0</v>
      </c>
      <c r="D62" s="727"/>
    </row>
    <row r="63" spans="1:4">
      <c r="A63" s="443">
        <v>29.1</v>
      </c>
      <c r="B63" s="463" t="s">
        <v>769</v>
      </c>
      <c r="C63" s="723">
        <f>'2. SOFP'!E64</f>
        <v>0</v>
      </c>
      <c r="D63" s="727"/>
    </row>
    <row r="64" spans="1:4" ht="24" customHeight="1">
      <c r="A64" s="443">
        <v>29.2</v>
      </c>
      <c r="B64" s="462" t="s">
        <v>770</v>
      </c>
      <c r="C64" s="723">
        <f>'2. SOFP'!E65</f>
        <v>0</v>
      </c>
      <c r="D64" s="727"/>
    </row>
    <row r="65" spans="1:4" ht="21.9" customHeight="1">
      <c r="A65" s="443">
        <v>29.3</v>
      </c>
      <c r="B65" s="464" t="s">
        <v>771</v>
      </c>
      <c r="C65" s="723">
        <f>'2. SOFP'!E66</f>
        <v>0</v>
      </c>
      <c r="D65" s="727"/>
    </row>
    <row r="66" spans="1:4">
      <c r="A66" s="443">
        <v>30</v>
      </c>
      <c r="B66" s="425" t="s">
        <v>103</v>
      </c>
      <c r="C66" s="723">
        <f>'2. SOFP'!E67</f>
        <v>61804463.008611336</v>
      </c>
      <c r="D66" s="717" t="s">
        <v>980</v>
      </c>
    </row>
    <row r="67" spans="1:4">
      <c r="A67" s="443">
        <v>31</v>
      </c>
      <c r="B67" s="424" t="s">
        <v>772</v>
      </c>
      <c r="C67" s="719">
        <f>SUM(C54,C55,C56,C57,C58,C61,C62,C66)</f>
        <v>130966063.00861134</v>
      </c>
      <c r="D67" s="727"/>
    </row>
    <row r="68" spans="1:4" ht="15" thickBot="1">
      <c r="A68" s="443">
        <v>32</v>
      </c>
      <c r="B68" s="425" t="s">
        <v>773</v>
      </c>
      <c r="C68" s="730">
        <f>SUM(C52,C67)</f>
        <v>443641418.84250951</v>
      </c>
      <c r="D68" s="73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09375" defaultRowHeight="13.8"/>
  <cols>
    <col min="1" max="1" width="10.5546875" style="2" bestFit="1" customWidth="1"/>
    <col min="2" max="2" width="97" style="2" bestFit="1" customWidth="1"/>
    <col min="3" max="3" width="12.88671875" style="2" bestFit="1" customWidth="1"/>
    <col min="4" max="4" width="13.44140625" style="2" bestFit="1" customWidth="1"/>
    <col min="5" max="5" width="12.88671875" style="2" bestFit="1" customWidth="1"/>
    <col min="6" max="6" width="13.44140625" style="2" bestFit="1" customWidth="1"/>
    <col min="7" max="7" width="9.5546875" style="2" bestFit="1" customWidth="1"/>
    <col min="8" max="8" width="13.44140625" style="2" bestFit="1" customWidth="1"/>
    <col min="9" max="9" width="14" style="2" bestFit="1" customWidth="1"/>
    <col min="10" max="10" width="13.44140625" style="2" bestFit="1" customWidth="1"/>
    <col min="11" max="11" width="9.5546875" style="2" bestFit="1" customWidth="1"/>
    <col min="12" max="12" width="13.44140625" style="2" bestFit="1" customWidth="1"/>
    <col min="13" max="13" width="15" style="2" bestFit="1" customWidth="1"/>
    <col min="14" max="14" width="14" style="2" bestFit="1" customWidth="1"/>
    <col min="15" max="15" width="9.5546875" style="2" bestFit="1" customWidth="1"/>
    <col min="16" max="16" width="13.44140625" style="2" bestFit="1" customWidth="1"/>
    <col min="17" max="17" width="9.5546875" style="2" bestFit="1" customWidth="1"/>
    <col min="18" max="18" width="13.44140625" style="2" bestFit="1" customWidth="1"/>
    <col min="19" max="19" width="31.6640625" style="2" bestFit="1" customWidth="1"/>
    <col min="20" max="16384" width="9.109375" style="12"/>
  </cols>
  <sheetData>
    <row r="1" spans="1:19">
      <c r="A1" s="2" t="s">
        <v>108</v>
      </c>
      <c r="B1" s="623" t="str">
        <f>'1. key ratios'!B1</f>
        <v>სს იშბანკი საქართველო</v>
      </c>
    </row>
    <row r="2" spans="1:19">
      <c r="A2" s="2" t="s">
        <v>109</v>
      </c>
      <c r="B2" s="624">
        <f>'1. key ratios'!B2</f>
        <v>45199</v>
      </c>
    </row>
    <row r="4" spans="1:19" ht="28.2"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890" t="s">
        <v>286</v>
      </c>
      <c r="C6" s="888">
        <v>0</v>
      </c>
      <c r="D6" s="889"/>
      <c r="E6" s="888">
        <v>0.2</v>
      </c>
      <c r="F6" s="889"/>
      <c r="G6" s="888">
        <v>0.35</v>
      </c>
      <c r="H6" s="889"/>
      <c r="I6" s="888">
        <v>0.5</v>
      </c>
      <c r="J6" s="889"/>
      <c r="K6" s="888">
        <v>0.75</v>
      </c>
      <c r="L6" s="889"/>
      <c r="M6" s="888">
        <v>1</v>
      </c>
      <c r="N6" s="889"/>
      <c r="O6" s="888">
        <v>1.5</v>
      </c>
      <c r="P6" s="889"/>
      <c r="Q6" s="888">
        <v>2.5</v>
      </c>
      <c r="R6" s="889"/>
      <c r="S6" s="886" t="s">
        <v>156</v>
      </c>
    </row>
    <row r="7" spans="1:19">
      <c r="A7" s="99"/>
      <c r="B7" s="891"/>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887"/>
    </row>
    <row r="8" spans="1:19" s="102" customFormat="1">
      <c r="A8" s="83">
        <v>1</v>
      </c>
      <c r="B8" s="120" t="s">
        <v>134</v>
      </c>
      <c r="C8" s="733">
        <v>9492179.928357793</v>
      </c>
      <c r="D8" s="733"/>
      <c r="E8" s="733"/>
      <c r="F8" s="733"/>
      <c r="G8" s="733"/>
      <c r="H8" s="733"/>
      <c r="I8" s="733"/>
      <c r="J8" s="733"/>
      <c r="K8" s="733"/>
      <c r="L8" s="733"/>
      <c r="M8" s="733">
        <v>76434919.223775208</v>
      </c>
      <c r="N8" s="733"/>
      <c r="O8" s="733"/>
      <c r="P8" s="733"/>
      <c r="Q8" s="733"/>
      <c r="R8" s="733"/>
      <c r="S8" s="734">
        <f>$C$6*SUM(C8:D8)+$E$6*SUM(E8:F8)+$G$6*SUM(G8:H8)+$I$6*SUM(I8:J8)+$K$6*SUM(K8:L8)+$M$6*SUM(M8:N8)+$O$6*SUM(O8:P8)+$Q$6*SUM(Q8:R8)</f>
        <v>76434919.223775208</v>
      </c>
    </row>
    <row r="9" spans="1:19" s="102" customFormat="1">
      <c r="A9" s="83">
        <v>2</v>
      </c>
      <c r="B9" s="120" t="s">
        <v>135</v>
      </c>
      <c r="C9" s="733"/>
      <c r="D9" s="733"/>
      <c r="E9" s="733"/>
      <c r="F9" s="733"/>
      <c r="G9" s="733"/>
      <c r="H9" s="733"/>
      <c r="I9" s="733"/>
      <c r="J9" s="733"/>
      <c r="K9" s="733"/>
      <c r="L9" s="733"/>
      <c r="M9" s="733"/>
      <c r="N9" s="733"/>
      <c r="O9" s="733"/>
      <c r="P9" s="733"/>
      <c r="Q9" s="733"/>
      <c r="R9" s="733"/>
      <c r="S9" s="734">
        <f t="shared" ref="S9:S21" si="0">$C$6*SUM(C9:D9)+$E$6*SUM(E9:F9)+$G$6*SUM(G9:H9)+$I$6*SUM(I9:J9)+$K$6*SUM(K9:L9)+$M$6*SUM(M9:N9)+$O$6*SUM(O9:P9)+$Q$6*SUM(Q9:R9)</f>
        <v>0</v>
      </c>
    </row>
    <row r="10" spans="1:19" s="102" customFormat="1">
      <c r="A10" s="83">
        <v>3</v>
      </c>
      <c r="B10" s="120" t="s">
        <v>136</v>
      </c>
      <c r="C10" s="733"/>
      <c r="D10" s="733"/>
      <c r="E10" s="733"/>
      <c r="F10" s="733"/>
      <c r="G10" s="733"/>
      <c r="H10" s="733"/>
      <c r="I10" s="733"/>
      <c r="J10" s="733"/>
      <c r="K10" s="733"/>
      <c r="L10" s="733"/>
      <c r="M10" s="733"/>
      <c r="N10" s="733"/>
      <c r="O10" s="733"/>
      <c r="P10" s="733"/>
      <c r="Q10" s="733"/>
      <c r="R10" s="733"/>
      <c r="S10" s="734">
        <f t="shared" si="0"/>
        <v>0</v>
      </c>
    </row>
    <row r="11" spans="1:19" s="102" customFormat="1">
      <c r="A11" s="83">
        <v>4</v>
      </c>
      <c r="B11" s="120" t="s">
        <v>137</v>
      </c>
      <c r="C11" s="733"/>
      <c r="D11" s="733"/>
      <c r="E11" s="733"/>
      <c r="F11" s="733"/>
      <c r="G11" s="733"/>
      <c r="H11" s="733"/>
      <c r="I11" s="733"/>
      <c r="J11" s="733"/>
      <c r="K11" s="733"/>
      <c r="L11" s="733"/>
      <c r="M11" s="733"/>
      <c r="N11" s="733"/>
      <c r="O11" s="733"/>
      <c r="P11" s="733"/>
      <c r="Q11" s="733"/>
      <c r="R11" s="733"/>
      <c r="S11" s="734">
        <f t="shared" si="0"/>
        <v>0</v>
      </c>
    </row>
    <row r="12" spans="1:19" s="102" customFormat="1">
      <c r="A12" s="83">
        <v>5</v>
      </c>
      <c r="B12" s="120" t="s">
        <v>946</v>
      </c>
      <c r="C12" s="733"/>
      <c r="D12" s="733"/>
      <c r="E12" s="733"/>
      <c r="F12" s="733"/>
      <c r="G12" s="733"/>
      <c r="H12" s="733"/>
      <c r="I12" s="733"/>
      <c r="J12" s="733"/>
      <c r="K12" s="733"/>
      <c r="L12" s="733"/>
      <c r="M12" s="733"/>
      <c r="N12" s="733"/>
      <c r="O12" s="733"/>
      <c r="P12" s="733"/>
      <c r="Q12" s="733"/>
      <c r="R12" s="733"/>
      <c r="S12" s="734">
        <f t="shared" si="0"/>
        <v>0</v>
      </c>
    </row>
    <row r="13" spans="1:19" s="102" customFormat="1">
      <c r="A13" s="83">
        <v>6</v>
      </c>
      <c r="B13" s="120" t="s">
        <v>138</v>
      </c>
      <c r="C13" s="733"/>
      <c r="D13" s="733"/>
      <c r="E13" s="733">
        <v>29944275.284572877</v>
      </c>
      <c r="F13" s="733">
        <v>0</v>
      </c>
      <c r="G13" s="733"/>
      <c r="H13" s="733"/>
      <c r="I13" s="733">
        <v>20360361.864702024</v>
      </c>
      <c r="J13" s="733">
        <v>8112292.3558775233</v>
      </c>
      <c r="K13" s="733"/>
      <c r="L13" s="733"/>
      <c r="M13" s="733">
        <v>37475796.170621127</v>
      </c>
      <c r="N13" s="733">
        <v>28515618.390981618</v>
      </c>
      <c r="O13" s="733"/>
      <c r="P13" s="733"/>
      <c r="Q13" s="733"/>
      <c r="R13" s="733"/>
      <c r="S13" s="734">
        <f t="shared" si="0"/>
        <v>86216596.728807092</v>
      </c>
    </row>
    <row r="14" spans="1:19" s="102" customFormat="1">
      <c r="A14" s="83">
        <v>7</v>
      </c>
      <c r="B14" s="120" t="s">
        <v>71</v>
      </c>
      <c r="C14" s="733"/>
      <c r="D14" s="733"/>
      <c r="E14" s="733"/>
      <c r="F14" s="733"/>
      <c r="G14" s="733"/>
      <c r="H14" s="733"/>
      <c r="I14" s="733"/>
      <c r="J14" s="733"/>
      <c r="K14" s="733"/>
      <c r="L14" s="733"/>
      <c r="M14" s="733">
        <v>245111522.98539332</v>
      </c>
      <c r="N14" s="733">
        <v>20957778.2088314</v>
      </c>
      <c r="O14" s="733"/>
      <c r="P14" s="733"/>
      <c r="Q14" s="733"/>
      <c r="R14" s="733"/>
      <c r="S14" s="734">
        <f t="shared" si="0"/>
        <v>266069301.19422472</v>
      </c>
    </row>
    <row r="15" spans="1:19" s="102" customFormat="1">
      <c r="A15" s="83">
        <v>8</v>
      </c>
      <c r="B15" s="120" t="s">
        <v>72</v>
      </c>
      <c r="C15" s="733"/>
      <c r="D15" s="733"/>
      <c r="E15" s="733"/>
      <c r="F15" s="733"/>
      <c r="G15" s="733"/>
      <c r="H15" s="733"/>
      <c r="I15" s="733"/>
      <c r="J15" s="733"/>
      <c r="K15" s="733"/>
      <c r="L15" s="733"/>
      <c r="M15" s="733"/>
      <c r="N15" s="733">
        <v>19182</v>
      </c>
      <c r="O15" s="733"/>
      <c r="P15" s="733"/>
      <c r="Q15" s="733"/>
      <c r="R15" s="733"/>
      <c r="S15" s="734">
        <f t="shared" si="0"/>
        <v>19182</v>
      </c>
    </row>
    <row r="16" spans="1:19" s="102" customFormat="1">
      <c r="A16" s="83">
        <v>9</v>
      </c>
      <c r="B16" s="120" t="s">
        <v>947</v>
      </c>
      <c r="C16" s="733"/>
      <c r="D16" s="733"/>
      <c r="E16" s="733"/>
      <c r="F16" s="733"/>
      <c r="G16" s="733"/>
      <c r="H16" s="733"/>
      <c r="I16" s="733"/>
      <c r="J16" s="733"/>
      <c r="K16" s="733"/>
      <c r="L16" s="733"/>
      <c r="M16" s="733"/>
      <c r="N16" s="733"/>
      <c r="O16" s="733"/>
      <c r="P16" s="733"/>
      <c r="Q16" s="733"/>
      <c r="R16" s="733"/>
      <c r="S16" s="734">
        <f t="shared" si="0"/>
        <v>0</v>
      </c>
    </row>
    <row r="17" spans="1:19" s="102" customFormat="1">
      <c r="A17" s="83">
        <v>10</v>
      </c>
      <c r="B17" s="120" t="s">
        <v>67</v>
      </c>
      <c r="C17" s="733"/>
      <c r="D17" s="733"/>
      <c r="E17" s="733"/>
      <c r="F17" s="733"/>
      <c r="G17" s="733"/>
      <c r="H17" s="733"/>
      <c r="I17" s="733"/>
      <c r="J17" s="733"/>
      <c r="K17" s="733"/>
      <c r="L17" s="733"/>
      <c r="M17" s="733">
        <v>96166.460206131189</v>
      </c>
      <c r="N17" s="733"/>
      <c r="O17" s="733"/>
      <c r="P17" s="733"/>
      <c r="Q17" s="733"/>
      <c r="R17" s="733"/>
      <c r="S17" s="734">
        <f t="shared" si="0"/>
        <v>96166.460206131189</v>
      </c>
    </row>
    <row r="18" spans="1:19" s="102" customFormat="1">
      <c r="A18" s="83">
        <v>11</v>
      </c>
      <c r="B18" s="120" t="s">
        <v>68</v>
      </c>
      <c r="C18" s="733"/>
      <c r="D18" s="733"/>
      <c r="E18" s="733"/>
      <c r="F18" s="733"/>
      <c r="G18" s="733"/>
      <c r="H18" s="733"/>
      <c r="I18" s="733"/>
      <c r="J18" s="733"/>
      <c r="K18" s="733"/>
      <c r="L18" s="733"/>
      <c r="M18" s="733"/>
      <c r="N18" s="733"/>
      <c r="O18" s="733"/>
      <c r="P18" s="733"/>
      <c r="Q18" s="733"/>
      <c r="R18" s="733"/>
      <c r="S18" s="734">
        <f t="shared" si="0"/>
        <v>0</v>
      </c>
    </row>
    <row r="19" spans="1:19" s="102" customFormat="1">
      <c r="A19" s="83">
        <v>12</v>
      </c>
      <c r="B19" s="120" t="s">
        <v>69</v>
      </c>
      <c r="C19" s="733"/>
      <c r="D19" s="733"/>
      <c r="E19" s="733"/>
      <c r="F19" s="733"/>
      <c r="G19" s="733"/>
      <c r="H19" s="733"/>
      <c r="I19" s="733"/>
      <c r="J19" s="733"/>
      <c r="K19" s="733"/>
      <c r="L19" s="733"/>
      <c r="M19" s="733"/>
      <c r="N19" s="733"/>
      <c r="O19" s="733"/>
      <c r="P19" s="733"/>
      <c r="Q19" s="733"/>
      <c r="R19" s="733"/>
      <c r="S19" s="734">
        <f t="shared" si="0"/>
        <v>0</v>
      </c>
    </row>
    <row r="20" spans="1:19" s="102" customFormat="1">
      <c r="A20" s="83">
        <v>13</v>
      </c>
      <c r="B20" s="120" t="s">
        <v>70</v>
      </c>
      <c r="C20" s="733"/>
      <c r="D20" s="733"/>
      <c r="E20" s="733"/>
      <c r="F20" s="733"/>
      <c r="G20" s="733"/>
      <c r="H20" s="733"/>
      <c r="I20" s="733"/>
      <c r="J20" s="733"/>
      <c r="K20" s="733"/>
      <c r="L20" s="733"/>
      <c r="M20" s="733"/>
      <c r="N20" s="733"/>
      <c r="O20" s="733"/>
      <c r="P20" s="733"/>
      <c r="Q20" s="733"/>
      <c r="R20" s="733"/>
      <c r="S20" s="734">
        <f t="shared" si="0"/>
        <v>0</v>
      </c>
    </row>
    <row r="21" spans="1:19" s="102" customFormat="1">
      <c r="A21" s="83">
        <v>14</v>
      </c>
      <c r="B21" s="120" t="s">
        <v>154</v>
      </c>
      <c r="C21" s="733">
        <v>2270470.7790999999</v>
      </c>
      <c r="D21" s="733"/>
      <c r="E21" s="733"/>
      <c r="F21" s="733"/>
      <c r="G21" s="733"/>
      <c r="H21" s="733"/>
      <c r="I21" s="733"/>
      <c r="J21" s="733"/>
      <c r="K21" s="733"/>
      <c r="L21" s="733"/>
      <c r="M21" s="733">
        <v>22278077.826498821</v>
      </c>
      <c r="N21" s="733"/>
      <c r="O21" s="733"/>
      <c r="P21" s="733"/>
      <c r="Q21" s="733"/>
      <c r="R21" s="733"/>
      <c r="S21" s="734">
        <f t="shared" si="0"/>
        <v>22278077.826498821</v>
      </c>
    </row>
    <row r="22" spans="1:19" ht="14.4" thickBot="1">
      <c r="A22" s="65"/>
      <c r="B22" s="104" t="s">
        <v>66</v>
      </c>
      <c r="C22" s="735">
        <f>SUM(C8:C21)</f>
        <v>11762650.707457792</v>
      </c>
      <c r="D22" s="735">
        <f t="shared" ref="D22:S22" si="1">SUM(D8:D21)</f>
        <v>0</v>
      </c>
      <c r="E22" s="735">
        <f t="shared" si="1"/>
        <v>29944275.284572877</v>
      </c>
      <c r="F22" s="735">
        <f t="shared" si="1"/>
        <v>0</v>
      </c>
      <c r="G22" s="735">
        <f t="shared" si="1"/>
        <v>0</v>
      </c>
      <c r="H22" s="735">
        <f t="shared" si="1"/>
        <v>0</v>
      </c>
      <c r="I22" s="735">
        <f t="shared" si="1"/>
        <v>20360361.864702024</v>
      </c>
      <c r="J22" s="735">
        <f t="shared" si="1"/>
        <v>8112292.3558775233</v>
      </c>
      <c r="K22" s="735">
        <f t="shared" si="1"/>
        <v>0</v>
      </c>
      <c r="L22" s="735">
        <f t="shared" si="1"/>
        <v>0</v>
      </c>
      <c r="M22" s="735">
        <f t="shared" si="1"/>
        <v>381396482.66649461</v>
      </c>
      <c r="N22" s="735">
        <f t="shared" si="1"/>
        <v>49492578.599813014</v>
      </c>
      <c r="O22" s="735">
        <f t="shared" si="1"/>
        <v>0</v>
      </c>
      <c r="P22" s="735">
        <f t="shared" si="1"/>
        <v>0</v>
      </c>
      <c r="Q22" s="735">
        <f t="shared" si="1"/>
        <v>0</v>
      </c>
      <c r="R22" s="735">
        <f t="shared" si="1"/>
        <v>0</v>
      </c>
      <c r="S22" s="736">
        <f t="shared" si="1"/>
        <v>451114243.43351197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2"/>
  </cols>
  <sheetData>
    <row r="1" spans="1:22">
      <c r="A1" s="2" t="s">
        <v>108</v>
      </c>
      <c r="B1" s="623" t="str">
        <f>'1. key ratios'!B1</f>
        <v>სს იშბანკი საქართველო</v>
      </c>
    </row>
    <row r="2" spans="1:22">
      <c r="A2" s="2" t="s">
        <v>109</v>
      </c>
      <c r="B2" s="624">
        <f>'1. key ratios'!B2</f>
        <v>45199</v>
      </c>
    </row>
    <row r="4" spans="1:22" ht="28.2" thickBot="1">
      <c r="A4" s="2" t="s">
        <v>260</v>
      </c>
      <c r="B4" s="193" t="s">
        <v>295</v>
      </c>
      <c r="V4" s="146" t="s">
        <v>87</v>
      </c>
    </row>
    <row r="5" spans="1:22">
      <c r="A5" s="63"/>
      <c r="B5" s="64"/>
      <c r="C5" s="892" t="s">
        <v>116</v>
      </c>
      <c r="D5" s="893"/>
      <c r="E5" s="893"/>
      <c r="F5" s="893"/>
      <c r="G5" s="893"/>
      <c r="H5" s="893"/>
      <c r="I5" s="893"/>
      <c r="J5" s="893"/>
      <c r="K5" s="893"/>
      <c r="L5" s="894"/>
      <c r="M5" s="892" t="s">
        <v>117</v>
      </c>
      <c r="N5" s="893"/>
      <c r="O5" s="893"/>
      <c r="P5" s="893"/>
      <c r="Q5" s="893"/>
      <c r="R5" s="893"/>
      <c r="S5" s="894"/>
      <c r="T5" s="897" t="s">
        <v>293</v>
      </c>
      <c r="U5" s="897" t="s">
        <v>292</v>
      </c>
      <c r="V5" s="895" t="s">
        <v>118</v>
      </c>
    </row>
    <row r="6" spans="1:22" s="38" customFormat="1" ht="138">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898"/>
      <c r="U6" s="898"/>
      <c r="V6" s="896"/>
    </row>
    <row r="7" spans="1:22" s="102" customFormat="1">
      <c r="A7" s="103">
        <v>1</v>
      </c>
      <c r="B7" s="120" t="s">
        <v>134</v>
      </c>
      <c r="C7" s="737"/>
      <c r="D7" s="732"/>
      <c r="E7" s="732"/>
      <c r="F7" s="732"/>
      <c r="G7" s="732"/>
      <c r="H7" s="732"/>
      <c r="I7" s="732"/>
      <c r="J7" s="732"/>
      <c r="K7" s="732"/>
      <c r="L7" s="738"/>
      <c r="M7" s="737"/>
      <c r="N7" s="732"/>
      <c r="O7" s="732"/>
      <c r="P7" s="732"/>
      <c r="Q7" s="732"/>
      <c r="R7" s="732"/>
      <c r="S7" s="738"/>
      <c r="T7" s="739"/>
      <c r="U7" s="739"/>
      <c r="V7" s="740">
        <f>SUM(C7:S7)</f>
        <v>0</v>
      </c>
    </row>
    <row r="8" spans="1:22" s="102" customFormat="1">
      <c r="A8" s="103">
        <v>2</v>
      </c>
      <c r="B8" s="120" t="s">
        <v>135</v>
      </c>
      <c r="C8" s="737"/>
      <c r="D8" s="732"/>
      <c r="E8" s="732"/>
      <c r="F8" s="732"/>
      <c r="G8" s="732"/>
      <c r="H8" s="732"/>
      <c r="I8" s="732"/>
      <c r="J8" s="732"/>
      <c r="K8" s="732"/>
      <c r="L8" s="738"/>
      <c r="M8" s="737"/>
      <c r="N8" s="732"/>
      <c r="O8" s="732"/>
      <c r="P8" s="732"/>
      <c r="Q8" s="732"/>
      <c r="R8" s="732"/>
      <c r="S8" s="738"/>
      <c r="T8" s="739"/>
      <c r="U8" s="739"/>
      <c r="V8" s="740">
        <f t="shared" ref="V8:V20" si="0">SUM(C8:S8)</f>
        <v>0</v>
      </c>
    </row>
    <row r="9" spans="1:22" s="102" customFormat="1">
      <c r="A9" s="103">
        <v>3</v>
      </c>
      <c r="B9" s="120" t="s">
        <v>136</v>
      </c>
      <c r="C9" s="737"/>
      <c r="D9" s="732"/>
      <c r="E9" s="732"/>
      <c r="F9" s="732"/>
      <c r="G9" s="732"/>
      <c r="H9" s="732"/>
      <c r="I9" s="732"/>
      <c r="J9" s="732"/>
      <c r="K9" s="732"/>
      <c r="L9" s="738"/>
      <c r="M9" s="737"/>
      <c r="N9" s="732"/>
      <c r="O9" s="732"/>
      <c r="P9" s="732"/>
      <c r="Q9" s="732"/>
      <c r="R9" s="732"/>
      <c r="S9" s="738"/>
      <c r="T9" s="739"/>
      <c r="U9" s="739"/>
      <c r="V9" s="740">
        <f>SUM(C9:S9)</f>
        <v>0</v>
      </c>
    </row>
    <row r="10" spans="1:22" s="102" customFormat="1">
      <c r="A10" s="103">
        <v>4</v>
      </c>
      <c r="B10" s="120" t="s">
        <v>137</v>
      </c>
      <c r="C10" s="737"/>
      <c r="D10" s="732"/>
      <c r="E10" s="732"/>
      <c r="F10" s="732"/>
      <c r="G10" s="732"/>
      <c r="H10" s="732"/>
      <c r="I10" s="732"/>
      <c r="J10" s="732"/>
      <c r="K10" s="732"/>
      <c r="L10" s="738"/>
      <c r="M10" s="737"/>
      <c r="N10" s="732"/>
      <c r="O10" s="732"/>
      <c r="P10" s="732"/>
      <c r="Q10" s="732"/>
      <c r="R10" s="732"/>
      <c r="S10" s="738"/>
      <c r="T10" s="739"/>
      <c r="U10" s="739"/>
      <c r="V10" s="740">
        <f t="shared" si="0"/>
        <v>0</v>
      </c>
    </row>
    <row r="11" spans="1:22" s="102" customFormat="1">
      <c r="A11" s="103">
        <v>5</v>
      </c>
      <c r="B11" s="120" t="s">
        <v>946</v>
      </c>
      <c r="C11" s="737"/>
      <c r="D11" s="732"/>
      <c r="E11" s="732"/>
      <c r="F11" s="732"/>
      <c r="G11" s="732"/>
      <c r="H11" s="732"/>
      <c r="I11" s="732"/>
      <c r="J11" s="732"/>
      <c r="K11" s="732"/>
      <c r="L11" s="738"/>
      <c r="M11" s="737"/>
      <c r="N11" s="732"/>
      <c r="O11" s="732"/>
      <c r="P11" s="732"/>
      <c r="Q11" s="732"/>
      <c r="R11" s="732"/>
      <c r="S11" s="738"/>
      <c r="T11" s="739"/>
      <c r="U11" s="739"/>
      <c r="V11" s="740">
        <f t="shared" si="0"/>
        <v>0</v>
      </c>
    </row>
    <row r="12" spans="1:22" s="102" customFormat="1">
      <c r="A12" s="103">
        <v>6</v>
      </c>
      <c r="B12" s="120" t="s">
        <v>138</v>
      </c>
      <c r="C12" s="737"/>
      <c r="D12" s="732"/>
      <c r="E12" s="732"/>
      <c r="F12" s="732"/>
      <c r="G12" s="732"/>
      <c r="H12" s="732"/>
      <c r="I12" s="732"/>
      <c r="J12" s="732"/>
      <c r="K12" s="732"/>
      <c r="L12" s="738"/>
      <c r="M12" s="737"/>
      <c r="N12" s="732"/>
      <c r="O12" s="732"/>
      <c r="P12" s="732"/>
      <c r="Q12" s="732"/>
      <c r="R12" s="732"/>
      <c r="S12" s="738"/>
      <c r="T12" s="739"/>
      <c r="U12" s="739"/>
      <c r="V12" s="740">
        <f t="shared" si="0"/>
        <v>0</v>
      </c>
    </row>
    <row r="13" spans="1:22" s="102" customFormat="1">
      <c r="A13" s="103">
        <v>7</v>
      </c>
      <c r="B13" s="120" t="s">
        <v>71</v>
      </c>
      <c r="C13" s="737"/>
      <c r="D13" s="732">
        <f>18470583.01+1665679.154075</f>
        <v>20136262.164075002</v>
      </c>
      <c r="E13" s="732"/>
      <c r="F13" s="732"/>
      <c r="G13" s="732"/>
      <c r="H13" s="732"/>
      <c r="I13" s="732"/>
      <c r="J13" s="732"/>
      <c r="K13" s="732"/>
      <c r="L13" s="738"/>
      <c r="M13" s="737"/>
      <c r="N13" s="732"/>
      <c r="O13" s="732"/>
      <c r="P13" s="732"/>
      <c r="Q13" s="732"/>
      <c r="R13" s="732"/>
      <c r="S13" s="738"/>
      <c r="T13" s="739">
        <v>18470583.010000002</v>
      </c>
      <c r="U13" s="739">
        <v>1665679.154075</v>
      </c>
      <c r="V13" s="740">
        <f t="shared" si="0"/>
        <v>20136262.164075002</v>
      </c>
    </row>
    <row r="14" spans="1:22" s="102" customFormat="1">
      <c r="A14" s="103">
        <v>8</v>
      </c>
      <c r="B14" s="120" t="s">
        <v>72</v>
      </c>
      <c r="C14" s="737"/>
      <c r="D14" s="732"/>
      <c r="E14" s="732"/>
      <c r="F14" s="732"/>
      <c r="G14" s="732"/>
      <c r="H14" s="732"/>
      <c r="I14" s="732"/>
      <c r="J14" s="732"/>
      <c r="K14" s="732"/>
      <c r="L14" s="738"/>
      <c r="M14" s="737"/>
      <c r="N14" s="732"/>
      <c r="O14" s="732"/>
      <c r="P14" s="732"/>
      <c r="Q14" s="732"/>
      <c r="R14" s="732"/>
      <c r="S14" s="738"/>
      <c r="T14" s="739"/>
      <c r="U14" s="739"/>
      <c r="V14" s="740">
        <f t="shared" si="0"/>
        <v>0</v>
      </c>
    </row>
    <row r="15" spans="1:22" s="102" customFormat="1">
      <c r="A15" s="103">
        <v>9</v>
      </c>
      <c r="B15" s="120" t="s">
        <v>947</v>
      </c>
      <c r="C15" s="737"/>
      <c r="D15" s="732"/>
      <c r="E15" s="732"/>
      <c r="F15" s="732"/>
      <c r="G15" s="732"/>
      <c r="H15" s="732"/>
      <c r="I15" s="732"/>
      <c r="J15" s="732"/>
      <c r="K15" s="732"/>
      <c r="L15" s="738"/>
      <c r="M15" s="737"/>
      <c r="N15" s="732"/>
      <c r="O15" s="732"/>
      <c r="P15" s="732"/>
      <c r="Q15" s="732"/>
      <c r="R15" s="732"/>
      <c r="S15" s="738"/>
      <c r="T15" s="739"/>
      <c r="U15" s="739"/>
      <c r="V15" s="740">
        <f t="shared" si="0"/>
        <v>0</v>
      </c>
    </row>
    <row r="16" spans="1:22" s="102" customFormat="1">
      <c r="A16" s="103">
        <v>10</v>
      </c>
      <c r="B16" s="120" t="s">
        <v>67</v>
      </c>
      <c r="C16" s="737"/>
      <c r="D16" s="732"/>
      <c r="E16" s="732"/>
      <c r="F16" s="732"/>
      <c r="G16" s="732"/>
      <c r="H16" s="732"/>
      <c r="I16" s="732"/>
      <c r="J16" s="732"/>
      <c r="K16" s="732"/>
      <c r="L16" s="738"/>
      <c r="M16" s="737"/>
      <c r="N16" s="732"/>
      <c r="O16" s="732"/>
      <c r="P16" s="732"/>
      <c r="Q16" s="732"/>
      <c r="R16" s="732"/>
      <c r="S16" s="738"/>
      <c r="T16" s="739"/>
      <c r="U16" s="739"/>
      <c r="V16" s="740">
        <f t="shared" si="0"/>
        <v>0</v>
      </c>
    </row>
    <row r="17" spans="1:22" s="102" customFormat="1">
      <c r="A17" s="103">
        <v>11</v>
      </c>
      <c r="B17" s="120" t="s">
        <v>68</v>
      </c>
      <c r="C17" s="737"/>
      <c r="D17" s="732"/>
      <c r="E17" s="732"/>
      <c r="F17" s="732"/>
      <c r="G17" s="732"/>
      <c r="H17" s="732"/>
      <c r="I17" s="732"/>
      <c r="J17" s="732"/>
      <c r="K17" s="732"/>
      <c r="L17" s="738"/>
      <c r="M17" s="737"/>
      <c r="N17" s="732"/>
      <c r="O17" s="732"/>
      <c r="P17" s="732"/>
      <c r="Q17" s="732"/>
      <c r="R17" s="732"/>
      <c r="S17" s="738"/>
      <c r="T17" s="739"/>
      <c r="U17" s="739"/>
      <c r="V17" s="740">
        <f t="shared" si="0"/>
        <v>0</v>
      </c>
    </row>
    <row r="18" spans="1:22" s="102" customFormat="1">
      <c r="A18" s="103">
        <v>12</v>
      </c>
      <c r="B18" s="120" t="s">
        <v>69</v>
      </c>
      <c r="C18" s="737"/>
      <c r="D18" s="732"/>
      <c r="E18" s="732"/>
      <c r="F18" s="732"/>
      <c r="G18" s="732"/>
      <c r="H18" s="732"/>
      <c r="I18" s="732"/>
      <c r="J18" s="732"/>
      <c r="K18" s="732"/>
      <c r="L18" s="738"/>
      <c r="M18" s="737"/>
      <c r="N18" s="732"/>
      <c r="O18" s="732"/>
      <c r="P18" s="732"/>
      <c r="Q18" s="732"/>
      <c r="R18" s="732"/>
      <c r="S18" s="738"/>
      <c r="T18" s="739"/>
      <c r="U18" s="739"/>
      <c r="V18" s="740">
        <f t="shared" si="0"/>
        <v>0</v>
      </c>
    </row>
    <row r="19" spans="1:22" s="102" customFormat="1">
      <c r="A19" s="103">
        <v>13</v>
      </c>
      <c r="B19" s="120" t="s">
        <v>70</v>
      </c>
      <c r="C19" s="737"/>
      <c r="D19" s="732"/>
      <c r="E19" s="732"/>
      <c r="F19" s="732"/>
      <c r="G19" s="732"/>
      <c r="H19" s="732"/>
      <c r="I19" s="732"/>
      <c r="J19" s="732"/>
      <c r="K19" s="732"/>
      <c r="L19" s="738"/>
      <c r="M19" s="737"/>
      <c r="N19" s="732"/>
      <c r="O19" s="732"/>
      <c r="P19" s="732"/>
      <c r="Q19" s="732"/>
      <c r="R19" s="732"/>
      <c r="S19" s="738"/>
      <c r="T19" s="739"/>
      <c r="U19" s="739"/>
      <c r="V19" s="740">
        <f t="shared" si="0"/>
        <v>0</v>
      </c>
    </row>
    <row r="20" spans="1:22" s="102" customFormat="1">
      <c r="A20" s="103">
        <v>14</v>
      </c>
      <c r="B20" s="120" t="s">
        <v>154</v>
      </c>
      <c r="C20" s="737"/>
      <c r="D20" s="732">
        <v>172086.3296339309</v>
      </c>
      <c r="E20" s="732"/>
      <c r="F20" s="732"/>
      <c r="G20" s="732"/>
      <c r="H20" s="732"/>
      <c r="I20" s="732"/>
      <c r="J20" s="732"/>
      <c r="K20" s="732"/>
      <c r="L20" s="738"/>
      <c r="M20" s="737"/>
      <c r="N20" s="732"/>
      <c r="O20" s="732"/>
      <c r="P20" s="732"/>
      <c r="Q20" s="732"/>
      <c r="R20" s="732"/>
      <c r="S20" s="738"/>
      <c r="T20" s="739">
        <v>172086.3296339309</v>
      </c>
      <c r="U20" s="739"/>
      <c r="V20" s="740">
        <f t="shared" si="0"/>
        <v>172086.3296339309</v>
      </c>
    </row>
    <row r="21" spans="1:22" ht="14.4" thickBot="1">
      <c r="A21" s="65"/>
      <c r="B21" s="66" t="s">
        <v>66</v>
      </c>
      <c r="C21" s="741">
        <f>SUM(C7:C20)</f>
        <v>0</v>
      </c>
      <c r="D21" s="742">
        <f t="shared" ref="D21:V21" si="1">SUM(D7:D20)</f>
        <v>20308348.493708935</v>
      </c>
      <c r="E21" s="742">
        <f t="shared" si="1"/>
        <v>0</v>
      </c>
      <c r="F21" s="742">
        <f t="shared" si="1"/>
        <v>0</v>
      </c>
      <c r="G21" s="742">
        <f t="shared" si="1"/>
        <v>0</v>
      </c>
      <c r="H21" s="742">
        <f t="shared" si="1"/>
        <v>0</v>
      </c>
      <c r="I21" s="742">
        <f t="shared" si="1"/>
        <v>0</v>
      </c>
      <c r="J21" s="742">
        <f t="shared" si="1"/>
        <v>0</v>
      </c>
      <c r="K21" s="742">
        <f t="shared" si="1"/>
        <v>0</v>
      </c>
      <c r="L21" s="743">
        <f t="shared" si="1"/>
        <v>0</v>
      </c>
      <c r="M21" s="741">
        <f t="shared" si="1"/>
        <v>0</v>
      </c>
      <c r="N21" s="742">
        <f t="shared" si="1"/>
        <v>0</v>
      </c>
      <c r="O21" s="742">
        <f t="shared" si="1"/>
        <v>0</v>
      </c>
      <c r="P21" s="742">
        <f t="shared" si="1"/>
        <v>0</v>
      </c>
      <c r="Q21" s="742">
        <f t="shared" si="1"/>
        <v>0</v>
      </c>
      <c r="R21" s="742">
        <f t="shared" si="1"/>
        <v>0</v>
      </c>
      <c r="S21" s="743">
        <f t="shared" si="1"/>
        <v>0</v>
      </c>
      <c r="T21" s="743">
        <f>SUM(T7:T20)</f>
        <v>18642669.339633934</v>
      </c>
      <c r="U21" s="743">
        <f t="shared" si="1"/>
        <v>1665679.154075</v>
      </c>
      <c r="V21" s="744">
        <f t="shared" si="1"/>
        <v>20308348.493708935</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12"/>
  </cols>
  <sheetData>
    <row r="1" spans="1:9">
      <c r="A1" s="2" t="s">
        <v>108</v>
      </c>
      <c r="B1" s="623" t="str">
        <f>'1. key ratios'!B1</f>
        <v>სს იშბანკი საქართველო</v>
      </c>
    </row>
    <row r="2" spans="1:9">
      <c r="A2" s="2" t="s">
        <v>109</v>
      </c>
      <c r="B2" s="624">
        <f>'1. key ratios'!B2</f>
        <v>45199</v>
      </c>
    </row>
    <row r="4" spans="1:9" ht="14.4"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899" t="s">
        <v>288</v>
      </c>
      <c r="D6" s="903" t="s">
        <v>309</v>
      </c>
      <c r="E6" s="904"/>
      <c r="F6" s="899" t="s">
        <v>315</v>
      </c>
      <c r="G6" s="899" t="s">
        <v>316</v>
      </c>
      <c r="H6" s="901" t="s">
        <v>290</v>
      </c>
      <c r="I6" s="24"/>
    </row>
    <row r="7" spans="1:9" ht="69">
      <c r="A7" s="99"/>
      <c r="B7" s="22"/>
      <c r="C7" s="900"/>
      <c r="D7" s="189" t="s">
        <v>291</v>
      </c>
      <c r="E7" s="189" t="s">
        <v>289</v>
      </c>
      <c r="F7" s="900"/>
      <c r="G7" s="900"/>
      <c r="H7" s="902"/>
      <c r="I7" s="24"/>
    </row>
    <row r="8" spans="1:9">
      <c r="A8" s="54">
        <v>1</v>
      </c>
      <c r="B8" s="120" t="s">
        <v>134</v>
      </c>
      <c r="C8" s="745">
        <f>'11. CRWA'!C8+'11. CRWA'!E8+'11. CRWA'!G8+'11. CRWA'!I8+'11. CRWA'!K8+'11. CRWA'!M8+'11. CRWA'!O8+'11. CRWA'!Q8</f>
        <v>85927099.152133003</v>
      </c>
      <c r="D8" s="745">
        <f>'11. CRWA'!D8+'11. CRWA'!F8+'11. CRWA'!H8+'11. CRWA'!J8+'11. CRWA'!L8+'11. CRWA'!N8+'11. CRWA'!P8+'11. CRWA'!R8</f>
        <v>0</v>
      </c>
      <c r="E8" s="745">
        <f>'11. CRWA'!D8+'11. CRWA'!F8+'11. CRWA'!H8+'11. CRWA'!J8+'11. CRWA'!L8+'11. CRWA'!N8+'11. CRWA'!P8+'11. CRWA'!R8</f>
        <v>0</v>
      </c>
      <c r="F8" s="745">
        <f>'11. CRWA'!S8</f>
        <v>76434919.223775208</v>
      </c>
      <c r="G8" s="746">
        <f>F8-'12. CRM'!V7</f>
        <v>76434919.223775208</v>
      </c>
      <c r="H8" s="747">
        <f>IFERROR(G8/(C8+E8),0)</f>
        <v>0.88953217294637177</v>
      </c>
    </row>
    <row r="9" spans="1:9" ht="15" customHeight="1">
      <c r="A9" s="54">
        <v>2</v>
      </c>
      <c r="B9" s="120" t="s">
        <v>135</v>
      </c>
      <c r="C9" s="745">
        <f>'11. CRWA'!C9+'11. CRWA'!E9+'11. CRWA'!G9+'11. CRWA'!I9+'11. CRWA'!K9+'11. CRWA'!M9+'11. CRWA'!O9+'11. CRWA'!Q9</f>
        <v>0</v>
      </c>
      <c r="D9" s="745">
        <f>'11. CRWA'!D9+'11. CRWA'!F9+'11. CRWA'!H9+'11. CRWA'!J9+'11. CRWA'!L9+'11. CRWA'!N9+'11. CRWA'!P9+'11. CRWA'!R9</f>
        <v>0</v>
      </c>
      <c r="E9" s="745">
        <f>'11. CRWA'!D9+'11. CRWA'!F9+'11. CRWA'!H9+'11. CRWA'!J9+'11. CRWA'!L9+'11. CRWA'!N9+'11. CRWA'!P9+'11. CRWA'!R9</f>
        <v>0</v>
      </c>
      <c r="F9" s="745">
        <f>'11. CRWA'!S9</f>
        <v>0</v>
      </c>
      <c r="G9" s="746">
        <f>F9-'12. CRM'!V8</f>
        <v>0</v>
      </c>
      <c r="H9" s="747">
        <f t="shared" ref="H9:H21" si="0">IFERROR(G9/(C9+E9),0)</f>
        <v>0</v>
      </c>
    </row>
    <row r="10" spans="1:9">
      <c r="A10" s="54">
        <v>3</v>
      </c>
      <c r="B10" s="120" t="s">
        <v>136</v>
      </c>
      <c r="C10" s="745">
        <f>'11. CRWA'!C10+'11. CRWA'!E10+'11. CRWA'!G10+'11. CRWA'!I10+'11. CRWA'!K10+'11. CRWA'!M10+'11. CRWA'!O10+'11. CRWA'!Q10</f>
        <v>0</v>
      </c>
      <c r="D10" s="745">
        <f>'11. CRWA'!D10+'11. CRWA'!F10+'11. CRWA'!H10+'11. CRWA'!J10+'11. CRWA'!L10+'11. CRWA'!N10+'11. CRWA'!P10+'11. CRWA'!R10</f>
        <v>0</v>
      </c>
      <c r="E10" s="745">
        <f>'11. CRWA'!D10+'11. CRWA'!F10+'11. CRWA'!H10+'11. CRWA'!J10+'11. CRWA'!L10+'11. CRWA'!N10+'11. CRWA'!P10+'11. CRWA'!R10</f>
        <v>0</v>
      </c>
      <c r="F10" s="745">
        <f>'11. CRWA'!S10</f>
        <v>0</v>
      </c>
      <c r="G10" s="746">
        <f>F10-'12. CRM'!V9</f>
        <v>0</v>
      </c>
      <c r="H10" s="747">
        <f t="shared" si="0"/>
        <v>0</v>
      </c>
    </row>
    <row r="11" spans="1:9">
      <c r="A11" s="54">
        <v>4</v>
      </c>
      <c r="B11" s="120" t="s">
        <v>137</v>
      </c>
      <c r="C11" s="745">
        <f>'11. CRWA'!C11+'11. CRWA'!E11+'11. CRWA'!G11+'11. CRWA'!I11+'11. CRWA'!K11+'11. CRWA'!M11+'11. CRWA'!O11+'11. CRWA'!Q11</f>
        <v>0</v>
      </c>
      <c r="D11" s="745">
        <f>'11. CRWA'!D11+'11. CRWA'!F11+'11. CRWA'!H11+'11. CRWA'!J11+'11. CRWA'!L11+'11. CRWA'!N11+'11. CRWA'!P11+'11. CRWA'!R11</f>
        <v>0</v>
      </c>
      <c r="E11" s="745">
        <f>'11. CRWA'!D11+'11. CRWA'!F11+'11. CRWA'!H11+'11. CRWA'!J11+'11. CRWA'!L11+'11. CRWA'!N11+'11. CRWA'!P11+'11. CRWA'!R11</f>
        <v>0</v>
      </c>
      <c r="F11" s="745">
        <f>'11. CRWA'!S11</f>
        <v>0</v>
      </c>
      <c r="G11" s="746">
        <f>F11-'12. CRM'!V10</f>
        <v>0</v>
      </c>
      <c r="H11" s="747">
        <f t="shared" si="0"/>
        <v>0</v>
      </c>
    </row>
    <row r="12" spans="1:9">
      <c r="A12" s="54">
        <v>5</v>
      </c>
      <c r="B12" s="120" t="s">
        <v>946</v>
      </c>
      <c r="C12" s="745">
        <f>'11. CRWA'!C12+'11. CRWA'!E12+'11. CRWA'!G12+'11. CRWA'!I12+'11. CRWA'!K12+'11. CRWA'!M12+'11. CRWA'!O12+'11. CRWA'!Q12</f>
        <v>0</v>
      </c>
      <c r="D12" s="745">
        <f>'11. CRWA'!D12+'11. CRWA'!F12+'11. CRWA'!H12+'11. CRWA'!J12+'11. CRWA'!L12+'11. CRWA'!N12+'11. CRWA'!P12+'11. CRWA'!R12</f>
        <v>0</v>
      </c>
      <c r="E12" s="745">
        <f>'11. CRWA'!D12+'11. CRWA'!F12+'11. CRWA'!H12+'11. CRWA'!J12+'11. CRWA'!L12+'11. CRWA'!N12+'11. CRWA'!P12+'11. CRWA'!R12</f>
        <v>0</v>
      </c>
      <c r="F12" s="745">
        <f>'11. CRWA'!S12</f>
        <v>0</v>
      </c>
      <c r="G12" s="746">
        <f>F12-'12. CRM'!V11</f>
        <v>0</v>
      </c>
      <c r="H12" s="747">
        <f t="shared" si="0"/>
        <v>0</v>
      </c>
    </row>
    <row r="13" spans="1:9">
      <c r="A13" s="54">
        <v>6</v>
      </c>
      <c r="B13" s="120" t="s">
        <v>138</v>
      </c>
      <c r="C13" s="745">
        <f>'11. CRWA'!C13+'11. CRWA'!E13+'11. CRWA'!G13+'11. CRWA'!I13+'11. CRWA'!K13+'11. CRWA'!M13+'11. CRWA'!O13+'11. CRWA'!Q13</f>
        <v>87780433.319896027</v>
      </c>
      <c r="D13" s="745">
        <f>'11. CRWA'!D13+'11. CRWA'!F13+'11. CRWA'!H13+'11. CRWA'!J13+'11. CRWA'!L13+'11. CRWA'!N13+'11. CRWA'!P13+'11. CRWA'!R13</f>
        <v>36627910.746859141</v>
      </c>
      <c r="E13" s="745">
        <f>'11. CRWA'!D13+'11. CRWA'!F13+'11. CRWA'!H13+'11. CRWA'!J13+'11. CRWA'!L13+'11. CRWA'!N13+'11. CRWA'!P13+'11. CRWA'!R13</f>
        <v>36627910.746859141</v>
      </c>
      <c r="F13" s="745">
        <f>'11. CRWA'!S13</f>
        <v>86216596.728807092</v>
      </c>
      <c r="G13" s="746">
        <f>F13-'12. CRM'!V12</f>
        <v>86216596.728807092</v>
      </c>
      <c r="H13" s="747">
        <f t="shared" si="0"/>
        <v>0.6930129757417629</v>
      </c>
    </row>
    <row r="14" spans="1:9">
      <c r="A14" s="54">
        <v>7</v>
      </c>
      <c r="B14" s="120" t="s">
        <v>71</v>
      </c>
      <c r="C14" s="745">
        <f>'11. CRWA'!C14+'11. CRWA'!E14+'11. CRWA'!G14+'11. CRWA'!I14+'11. CRWA'!K14+'11. CRWA'!M14+'11. CRWA'!O14+'11. CRWA'!Q14</f>
        <v>245111522.98539332</v>
      </c>
      <c r="D14" s="745">
        <f>'11. CRWA'!D14+'11. CRWA'!F14+'11. CRWA'!H14+'11. CRWA'!J14+'11. CRWA'!L14+'11. CRWA'!N14+'11. CRWA'!P14+'11. CRWA'!R14</f>
        <v>20957778.2088314</v>
      </c>
      <c r="E14" s="745">
        <f>'11. CRWA'!D14+'11. CRWA'!F14+'11. CRWA'!H14+'11. CRWA'!J14+'11. CRWA'!L14+'11. CRWA'!N14+'11. CRWA'!P14+'11. CRWA'!R14</f>
        <v>20957778.2088314</v>
      </c>
      <c r="F14" s="745">
        <f>'11. CRWA'!S14</f>
        <v>266069301.19422472</v>
      </c>
      <c r="G14" s="746">
        <f>F14-'12. CRM'!V13</f>
        <v>245933039.0301497</v>
      </c>
      <c r="H14" s="747">
        <f t="shared" si="0"/>
        <v>0.92431948340640779</v>
      </c>
    </row>
    <row r="15" spans="1:9">
      <c r="A15" s="54">
        <v>8</v>
      </c>
      <c r="B15" s="120" t="s">
        <v>72</v>
      </c>
      <c r="C15" s="745">
        <f>'11. CRWA'!C15+'11. CRWA'!E15+'11. CRWA'!G15+'11. CRWA'!I15+'11. CRWA'!K15+'11. CRWA'!M15+'11. CRWA'!O15+'11. CRWA'!Q15</f>
        <v>0</v>
      </c>
      <c r="D15" s="745">
        <f>'11. CRWA'!D15+'11. CRWA'!F15+'11. CRWA'!H15+'11. CRWA'!J15+'11. CRWA'!L15+'11. CRWA'!N15+'11. CRWA'!P15+'11. CRWA'!R15</f>
        <v>19182</v>
      </c>
      <c r="E15" s="745">
        <f>'11. CRWA'!D15+'11. CRWA'!F15+'11. CRWA'!H15+'11. CRWA'!J15+'11. CRWA'!L15+'11. CRWA'!N15+'11. CRWA'!P15+'11. CRWA'!R15</f>
        <v>19182</v>
      </c>
      <c r="F15" s="745">
        <f>'11. CRWA'!S15</f>
        <v>19182</v>
      </c>
      <c r="G15" s="746">
        <f>F15-'12. CRM'!V14</f>
        <v>19182</v>
      </c>
      <c r="H15" s="747">
        <f t="shared" si="0"/>
        <v>1</v>
      </c>
    </row>
    <row r="16" spans="1:9">
      <c r="A16" s="54">
        <v>9</v>
      </c>
      <c r="B16" s="120" t="s">
        <v>947</v>
      </c>
      <c r="C16" s="745">
        <f>'11. CRWA'!C16+'11. CRWA'!E16+'11. CRWA'!G16+'11. CRWA'!I16+'11. CRWA'!K16+'11. CRWA'!M16+'11. CRWA'!O16+'11. CRWA'!Q16</f>
        <v>0</v>
      </c>
      <c r="D16" s="745">
        <f>'11. CRWA'!D16+'11. CRWA'!F16+'11. CRWA'!H16+'11. CRWA'!J16+'11. CRWA'!L16+'11. CRWA'!N16+'11. CRWA'!P16+'11. CRWA'!R16</f>
        <v>0</v>
      </c>
      <c r="E16" s="745">
        <f>'11. CRWA'!D16+'11. CRWA'!F16+'11. CRWA'!H16+'11. CRWA'!J16+'11. CRWA'!L16+'11. CRWA'!N16+'11. CRWA'!P16+'11. CRWA'!R16</f>
        <v>0</v>
      </c>
      <c r="F16" s="745">
        <f>'11. CRWA'!S16</f>
        <v>0</v>
      </c>
      <c r="G16" s="746">
        <f>F16-'12. CRM'!V15</f>
        <v>0</v>
      </c>
      <c r="H16" s="747">
        <f t="shared" si="0"/>
        <v>0</v>
      </c>
    </row>
    <row r="17" spans="1:8">
      <c r="A17" s="54">
        <v>10</v>
      </c>
      <c r="B17" s="120" t="s">
        <v>67</v>
      </c>
      <c r="C17" s="745">
        <f>'11. CRWA'!C17+'11. CRWA'!E17+'11. CRWA'!G17+'11. CRWA'!I17+'11. CRWA'!K17+'11. CRWA'!M17+'11. CRWA'!O17+'11. CRWA'!Q17</f>
        <v>96166.460206131189</v>
      </c>
      <c r="D17" s="745">
        <f>'11. CRWA'!D17+'11. CRWA'!F17+'11. CRWA'!H17+'11. CRWA'!J17+'11. CRWA'!L17+'11. CRWA'!N17+'11. CRWA'!P17+'11. CRWA'!R17</f>
        <v>0</v>
      </c>
      <c r="E17" s="745">
        <f>'11. CRWA'!D17+'11. CRWA'!F17+'11. CRWA'!H17+'11. CRWA'!J17+'11. CRWA'!L17+'11. CRWA'!N17+'11. CRWA'!P17+'11. CRWA'!R17</f>
        <v>0</v>
      </c>
      <c r="F17" s="745">
        <f>'11. CRWA'!S17</f>
        <v>96166.460206131189</v>
      </c>
      <c r="G17" s="746">
        <f>F17-'12. CRM'!V16</f>
        <v>96166.460206131189</v>
      </c>
      <c r="H17" s="747">
        <f t="shared" si="0"/>
        <v>1</v>
      </c>
    </row>
    <row r="18" spans="1:8">
      <c r="A18" s="54">
        <v>11</v>
      </c>
      <c r="B18" s="120" t="s">
        <v>68</v>
      </c>
      <c r="C18" s="745">
        <f>'11. CRWA'!C18+'11. CRWA'!E18+'11. CRWA'!G18+'11. CRWA'!I18+'11. CRWA'!K18+'11. CRWA'!M18+'11. CRWA'!O18+'11. CRWA'!Q18</f>
        <v>0</v>
      </c>
      <c r="D18" s="745">
        <f>'11. CRWA'!D18+'11. CRWA'!F18+'11. CRWA'!H18+'11. CRWA'!J18+'11. CRWA'!L18+'11. CRWA'!N18+'11. CRWA'!P18+'11. CRWA'!R18</f>
        <v>0</v>
      </c>
      <c r="E18" s="745">
        <f>'11. CRWA'!D18+'11. CRWA'!F18+'11. CRWA'!H18+'11. CRWA'!J18+'11. CRWA'!L18+'11. CRWA'!N18+'11. CRWA'!P18+'11. CRWA'!R18</f>
        <v>0</v>
      </c>
      <c r="F18" s="745">
        <f>'11. CRWA'!S18</f>
        <v>0</v>
      </c>
      <c r="G18" s="746">
        <f>F18-'12. CRM'!V17</f>
        <v>0</v>
      </c>
      <c r="H18" s="747">
        <f t="shared" si="0"/>
        <v>0</v>
      </c>
    </row>
    <row r="19" spans="1:8">
      <c r="A19" s="54">
        <v>12</v>
      </c>
      <c r="B19" s="120" t="s">
        <v>69</v>
      </c>
      <c r="C19" s="745">
        <f>'11. CRWA'!C19+'11. CRWA'!E19+'11. CRWA'!G19+'11. CRWA'!I19+'11. CRWA'!K19+'11. CRWA'!M19+'11. CRWA'!O19+'11. CRWA'!Q19</f>
        <v>0</v>
      </c>
      <c r="D19" s="745">
        <f>'11. CRWA'!D19+'11. CRWA'!F19+'11. CRWA'!H19+'11. CRWA'!J19+'11. CRWA'!L19+'11. CRWA'!N19+'11. CRWA'!P19+'11. CRWA'!R19</f>
        <v>0</v>
      </c>
      <c r="E19" s="745">
        <f>'11. CRWA'!D19+'11. CRWA'!F19+'11. CRWA'!H19+'11. CRWA'!J19+'11. CRWA'!L19+'11. CRWA'!N19+'11. CRWA'!P19+'11. CRWA'!R19</f>
        <v>0</v>
      </c>
      <c r="F19" s="745">
        <f>'11. CRWA'!S19</f>
        <v>0</v>
      </c>
      <c r="G19" s="746">
        <f>F19-'12. CRM'!V18</f>
        <v>0</v>
      </c>
      <c r="H19" s="747">
        <f t="shared" si="0"/>
        <v>0</v>
      </c>
    </row>
    <row r="20" spans="1:8">
      <c r="A20" s="54">
        <v>13</v>
      </c>
      <c r="B20" s="120" t="s">
        <v>70</v>
      </c>
      <c r="C20" s="745">
        <f>'11. CRWA'!C20+'11. CRWA'!E20+'11. CRWA'!G20+'11. CRWA'!I20+'11. CRWA'!K20+'11. CRWA'!M20+'11. CRWA'!O20+'11. CRWA'!Q20</f>
        <v>0</v>
      </c>
      <c r="D20" s="745">
        <f>'11. CRWA'!D20+'11. CRWA'!F20+'11. CRWA'!H20+'11. CRWA'!J20+'11. CRWA'!L20+'11. CRWA'!N20+'11. CRWA'!P20+'11. CRWA'!R20</f>
        <v>0</v>
      </c>
      <c r="E20" s="745">
        <f>'11. CRWA'!D20+'11. CRWA'!F20+'11. CRWA'!H20+'11. CRWA'!J20+'11. CRWA'!L20+'11. CRWA'!N20+'11. CRWA'!P20+'11. CRWA'!R20</f>
        <v>0</v>
      </c>
      <c r="F20" s="745">
        <f>'11. CRWA'!S20</f>
        <v>0</v>
      </c>
      <c r="G20" s="746">
        <f>F20-'12. CRM'!V19</f>
        <v>0</v>
      </c>
      <c r="H20" s="747">
        <f t="shared" si="0"/>
        <v>0</v>
      </c>
    </row>
    <row r="21" spans="1:8">
      <c r="A21" s="54">
        <v>14</v>
      </c>
      <c r="B21" s="120" t="s">
        <v>154</v>
      </c>
      <c r="C21" s="745">
        <f>'11. CRWA'!C21+'11. CRWA'!E21+'11. CRWA'!G21+'11. CRWA'!I21+'11. CRWA'!K21+'11. CRWA'!M21+'11. CRWA'!O21+'11. CRWA'!Q21</f>
        <v>24548548.605598822</v>
      </c>
      <c r="D21" s="745">
        <f>'11. CRWA'!D21+'11. CRWA'!F21+'11. CRWA'!H21+'11. CRWA'!J21+'11. CRWA'!L21+'11. CRWA'!N21+'11. CRWA'!P21+'11. CRWA'!R21</f>
        <v>0</v>
      </c>
      <c r="E21" s="745">
        <f>'11. CRWA'!D21+'11. CRWA'!F21+'11. CRWA'!H21+'11. CRWA'!J21+'11. CRWA'!L21+'11. CRWA'!N21+'11. CRWA'!P21+'11. CRWA'!R21</f>
        <v>0</v>
      </c>
      <c r="F21" s="745">
        <f>'11. CRWA'!S21</f>
        <v>22278077.826498821</v>
      </c>
      <c r="G21" s="746">
        <f>F21-'12. CRM'!V20</f>
        <v>22105991.496864889</v>
      </c>
      <c r="H21" s="747">
        <f t="shared" si="0"/>
        <v>0.90050095637112915</v>
      </c>
    </row>
    <row r="22" spans="1:8" ht="14.4" thickBot="1">
      <c r="A22" s="101"/>
      <c r="B22" s="107" t="s">
        <v>66</v>
      </c>
      <c r="C22" s="841">
        <f>SUM(C8:C21)</f>
        <v>443463770.52322733</v>
      </c>
      <c r="D22" s="841">
        <f>SUM(D8:D21)</f>
        <v>57604870.95569054</v>
      </c>
      <c r="E22" s="841">
        <f>SUM(E8:E21)</f>
        <v>57604870.95569054</v>
      </c>
      <c r="F22" s="841">
        <f>SUM(F8:F21)</f>
        <v>451114243.43351197</v>
      </c>
      <c r="G22" s="841">
        <f>SUM(G8:G21)</f>
        <v>430805894.93980306</v>
      </c>
      <c r="H22" s="842">
        <f>G22/(C22+E22)</f>
        <v>0.85977420911487812</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09375" defaultRowHeight="13.8"/>
  <cols>
    <col min="1" max="1" width="10.5546875" style="218" bestFit="1" customWidth="1"/>
    <col min="2" max="2" width="89.5546875" style="218" customWidth="1"/>
    <col min="3" max="11" width="12.6640625" style="218" customWidth="1"/>
    <col min="12" max="16384" width="9.109375" style="218"/>
  </cols>
  <sheetData>
    <row r="1" spans="1:11">
      <c r="A1" s="218" t="s">
        <v>108</v>
      </c>
      <c r="B1" s="623" t="str">
        <f>'1. key ratios'!B1</f>
        <v>სს იშბანკი საქართველო</v>
      </c>
    </row>
    <row r="2" spans="1:11">
      <c r="A2" s="218" t="s">
        <v>109</v>
      </c>
      <c r="B2" s="624">
        <f>'1. key ratios'!B2</f>
        <v>45199</v>
      </c>
      <c r="C2" s="219"/>
      <c r="D2" s="219"/>
    </row>
    <row r="3" spans="1:11">
      <c r="B3" s="219"/>
      <c r="C3" s="219"/>
      <c r="D3" s="219"/>
    </row>
    <row r="4" spans="1:11" ht="14.4" thickBot="1">
      <c r="A4" s="218" t="s">
        <v>352</v>
      </c>
      <c r="B4" s="190" t="s">
        <v>351</v>
      </c>
      <c r="C4" s="219"/>
      <c r="D4" s="219"/>
    </row>
    <row r="5" spans="1:11" ht="30" customHeight="1">
      <c r="A5" s="908"/>
      <c r="B5" s="909"/>
      <c r="C5" s="906" t="s">
        <v>384</v>
      </c>
      <c r="D5" s="906"/>
      <c r="E5" s="906"/>
      <c r="F5" s="906" t="s">
        <v>385</v>
      </c>
      <c r="G5" s="906"/>
      <c r="H5" s="906"/>
      <c r="I5" s="906" t="s">
        <v>386</v>
      </c>
      <c r="J5" s="906"/>
      <c r="K5" s="907"/>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748"/>
      <c r="D7" s="749"/>
      <c r="E7" s="224"/>
      <c r="F7" s="748"/>
      <c r="G7" s="749"/>
      <c r="H7" s="224"/>
      <c r="I7" s="749"/>
      <c r="J7" s="749"/>
      <c r="K7" s="224"/>
    </row>
    <row r="8" spans="1:11">
      <c r="A8" s="214">
        <v>1</v>
      </c>
      <c r="B8" s="199" t="s">
        <v>322</v>
      </c>
      <c r="C8" s="616"/>
      <c r="D8" s="197"/>
      <c r="E8" s="198"/>
      <c r="F8" s="750">
        <v>40594387.344826244</v>
      </c>
      <c r="G8" s="751">
        <v>74400334.993472919</v>
      </c>
      <c r="H8" s="752">
        <f>G8+F8</f>
        <v>114994722.33829916</v>
      </c>
      <c r="I8" s="753">
        <v>26763013.450920109</v>
      </c>
      <c r="J8" s="751">
        <v>48234747.926150888</v>
      </c>
      <c r="K8" s="752">
        <f>I8+J8</f>
        <v>74997761.377070993</v>
      </c>
    </row>
    <row r="9" spans="1:11">
      <c r="A9" s="223" t="s">
        <v>323</v>
      </c>
      <c r="B9" s="215"/>
      <c r="C9" s="748"/>
      <c r="D9" s="749"/>
      <c r="E9" s="224"/>
      <c r="F9" s="748"/>
      <c r="G9" s="749"/>
      <c r="H9" s="224"/>
      <c r="I9" s="749"/>
      <c r="J9" s="749"/>
      <c r="K9" s="224"/>
    </row>
    <row r="10" spans="1:11">
      <c r="A10" s="225">
        <v>2</v>
      </c>
      <c r="B10" s="200" t="s">
        <v>324</v>
      </c>
      <c r="C10" s="750">
        <v>5028875.3954139212</v>
      </c>
      <c r="D10" s="754">
        <v>16851825.588849813</v>
      </c>
      <c r="E10" s="752">
        <f>C10+D10</f>
        <v>21880700.984263733</v>
      </c>
      <c r="F10" s="750">
        <v>1464773.3613743579</v>
      </c>
      <c r="G10" s="754">
        <v>4431919.587988466</v>
      </c>
      <c r="H10" s="752">
        <f>G10+F10</f>
        <v>5896692.9493628237</v>
      </c>
      <c r="I10" s="753">
        <v>379382.88426373602</v>
      </c>
      <c r="J10" s="754">
        <v>1236629.0965915751</v>
      </c>
      <c r="K10" s="752">
        <f>I10+J10</f>
        <v>1616011.980855311</v>
      </c>
    </row>
    <row r="11" spans="1:11">
      <c r="A11" s="225">
        <v>3</v>
      </c>
      <c r="B11" s="200" t="s">
        <v>325</v>
      </c>
      <c r="C11" s="750">
        <v>31963191.84893769</v>
      </c>
      <c r="D11" s="754">
        <v>195411661.07641053</v>
      </c>
      <c r="E11" s="752">
        <f t="shared" ref="E11:E16" si="0">C11+D11</f>
        <v>227374852.92534822</v>
      </c>
      <c r="F11" s="755">
        <v>16216212.57362088</v>
      </c>
      <c r="G11" s="753">
        <v>57556229.857155688</v>
      </c>
      <c r="H11" s="752">
        <f t="shared" ref="H11:H16" si="1">G11+F11</f>
        <v>73772442.430776566</v>
      </c>
      <c r="I11" s="755">
        <v>13191572.248780953</v>
      </c>
      <c r="J11" s="753">
        <v>50306857.195731089</v>
      </c>
      <c r="K11" s="752">
        <f t="shared" ref="K11:K16" si="2">I11+J11</f>
        <v>63498429.444512039</v>
      </c>
    </row>
    <row r="12" spans="1:11">
      <c r="A12" s="225">
        <v>4</v>
      </c>
      <c r="B12" s="200" t="s">
        <v>326</v>
      </c>
      <c r="C12" s="756"/>
      <c r="D12" s="757"/>
      <c r="E12" s="752">
        <f t="shared" si="0"/>
        <v>0</v>
      </c>
      <c r="F12" s="756"/>
      <c r="G12" s="757"/>
      <c r="H12" s="752">
        <f t="shared" si="1"/>
        <v>0</v>
      </c>
      <c r="I12" s="758"/>
      <c r="J12" s="757"/>
      <c r="K12" s="752">
        <f t="shared" si="2"/>
        <v>0</v>
      </c>
    </row>
    <row r="13" spans="1:11">
      <c r="A13" s="225">
        <v>5</v>
      </c>
      <c r="B13" s="200" t="s">
        <v>327</v>
      </c>
      <c r="C13" s="750">
        <v>45704513.58183156</v>
      </c>
      <c r="D13" s="754">
        <v>51456214.223919421</v>
      </c>
      <c r="E13" s="752">
        <f t="shared" si="0"/>
        <v>97160727.805750981</v>
      </c>
      <c r="F13" s="750">
        <v>4576121.8507472631</v>
      </c>
      <c r="G13" s="754">
        <v>5281244.5748296697</v>
      </c>
      <c r="H13" s="752">
        <f t="shared" si="1"/>
        <v>9857366.4255769327</v>
      </c>
      <c r="I13" s="753">
        <v>2285290.1264249063</v>
      </c>
      <c r="J13" s="754">
        <v>2572810.7111959709</v>
      </c>
      <c r="K13" s="752">
        <f t="shared" si="2"/>
        <v>4858100.8376208767</v>
      </c>
    </row>
    <row r="14" spans="1:11">
      <c r="A14" s="225">
        <v>6</v>
      </c>
      <c r="B14" s="200" t="s">
        <v>342</v>
      </c>
      <c r="C14" s="756"/>
      <c r="D14" s="757"/>
      <c r="E14" s="752">
        <f t="shared" si="0"/>
        <v>0</v>
      </c>
      <c r="F14" s="756"/>
      <c r="G14" s="757"/>
      <c r="H14" s="752">
        <f t="shared" si="1"/>
        <v>0</v>
      </c>
      <c r="I14" s="758"/>
      <c r="J14" s="757"/>
      <c r="K14" s="752">
        <f t="shared" si="2"/>
        <v>0</v>
      </c>
    </row>
    <row r="15" spans="1:11">
      <c r="A15" s="225">
        <v>7</v>
      </c>
      <c r="B15" s="200" t="s">
        <v>329</v>
      </c>
      <c r="C15" s="750">
        <v>3058810.5842857105</v>
      </c>
      <c r="D15" s="754">
        <v>1891663.3420146508</v>
      </c>
      <c r="E15" s="752">
        <f t="shared" si="0"/>
        <v>4950473.9263003618</v>
      </c>
      <c r="F15" s="750">
        <v>0</v>
      </c>
      <c r="G15" s="754">
        <v>338949.75882783881</v>
      </c>
      <c r="H15" s="752">
        <f t="shared" si="1"/>
        <v>338949.75882783881</v>
      </c>
      <c r="I15" s="753">
        <v>0</v>
      </c>
      <c r="J15" s="754">
        <v>338552.87501831498</v>
      </c>
      <c r="K15" s="752">
        <f t="shared" si="2"/>
        <v>338552.87501831498</v>
      </c>
    </row>
    <row r="16" spans="1:11">
      <c r="A16" s="225">
        <v>8</v>
      </c>
      <c r="B16" s="201" t="s">
        <v>330</v>
      </c>
      <c r="C16" s="759">
        <f>SUM(C10:C15)</f>
        <v>85755391.410468876</v>
      </c>
      <c r="D16" s="760">
        <f>SUM(D10:D15)</f>
        <v>265611364.23119441</v>
      </c>
      <c r="E16" s="752">
        <f t="shared" si="0"/>
        <v>351366755.64166331</v>
      </c>
      <c r="F16" s="761">
        <f>SUM(F10:F15)</f>
        <v>22257107.785742499</v>
      </c>
      <c r="G16" s="762">
        <f>SUM(G10:G15)</f>
        <v>67608343.778801665</v>
      </c>
      <c r="H16" s="752">
        <f t="shared" si="1"/>
        <v>89865451.564544171</v>
      </c>
      <c r="I16" s="760">
        <f>SUM(I10:I15)</f>
        <v>15856245.259469595</v>
      </c>
      <c r="J16" s="762">
        <f>SUM(J10:J15)</f>
        <v>54454849.878536947</v>
      </c>
      <c r="K16" s="752">
        <f t="shared" si="2"/>
        <v>70311095.138006538</v>
      </c>
    </row>
    <row r="17" spans="1:11">
      <c r="A17" s="223" t="s">
        <v>331</v>
      </c>
      <c r="B17" s="215"/>
      <c r="C17" s="748"/>
      <c r="D17" s="749"/>
      <c r="E17" s="224"/>
      <c r="F17" s="748"/>
      <c r="G17" s="749"/>
      <c r="H17" s="224"/>
      <c r="I17" s="749"/>
      <c r="J17" s="749"/>
      <c r="K17" s="224"/>
    </row>
    <row r="18" spans="1:11">
      <c r="A18" s="225">
        <v>9</v>
      </c>
      <c r="B18" s="200" t="s">
        <v>332</v>
      </c>
      <c r="C18" s="756"/>
      <c r="D18" s="757"/>
      <c r="E18" s="752">
        <f>C18+D18</f>
        <v>0</v>
      </c>
      <c r="F18" s="756"/>
      <c r="G18" s="757"/>
      <c r="H18" s="752">
        <f>F18+G18</f>
        <v>0</v>
      </c>
      <c r="I18" s="758"/>
      <c r="J18" s="757"/>
      <c r="K18" s="752">
        <f>I18+J18</f>
        <v>0</v>
      </c>
    </row>
    <row r="19" spans="1:11">
      <c r="A19" s="225">
        <v>10</v>
      </c>
      <c r="B19" s="200" t="s">
        <v>333</v>
      </c>
      <c r="C19" s="750">
        <v>116506411.5331808</v>
      </c>
      <c r="D19" s="754">
        <v>140514902.01946452</v>
      </c>
      <c r="E19" s="752">
        <f t="shared" ref="E19:E21" si="3">C19+D19</f>
        <v>257021313.55264533</v>
      </c>
      <c r="F19" s="750">
        <v>16092939.223213863</v>
      </c>
      <c r="G19" s="754">
        <v>4037454.3228023681</v>
      </c>
      <c r="H19" s="752">
        <f t="shared" ref="H19:H21" si="4">F19+G19</f>
        <v>20130393.546016231</v>
      </c>
      <c r="I19" s="753">
        <v>29527938.12723216</v>
      </c>
      <c r="J19" s="754">
        <v>40048207.314062312</v>
      </c>
      <c r="K19" s="752">
        <f t="shared" ref="K19:K21" si="5">I19+J19</f>
        <v>69576145.441294476</v>
      </c>
    </row>
    <row r="20" spans="1:11">
      <c r="A20" s="225">
        <v>11</v>
      </c>
      <c r="B20" s="200" t="s">
        <v>334</v>
      </c>
      <c r="C20" s="755">
        <v>8852560.7773753162</v>
      </c>
      <c r="D20" s="763">
        <v>12613218.837114811</v>
      </c>
      <c r="E20" s="752">
        <f t="shared" si="3"/>
        <v>21465779.614490129</v>
      </c>
      <c r="F20" s="755">
        <v>747431.4459268091</v>
      </c>
      <c r="G20" s="763">
        <v>141792.21608679852</v>
      </c>
      <c r="H20" s="752">
        <f t="shared" si="4"/>
        <v>889223.66201360757</v>
      </c>
      <c r="I20" s="764">
        <v>1790567.6845834309</v>
      </c>
      <c r="J20" s="763">
        <v>197603.35478874363</v>
      </c>
      <c r="K20" s="752">
        <f t="shared" si="5"/>
        <v>1988171.0393721745</v>
      </c>
    </row>
    <row r="21" spans="1:11" ht="14.4" thickBot="1">
      <c r="A21" s="154">
        <v>12</v>
      </c>
      <c r="B21" s="226" t="s">
        <v>335</v>
      </c>
      <c r="C21" s="765">
        <f>SUM(C18:C20)</f>
        <v>125358972.31055611</v>
      </c>
      <c r="D21" s="766">
        <f>SUM(D18:D20)</f>
        <v>153128120.85657933</v>
      </c>
      <c r="E21" s="767">
        <f t="shared" si="3"/>
        <v>278487093.16713548</v>
      </c>
      <c r="F21" s="768">
        <f>SUM(F18:F20)</f>
        <v>16840370.66914067</v>
      </c>
      <c r="G21" s="769">
        <f>SUM(G18:G20)</f>
        <v>4179246.5388891664</v>
      </c>
      <c r="H21" s="767">
        <f t="shared" si="4"/>
        <v>21019617.208029836</v>
      </c>
      <c r="I21" s="766">
        <f>SUM(I18:I20)</f>
        <v>31318505.81181559</v>
      </c>
      <c r="J21" s="769">
        <f>SUM(J18:J20)</f>
        <v>40245810.668851055</v>
      </c>
      <c r="K21" s="767">
        <f t="shared" si="5"/>
        <v>71564316.480666637</v>
      </c>
    </row>
    <row r="22" spans="1:11" ht="38.25" customHeight="1" thickBot="1">
      <c r="A22" s="212"/>
      <c r="B22" s="213"/>
      <c r="C22" s="213"/>
      <c r="D22" s="213"/>
      <c r="E22" s="213"/>
      <c r="F22" s="905" t="s">
        <v>336</v>
      </c>
      <c r="G22" s="906"/>
      <c r="H22" s="906"/>
      <c r="I22" s="905" t="s">
        <v>337</v>
      </c>
      <c r="J22" s="906"/>
      <c r="K22" s="907"/>
    </row>
    <row r="23" spans="1:11">
      <c r="A23" s="205">
        <v>13</v>
      </c>
      <c r="B23" s="202" t="s">
        <v>322</v>
      </c>
      <c r="C23" s="211"/>
      <c r="D23" s="211"/>
      <c r="E23" s="211"/>
      <c r="F23" s="770">
        <f>F8</f>
        <v>40594387.344826244</v>
      </c>
      <c r="G23" s="771">
        <f>G8</f>
        <v>74400334.993472919</v>
      </c>
      <c r="H23" s="772">
        <f>F23+G23</f>
        <v>114994722.33829916</v>
      </c>
      <c r="I23" s="770">
        <f>I8</f>
        <v>26763013.450920109</v>
      </c>
      <c r="J23" s="771">
        <f>J8</f>
        <v>48234747.926150888</v>
      </c>
      <c r="K23" s="772">
        <f>I23+J23</f>
        <v>74997761.377070993</v>
      </c>
    </row>
    <row r="24" spans="1:11" ht="14.4" thickBot="1">
      <c r="A24" s="206">
        <v>14</v>
      </c>
      <c r="B24" s="203" t="s">
        <v>338</v>
      </c>
      <c r="C24" s="227"/>
      <c r="D24" s="209"/>
      <c r="E24" s="210"/>
      <c r="F24" s="773">
        <f>F16-MIN(F16*75%,F21)</f>
        <v>5564276.9464356247</v>
      </c>
      <c r="G24" s="774">
        <f>G16-MIN(G16*75%,G21)</f>
        <v>63429097.239912495</v>
      </c>
      <c r="H24" s="775">
        <f>F24+G24</f>
        <v>68993374.186348125</v>
      </c>
      <c r="I24" s="773">
        <f>I16-MIN(I16*75%,I21)</f>
        <v>3964061.3148673996</v>
      </c>
      <c r="J24" s="774">
        <f>J16-MIN(J16*75%,J21)</f>
        <v>14209039.209685892</v>
      </c>
      <c r="K24" s="775">
        <f t="shared" ref="K24" si="6">I24+J24</f>
        <v>18173100.524553291</v>
      </c>
    </row>
    <row r="25" spans="1:11" ht="14.4" thickBot="1">
      <c r="A25" s="207">
        <v>15</v>
      </c>
      <c r="B25" s="204" t="s">
        <v>339</v>
      </c>
      <c r="C25" s="208"/>
      <c r="D25" s="208"/>
      <c r="E25" s="208"/>
      <c r="F25" s="776">
        <f t="shared" ref="F25:G25" si="7">F23/F24</f>
        <v>7.2955368209755038</v>
      </c>
      <c r="G25" s="777">
        <f t="shared" si="7"/>
        <v>1.1729685307054445</v>
      </c>
      <c r="H25" s="778">
        <f>H23/H24</f>
        <v>1.6667502306482849</v>
      </c>
      <c r="I25" s="776">
        <f t="shared" ref="I25:J25" si="8">I23/I24</f>
        <v>6.7514125855077367</v>
      </c>
      <c r="J25" s="777">
        <f t="shared" si="8"/>
        <v>3.394652320564409</v>
      </c>
      <c r="K25" s="778">
        <f>K23/K24</f>
        <v>4.1268555839298369</v>
      </c>
    </row>
    <row r="28" spans="1:11" ht="41.4">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09375" defaultRowHeight="13.8"/>
  <cols>
    <col min="1" max="1" width="10.5546875" style="39" bestFit="1" customWidth="1"/>
    <col min="2" max="2" width="95" style="39" customWidth="1"/>
    <col min="3" max="3" width="12.5546875" style="39" bestFit="1" customWidth="1"/>
    <col min="4" max="4" width="10" style="39" bestFit="1" customWidth="1"/>
    <col min="5" max="5" width="18.33203125" style="39" bestFit="1" customWidth="1"/>
    <col min="6" max="13" width="10.6640625" style="39" customWidth="1"/>
    <col min="14" max="14" width="31" style="39" bestFit="1" customWidth="1"/>
    <col min="15" max="16384" width="9.109375" style="12"/>
  </cols>
  <sheetData>
    <row r="1" spans="1:14">
      <c r="A1" s="5" t="s">
        <v>108</v>
      </c>
      <c r="B1" s="623" t="str">
        <f>'1. key ratios'!B1</f>
        <v>სს იშბანკი საქართველო</v>
      </c>
    </row>
    <row r="2" spans="1:14" ht="14.25" customHeight="1">
      <c r="A2" s="39" t="s">
        <v>109</v>
      </c>
      <c r="B2" s="624">
        <f>'1. key ratios'!B2</f>
        <v>45199</v>
      </c>
    </row>
    <row r="3" spans="1:14" ht="14.25" customHeight="1"/>
    <row r="4" spans="1:14" ht="14.4" thickBot="1">
      <c r="A4" s="2" t="s">
        <v>262</v>
      </c>
      <c r="B4" s="56" t="s">
        <v>74</v>
      </c>
    </row>
    <row r="5" spans="1:14" s="25" customFormat="1">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1.4">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4.4"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4.4"/>
  <cols>
    <col min="1" max="1" width="11.44140625" customWidth="1"/>
    <col min="2" max="2" width="76.88671875" style="4" customWidth="1"/>
    <col min="3" max="3" width="22.88671875" customWidth="1"/>
  </cols>
  <sheetData>
    <row r="1" spans="1:3">
      <c r="A1" s="218" t="s">
        <v>108</v>
      </c>
      <c r="B1" s="623" t="str">
        <f>'1. key ratios'!B1</f>
        <v>სს იშბანკი საქართველო</v>
      </c>
    </row>
    <row r="2" spans="1:3">
      <c r="A2" s="218" t="s">
        <v>109</v>
      </c>
      <c r="B2" s="624">
        <f>'1. key ratios'!B2</f>
        <v>45199</v>
      </c>
    </row>
    <row r="3" spans="1:3">
      <c r="A3" s="218"/>
      <c r="B3"/>
    </row>
    <row r="4" spans="1:3">
      <c r="A4" s="218" t="s">
        <v>428</v>
      </c>
      <c r="B4" t="s">
        <v>387</v>
      </c>
    </row>
    <row r="5" spans="1:3">
      <c r="A5" s="269"/>
      <c r="B5" s="269" t="s">
        <v>388</v>
      </c>
      <c r="C5" s="281"/>
    </row>
    <row r="6" spans="1:3">
      <c r="A6" s="270">
        <v>1</v>
      </c>
      <c r="B6" s="282" t="s">
        <v>438</v>
      </c>
      <c r="C6" s="779">
        <v>443641418.84250951</v>
      </c>
    </row>
    <row r="7" spans="1:3">
      <c r="A7" s="270">
        <v>2</v>
      </c>
      <c r="B7" s="282" t="s">
        <v>389</v>
      </c>
      <c r="C7" s="779">
        <v>177648.31928219183</v>
      </c>
    </row>
    <row r="8" spans="1:3">
      <c r="A8" s="271">
        <v>3</v>
      </c>
      <c r="B8" s="284" t="s">
        <v>390</v>
      </c>
      <c r="C8" s="285">
        <f>C6+C7</f>
        <v>443819067.16179168</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2.8">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2.8">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130788414.68932915</v>
      </c>
    </row>
    <row r="36" spans="1:3">
      <c r="A36" s="276">
        <v>21</v>
      </c>
      <c r="B36" s="291" t="s">
        <v>422</v>
      </c>
      <c r="C36" s="285">
        <f>C8+C18+C26+C30</f>
        <v>443819067.16179168</v>
      </c>
    </row>
    <row r="37" spans="1:3">
      <c r="A37" s="278"/>
      <c r="B37" s="278" t="s">
        <v>387</v>
      </c>
      <c r="C37" s="286"/>
    </row>
    <row r="38" spans="1:3">
      <c r="A38" s="276">
        <v>22</v>
      </c>
      <c r="B38" s="291" t="s">
        <v>387</v>
      </c>
      <c r="C38" s="780">
        <f>IFERROR(C35/C36,0)</f>
        <v>0.29468858903633127</v>
      </c>
    </row>
    <row r="39" spans="1:3">
      <c r="A39" s="278"/>
      <c r="B39" s="278" t="s">
        <v>423</v>
      </c>
      <c r="C39" s="286"/>
    </row>
    <row r="40" spans="1:3">
      <c r="A40" s="279" t="s">
        <v>424</v>
      </c>
      <c r="B40" s="287" t="s">
        <v>425</v>
      </c>
      <c r="C40" s="293"/>
    </row>
    <row r="41" spans="1:3">
      <c r="A41" s="280" t="s">
        <v>426</v>
      </c>
      <c r="B41" s="288" t="s">
        <v>427</v>
      </c>
      <c r="C41" s="293"/>
    </row>
    <row r="43" spans="1:3">
      <c r="B43" s="302" t="s">
        <v>439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4.4"/>
  <cols>
    <col min="1" max="1" width="9.88671875" style="218" bestFit="1" customWidth="1"/>
    <col min="2" max="2" width="82.5546875" style="23" customWidth="1"/>
    <col min="3" max="7" width="17.5546875" style="218" customWidth="1"/>
  </cols>
  <sheetData>
    <row r="1" spans="1:7">
      <c r="A1" s="218" t="s">
        <v>108</v>
      </c>
      <c r="B1" s="623" t="str">
        <f>'1. key ratios'!B1</f>
        <v>სს იშბანკი საქართველო</v>
      </c>
    </row>
    <row r="2" spans="1:7">
      <c r="A2" s="218" t="s">
        <v>109</v>
      </c>
      <c r="B2" s="624">
        <f>'1. key ratios'!B2</f>
        <v>45199</v>
      </c>
    </row>
    <row r="3" spans="1:7">
      <c r="B3" s="330"/>
    </row>
    <row r="4" spans="1:7" ht="15" thickBot="1">
      <c r="A4" s="218" t="s">
        <v>486</v>
      </c>
      <c r="B4" s="331" t="s">
        <v>451</v>
      </c>
    </row>
    <row r="5" spans="1:7">
      <c r="A5" s="332"/>
      <c r="B5" s="333"/>
      <c r="C5" s="910" t="s">
        <v>452</v>
      </c>
      <c r="D5" s="910"/>
      <c r="E5" s="910"/>
      <c r="F5" s="910"/>
      <c r="G5" s="911" t="s">
        <v>453</v>
      </c>
    </row>
    <row r="6" spans="1:7">
      <c r="A6" s="334"/>
      <c r="B6" s="335"/>
      <c r="C6" s="336" t="s">
        <v>454</v>
      </c>
      <c r="D6" s="337" t="s">
        <v>455</v>
      </c>
      <c r="E6" s="337" t="s">
        <v>456</v>
      </c>
      <c r="F6" s="337" t="s">
        <v>457</v>
      </c>
      <c r="G6" s="912"/>
    </row>
    <row r="7" spans="1:7">
      <c r="A7" s="338"/>
      <c r="B7" s="339" t="s">
        <v>458</v>
      </c>
      <c r="C7" s="340"/>
      <c r="D7" s="340"/>
      <c r="E7" s="340"/>
      <c r="F7" s="340"/>
      <c r="G7" s="341"/>
    </row>
    <row r="8" spans="1:7">
      <c r="A8" s="342">
        <v>1</v>
      </c>
      <c r="B8" s="343" t="s">
        <v>459</v>
      </c>
      <c r="C8" s="843">
        <f>SUM(C9:C10)</f>
        <v>130788414.68932915</v>
      </c>
      <c r="D8" s="843">
        <f>SUM(D9:D10)</f>
        <v>0</v>
      </c>
      <c r="E8" s="843">
        <f>SUM(E9:E10)</f>
        <v>0</v>
      </c>
      <c r="F8" s="843">
        <f>SUM(F9:F10)</f>
        <v>29362119.745542482</v>
      </c>
      <c r="G8" s="844">
        <f>SUM(G9:G10)</f>
        <v>160150534.43487161</v>
      </c>
    </row>
    <row r="9" spans="1:7">
      <c r="A9" s="342">
        <v>2</v>
      </c>
      <c r="B9" s="346" t="s">
        <v>85</v>
      </c>
      <c r="C9" s="344">
        <v>130788414.68932915</v>
      </c>
      <c r="D9" s="344"/>
      <c r="E9" s="344"/>
      <c r="F9" s="344"/>
      <c r="G9" s="345">
        <v>130788414.68932915</v>
      </c>
    </row>
    <row r="10" spans="1:7">
      <c r="A10" s="342">
        <v>3</v>
      </c>
      <c r="B10" s="346" t="s">
        <v>460</v>
      </c>
      <c r="C10" s="347"/>
      <c r="D10" s="347"/>
      <c r="E10" s="347"/>
      <c r="F10" s="344">
        <v>29362119.745542482</v>
      </c>
      <c r="G10" s="345">
        <v>29362119.745542482</v>
      </c>
    </row>
    <row r="11" spans="1:7" ht="27.6">
      <c r="A11" s="342">
        <v>4</v>
      </c>
      <c r="B11" s="343" t="s">
        <v>461</v>
      </c>
      <c r="C11" s="843">
        <f t="shared" ref="C11:F11" si="0">SUM(C12:C13)</f>
        <v>4716121.5561304949</v>
      </c>
      <c r="D11" s="843">
        <f t="shared" si="0"/>
        <v>10634628.897509703</v>
      </c>
      <c r="E11" s="843">
        <f t="shared" si="0"/>
        <v>2748733.7187828878</v>
      </c>
      <c r="F11" s="843">
        <f t="shared" si="0"/>
        <v>4426003.9246809911</v>
      </c>
      <c r="G11" s="844">
        <f>SUM(G12:G13)</f>
        <v>13746441.511059416</v>
      </c>
    </row>
    <row r="12" spans="1:7">
      <c r="A12" s="342">
        <v>5</v>
      </c>
      <c r="B12" s="346" t="s">
        <v>462</v>
      </c>
      <c r="C12" s="344">
        <v>339336.66479000018</v>
      </c>
      <c r="D12" s="348">
        <v>524122.06365907879</v>
      </c>
      <c r="E12" s="344">
        <v>1264442.1893384764</v>
      </c>
      <c r="F12" s="344">
        <v>3391426.7766732778</v>
      </c>
      <c r="G12" s="345">
        <v>5243361.3097377867</v>
      </c>
    </row>
    <row r="13" spans="1:7">
      <c r="A13" s="342">
        <v>6</v>
      </c>
      <c r="B13" s="346" t="s">
        <v>463</v>
      </c>
      <c r="C13" s="344">
        <v>4376784.8913404951</v>
      </c>
      <c r="D13" s="348">
        <v>10110506.833850624</v>
      </c>
      <c r="E13" s="344">
        <v>1484291.5294444114</v>
      </c>
      <c r="F13" s="344">
        <v>1034577.1480077137</v>
      </c>
      <c r="G13" s="345">
        <v>8503080.2013216298</v>
      </c>
    </row>
    <row r="14" spans="1:7">
      <c r="A14" s="342">
        <v>7</v>
      </c>
      <c r="B14" s="343" t="s">
        <v>464</v>
      </c>
      <c r="C14" s="843">
        <f t="shared" ref="C14:F14" si="1">SUM(C15:C16)</f>
        <v>119888584.96771573</v>
      </c>
      <c r="D14" s="843">
        <f t="shared" si="1"/>
        <v>83388396.288835838</v>
      </c>
      <c r="E14" s="843">
        <f t="shared" si="1"/>
        <v>40606463.767308235</v>
      </c>
      <c r="F14" s="843">
        <f t="shared" si="1"/>
        <v>2697729.1261587208</v>
      </c>
      <c r="G14" s="844">
        <f>SUM(G15:G16)</f>
        <v>90673491.493852943</v>
      </c>
    </row>
    <row r="15" spans="1:7" ht="55.2">
      <c r="A15" s="342">
        <v>8</v>
      </c>
      <c r="B15" s="346" t="s">
        <v>465</v>
      </c>
      <c r="C15" s="344">
        <v>105151234.68509786</v>
      </c>
      <c r="D15" s="348">
        <v>33100981.11062457</v>
      </c>
      <c r="E15" s="344">
        <v>25299670.06780668</v>
      </c>
      <c r="F15" s="344">
        <v>1353626.0878350777</v>
      </c>
      <c r="G15" s="345">
        <v>82452755.975682199</v>
      </c>
    </row>
    <row r="16" spans="1:7" ht="27.6">
      <c r="A16" s="342">
        <v>9</v>
      </c>
      <c r="B16" s="346" t="s">
        <v>466</v>
      </c>
      <c r="C16" s="344">
        <v>14737350.282617867</v>
      </c>
      <c r="D16" s="348">
        <v>50287415.178211264</v>
      </c>
      <c r="E16" s="344">
        <v>15306793.699501554</v>
      </c>
      <c r="F16" s="344">
        <v>1344103.0383236434</v>
      </c>
      <c r="G16" s="345">
        <v>8220735.5181707414</v>
      </c>
    </row>
    <row r="17" spans="1:7">
      <c r="A17" s="342">
        <v>10</v>
      </c>
      <c r="B17" s="343" t="s">
        <v>467</v>
      </c>
      <c r="C17" s="344"/>
      <c r="D17" s="348"/>
      <c r="E17" s="344"/>
      <c r="F17" s="344"/>
      <c r="G17" s="345">
        <v>0</v>
      </c>
    </row>
    <row r="18" spans="1:7">
      <c r="A18" s="342">
        <v>11</v>
      </c>
      <c r="B18" s="343" t="s">
        <v>89</v>
      </c>
      <c r="C18" s="843">
        <f>SUM(C19:C20)</f>
        <v>14206573.84123309</v>
      </c>
      <c r="D18" s="845">
        <f t="shared" ref="D18:G18" si="2">SUM(D19:D20)</f>
        <v>0</v>
      </c>
      <c r="E18" s="843">
        <f t="shared" si="2"/>
        <v>0</v>
      </c>
      <c r="F18" s="843">
        <f t="shared" si="2"/>
        <v>0</v>
      </c>
      <c r="G18" s="844">
        <f t="shared" si="2"/>
        <v>0</v>
      </c>
    </row>
    <row r="19" spans="1:7">
      <c r="A19" s="342">
        <v>12</v>
      </c>
      <c r="B19" s="346" t="s">
        <v>468</v>
      </c>
      <c r="C19" s="347"/>
      <c r="D19" s="348"/>
      <c r="E19" s="344"/>
      <c r="F19" s="344"/>
      <c r="G19" s="345"/>
    </row>
    <row r="20" spans="1:7" ht="27.6">
      <c r="A20" s="342">
        <v>13</v>
      </c>
      <c r="B20" s="346" t="s">
        <v>469</v>
      </c>
      <c r="C20" s="344">
        <v>14206573.84123309</v>
      </c>
      <c r="D20" s="344"/>
      <c r="E20" s="344"/>
      <c r="F20" s="344"/>
      <c r="G20" s="345"/>
    </row>
    <row r="21" spans="1:7">
      <c r="A21" s="349">
        <v>14</v>
      </c>
      <c r="B21" s="350" t="s">
        <v>470</v>
      </c>
      <c r="C21" s="347"/>
      <c r="D21" s="347"/>
      <c r="E21" s="347"/>
      <c r="F21" s="347"/>
      <c r="G21" s="351">
        <f>SUM(G8,G11,G14,G17,G18)</f>
        <v>264570467.43978396</v>
      </c>
    </row>
    <row r="22" spans="1:7">
      <c r="A22" s="352"/>
      <c r="B22" s="369" t="s">
        <v>471</v>
      </c>
      <c r="C22" s="353"/>
      <c r="D22" s="354"/>
      <c r="E22" s="353"/>
      <c r="F22" s="353"/>
      <c r="G22" s="355"/>
    </row>
    <row r="23" spans="1:7">
      <c r="A23" s="342">
        <v>15</v>
      </c>
      <c r="B23" s="343" t="s">
        <v>322</v>
      </c>
      <c r="C23" s="356">
        <v>132843234.62773493</v>
      </c>
      <c r="D23" s="357">
        <v>0</v>
      </c>
      <c r="E23" s="356">
        <v>0</v>
      </c>
      <c r="F23" s="356">
        <v>0</v>
      </c>
      <c r="G23" s="345">
        <v>2552315.0637610876</v>
      </c>
    </row>
    <row r="24" spans="1:7">
      <c r="A24" s="342">
        <v>16</v>
      </c>
      <c r="B24" s="343" t="s">
        <v>472</v>
      </c>
      <c r="C24" s="843">
        <f>SUM(C25:C27,C29,C31)</f>
        <v>384348.817632074</v>
      </c>
      <c r="D24" s="845">
        <f t="shared" ref="D24:G24" si="3">SUM(D25:D27,D29,D31)</f>
        <v>149924109.06250501</v>
      </c>
      <c r="E24" s="843">
        <f t="shared" si="3"/>
        <v>72431928.307589963</v>
      </c>
      <c r="F24" s="843">
        <f t="shared" si="3"/>
        <v>71448573.492146328</v>
      </c>
      <c r="G24" s="844">
        <f t="shared" si="3"/>
        <v>153229707.80810076</v>
      </c>
    </row>
    <row r="25" spans="1:7" ht="27.6">
      <c r="A25" s="342">
        <v>17</v>
      </c>
      <c r="B25" s="346" t="s">
        <v>473</v>
      </c>
      <c r="C25" s="344"/>
      <c r="D25" s="348"/>
      <c r="E25" s="344"/>
      <c r="F25" s="344"/>
      <c r="G25" s="345"/>
    </row>
    <row r="26" spans="1:7" ht="27.6">
      <c r="A26" s="342">
        <v>18</v>
      </c>
      <c r="B26" s="346" t="s">
        <v>474</v>
      </c>
      <c r="C26" s="344">
        <v>384348.817632074</v>
      </c>
      <c r="D26" s="348">
        <v>55553919.319363393</v>
      </c>
      <c r="E26" s="344">
        <v>32643196.005347811</v>
      </c>
      <c r="F26" s="344">
        <v>0</v>
      </c>
      <c r="G26" s="345">
        <v>24712338.223223224</v>
      </c>
    </row>
    <row r="27" spans="1:7">
      <c r="A27" s="342">
        <v>19</v>
      </c>
      <c r="B27" s="346" t="s">
        <v>475</v>
      </c>
      <c r="C27" s="344">
        <v>0</v>
      </c>
      <c r="D27" s="348">
        <v>94253935.89436245</v>
      </c>
      <c r="E27" s="344">
        <v>39414698.357004777</v>
      </c>
      <c r="F27" s="344">
        <v>43101264.718355723</v>
      </c>
      <c r="G27" s="345">
        <v>104145392.13628604</v>
      </c>
    </row>
    <row r="28" spans="1:7">
      <c r="A28" s="342">
        <v>20</v>
      </c>
      <c r="B28" s="358" t="s">
        <v>476</v>
      </c>
      <c r="C28" s="344"/>
      <c r="D28" s="348"/>
      <c r="E28" s="344"/>
      <c r="F28" s="344"/>
      <c r="G28" s="345"/>
    </row>
    <row r="29" spans="1:7">
      <c r="A29" s="342">
        <v>21</v>
      </c>
      <c r="B29" s="346" t="s">
        <v>477</v>
      </c>
      <c r="C29" s="344">
        <v>0</v>
      </c>
      <c r="D29" s="348">
        <v>116253.84877918437</v>
      </c>
      <c r="E29" s="344">
        <v>374033.94523738587</v>
      </c>
      <c r="F29" s="344">
        <v>3606714.8828680036</v>
      </c>
      <c r="G29" s="345">
        <v>3342472.6413072869</v>
      </c>
    </row>
    <row r="30" spans="1:7">
      <c r="A30" s="342">
        <v>22</v>
      </c>
      <c r="B30" s="358" t="s">
        <v>476</v>
      </c>
      <c r="C30" s="344"/>
      <c r="D30" s="348"/>
      <c r="E30" s="344"/>
      <c r="F30" s="344"/>
      <c r="G30" s="345"/>
    </row>
    <row r="31" spans="1:7" ht="27.6">
      <c r="A31" s="342">
        <v>23</v>
      </c>
      <c r="B31" s="346" t="s">
        <v>478</v>
      </c>
      <c r="C31" s="344"/>
      <c r="D31" s="348"/>
      <c r="E31" s="344"/>
      <c r="F31" s="344">
        <v>24740593.890922599</v>
      </c>
      <c r="G31" s="345">
        <v>21029504.80728421</v>
      </c>
    </row>
    <row r="32" spans="1:7">
      <c r="A32" s="342">
        <v>24</v>
      </c>
      <c r="B32" s="343" t="s">
        <v>479</v>
      </c>
      <c r="C32" s="344">
        <v>0</v>
      </c>
      <c r="D32" s="348"/>
      <c r="E32" s="344"/>
      <c r="F32" s="344"/>
      <c r="G32" s="345">
        <v>0</v>
      </c>
    </row>
    <row r="33" spans="1:7">
      <c r="A33" s="342">
        <v>25</v>
      </c>
      <c r="B33" s="343" t="s">
        <v>99</v>
      </c>
      <c r="C33" s="843">
        <f>SUM(C34:C35)</f>
        <v>13875058.886423707</v>
      </c>
      <c r="D33" s="843">
        <f>SUM(D34:D35)</f>
        <v>1050000</v>
      </c>
      <c r="E33" s="843">
        <f>SUM(E34:E35)</f>
        <v>300000</v>
      </c>
      <c r="F33" s="843">
        <f>SUM(F34:F35)</f>
        <v>1331189.2342818836</v>
      </c>
      <c r="G33" s="844">
        <f>SUM(G34:G35)</f>
        <v>15206248.12070559</v>
      </c>
    </row>
    <row r="34" spans="1:7">
      <c r="A34" s="342">
        <v>26</v>
      </c>
      <c r="B34" s="346" t="s">
        <v>480</v>
      </c>
      <c r="C34" s="347"/>
      <c r="D34" s="348"/>
      <c r="E34" s="344"/>
      <c r="F34" s="344"/>
      <c r="G34" s="345"/>
    </row>
    <row r="35" spans="1:7">
      <c r="A35" s="342">
        <v>27</v>
      </c>
      <c r="B35" s="346" t="s">
        <v>481</v>
      </c>
      <c r="C35" s="344">
        <v>13875058.886423707</v>
      </c>
      <c r="D35" s="348">
        <v>1050000</v>
      </c>
      <c r="E35" s="344">
        <v>300000</v>
      </c>
      <c r="F35" s="344">
        <v>1331189.2342818836</v>
      </c>
      <c r="G35" s="345">
        <v>15206248.12070559</v>
      </c>
    </row>
    <row r="36" spans="1:7">
      <c r="A36" s="342">
        <v>28</v>
      </c>
      <c r="B36" s="343" t="s">
        <v>482</v>
      </c>
      <c r="C36" s="344">
        <v>38364</v>
      </c>
      <c r="D36" s="348">
        <v>40003176.841192842</v>
      </c>
      <c r="E36" s="344">
        <v>32691794.28373586</v>
      </c>
      <c r="F36" s="344">
        <v>25822456.58734512</v>
      </c>
      <c r="G36" s="345">
        <v>11144783.800594639</v>
      </c>
    </row>
    <row r="37" spans="1:7">
      <c r="A37" s="349">
        <v>29</v>
      </c>
      <c r="B37" s="350" t="s">
        <v>483</v>
      </c>
      <c r="C37" s="347"/>
      <c r="D37" s="347"/>
      <c r="E37" s="347"/>
      <c r="F37" s="347"/>
      <c r="G37" s="351">
        <f>SUM(G23:G24,G32:G33,G36)</f>
        <v>182133054.79316205</v>
      </c>
    </row>
    <row r="38" spans="1:7">
      <c r="A38" s="338"/>
      <c r="B38" s="359"/>
      <c r="C38" s="360"/>
      <c r="D38" s="360"/>
      <c r="E38" s="360"/>
      <c r="F38" s="360"/>
      <c r="G38" s="361"/>
    </row>
    <row r="39" spans="1:7" ht="15" thickBot="1">
      <c r="A39" s="362">
        <v>30</v>
      </c>
      <c r="B39" s="363" t="s">
        <v>451</v>
      </c>
      <c r="C39" s="227"/>
      <c r="D39" s="209"/>
      <c r="E39" s="209"/>
      <c r="F39" s="364"/>
      <c r="G39" s="365">
        <f>IFERROR(G21/G37,0)</f>
        <v>1.4526219183016575</v>
      </c>
    </row>
    <row r="42" spans="1:7" ht="41.4">
      <c r="B42" s="23" t="s">
        <v>484</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4.4"/>
  <cols>
    <col min="1" max="1" width="9.5546875" style="19" bestFit="1" customWidth="1"/>
    <col min="2" max="2" width="88.44140625" style="16" customWidth="1"/>
    <col min="3" max="3" width="12.6640625" style="16" customWidth="1"/>
    <col min="4" max="7" width="12.6640625" style="2" customWidth="1"/>
    <col min="8" max="8" width="6.6640625" customWidth="1"/>
    <col min="9" max="12" width="12.44140625" bestFit="1" customWidth="1"/>
    <col min="13" max="13" width="6.6640625" customWidth="1"/>
  </cols>
  <sheetData>
    <row r="1" spans="1:12">
      <c r="A1" s="17" t="s">
        <v>108</v>
      </c>
      <c r="B1" s="623" t="s">
        <v>957</v>
      </c>
    </row>
    <row r="2" spans="1:12">
      <c r="A2" s="17" t="s">
        <v>109</v>
      </c>
      <c r="B2" s="624">
        <v>45199</v>
      </c>
      <c r="C2" s="29"/>
      <c r="D2" s="18"/>
      <c r="E2" s="18"/>
      <c r="F2" s="18"/>
      <c r="G2" s="18"/>
      <c r="H2" s="1"/>
    </row>
    <row r="3" spans="1:12" ht="15" thickBot="1">
      <c r="A3" s="17"/>
      <c r="C3" s="29"/>
      <c r="D3" s="18"/>
      <c r="E3" s="18"/>
      <c r="F3" s="18"/>
      <c r="G3" s="18"/>
      <c r="H3" s="1"/>
    </row>
    <row r="4" spans="1:12" ht="15" thickBot="1">
      <c r="A4" s="40" t="s">
        <v>252</v>
      </c>
      <c r="B4" s="147" t="s">
        <v>139</v>
      </c>
      <c r="C4" s="148"/>
      <c r="D4" s="848" t="s">
        <v>933</v>
      </c>
      <c r="E4" s="849"/>
      <c r="F4" s="849"/>
      <c r="G4" s="850"/>
      <c r="H4" s="1"/>
      <c r="I4" s="851" t="s">
        <v>934</v>
      </c>
      <c r="J4" s="852"/>
      <c r="K4" s="852"/>
      <c r="L4" s="853"/>
    </row>
    <row r="5" spans="1:12">
      <c r="A5" s="195" t="s">
        <v>25</v>
      </c>
      <c r="B5" s="196"/>
      <c r="C5" s="320" t="str">
        <f>INT((MONTH($B$2))/3)&amp;"Q"&amp;"-"&amp;YEAR($B$2)</f>
        <v>3Q-2023</v>
      </c>
      <c r="D5" s="320" t="str">
        <f>IF(INT(MONTH($B$2))=3, "4"&amp;"Q"&amp;"-"&amp;YEAR($B$2)-1, IF(INT(MONTH($B$2))=6, "1"&amp;"Q"&amp;"-"&amp;YEAR($B$2), IF(INT(MONTH($B$2))=9, "2"&amp;"Q"&amp;"-"&amp;YEAR($B$2),IF(INT(MONTH($B$2))=12, "3"&amp;"Q"&amp;"-"&amp;YEAR($B$2), 0))))</f>
        <v>2Q-2023</v>
      </c>
      <c r="E5" s="320" t="str">
        <f>IF(INT(MONTH($B$2))=3, "3"&amp;"Q"&amp;"-"&amp;YEAR($B$2)-1, IF(INT(MONTH($B$2))=6, "4"&amp;"Q"&amp;"-"&amp;YEAR($B$2)-1, IF(INT(MONTH($B$2))=9, "1"&amp;"Q"&amp;"-"&amp;YEAR($B$2),IF(INT(MONTH($B$2))=12, "2"&amp;"Q"&amp;"-"&amp;YEAR($B$2), 0))))</f>
        <v>1Q-2023</v>
      </c>
      <c r="F5" s="320" t="str">
        <f>IF(INT(MONTH($B$2))=3, "2"&amp;"Q"&amp;"-"&amp;YEAR($B$2)-1, IF(INT(MONTH($B$2))=6, "3"&amp;"Q"&amp;"-"&amp;YEAR($B$2)-1, IF(INT(MONTH($B$2))=9, "4"&amp;"Q"&amp;"-"&amp;YEAR($B$2)-1,IF(INT(MONTH($B$2))=12, "1"&amp;"Q"&amp;"-"&amp;YEAR($B$2), 0))))</f>
        <v>4Q-2022</v>
      </c>
      <c r="G5" s="321" t="str">
        <f>IF(INT(MONTH($B$2))=3, "1"&amp;"Q"&amp;"-"&amp;YEAR($B$2)-1, IF(INT(MONTH($B$2))=6, "2"&amp;"Q"&amp;"-"&amp;YEAR($B$2)-1, IF(INT(MONTH($B$2))=9, "3"&amp;"Q"&amp;"-"&amp;YEAR($B$2)-1,IF(INT(MONTH($B$2))=12, "4"&amp;"Q"&amp;"-"&amp;YEAR($B$2)-1, 0))))</f>
        <v>3Q-2022</v>
      </c>
      <c r="I5" s="615" t="str">
        <f>D5</f>
        <v>2Q-2023</v>
      </c>
      <c r="J5" s="320" t="str">
        <f t="shared" ref="J5:L5" si="0">E5</f>
        <v>1Q-2023</v>
      </c>
      <c r="K5" s="320" t="str">
        <f t="shared" si="0"/>
        <v>4Q-2022</v>
      </c>
      <c r="L5" s="321" t="str">
        <f t="shared" si="0"/>
        <v>3Q-2022</v>
      </c>
    </row>
    <row r="6" spans="1:12">
      <c r="A6" s="322"/>
      <c r="B6" s="323" t="s">
        <v>106</v>
      </c>
      <c r="C6" s="197"/>
      <c r="D6" s="197"/>
      <c r="E6" s="197"/>
      <c r="F6" s="197"/>
      <c r="G6" s="198"/>
      <c r="I6" s="616"/>
      <c r="J6" s="197"/>
      <c r="K6" s="197"/>
      <c r="L6" s="198"/>
    </row>
    <row r="7" spans="1:12">
      <c r="A7" s="322"/>
      <c r="B7" s="324" t="s">
        <v>110</v>
      </c>
      <c r="C7" s="197"/>
      <c r="D7" s="197"/>
      <c r="E7" s="197"/>
      <c r="F7" s="197"/>
      <c r="G7" s="198"/>
      <c r="I7" s="616"/>
      <c r="J7" s="197"/>
      <c r="K7" s="197"/>
      <c r="L7" s="198"/>
    </row>
    <row r="8" spans="1:12">
      <c r="A8" s="306">
        <v>1</v>
      </c>
      <c r="B8" s="307" t="s">
        <v>22</v>
      </c>
      <c r="C8" s="625">
        <v>130788414.68932915</v>
      </c>
      <c r="D8" s="817">
        <v>126320800.54405265</v>
      </c>
      <c r="E8" s="625">
        <v>121473493.88732722</v>
      </c>
      <c r="F8" s="625"/>
      <c r="G8" s="1037"/>
      <c r="H8" s="818"/>
      <c r="I8" s="635"/>
      <c r="J8" s="636"/>
      <c r="K8" s="636">
        <v>111095599.92396201</v>
      </c>
      <c r="L8" s="637">
        <v>108015685.42111553</v>
      </c>
    </row>
    <row r="9" spans="1:12">
      <c r="A9" s="306">
        <v>2</v>
      </c>
      <c r="B9" s="307" t="s">
        <v>86</v>
      </c>
      <c r="C9" s="625">
        <v>130788414.68932915</v>
      </c>
      <c r="D9" s="817">
        <v>126320800.54405265</v>
      </c>
      <c r="E9" s="625">
        <v>121473493.88732722</v>
      </c>
      <c r="F9" s="625"/>
      <c r="G9" s="1037"/>
      <c r="H9" s="818"/>
      <c r="I9" s="635"/>
      <c r="J9" s="636"/>
      <c r="K9" s="636">
        <v>111095599.92396201</v>
      </c>
      <c r="L9" s="637">
        <v>108015685.42111553</v>
      </c>
    </row>
    <row r="10" spans="1:12">
      <c r="A10" s="306">
        <v>3</v>
      </c>
      <c r="B10" s="307" t="s">
        <v>85</v>
      </c>
      <c r="C10" s="625">
        <v>130788414.68932915</v>
      </c>
      <c r="D10" s="817">
        <v>126320800.54405265</v>
      </c>
      <c r="E10" s="625">
        <v>121473493.88732722</v>
      </c>
      <c r="F10" s="625"/>
      <c r="G10" s="1037"/>
      <c r="H10" s="818"/>
      <c r="I10" s="635"/>
      <c r="J10" s="636"/>
      <c r="K10" s="636">
        <v>116172986.11989631</v>
      </c>
      <c r="L10" s="637">
        <v>113349434.0005872</v>
      </c>
    </row>
    <row r="11" spans="1:12">
      <c r="A11" s="306">
        <v>4</v>
      </c>
      <c r="B11" s="307" t="s">
        <v>443</v>
      </c>
      <c r="C11" s="625">
        <v>60223336.252558395</v>
      </c>
      <c r="D11" s="817">
        <v>51911549.389787987</v>
      </c>
      <c r="E11" s="625">
        <v>54619431.984424733</v>
      </c>
      <c r="F11" s="625"/>
      <c r="G11" s="1037"/>
      <c r="H11" s="818"/>
      <c r="I11" s="635"/>
      <c r="J11" s="636"/>
      <c r="K11" s="636">
        <v>39546178.399916351</v>
      </c>
      <c r="L11" s="637">
        <v>42079324.841049828</v>
      </c>
    </row>
    <row r="12" spans="1:12">
      <c r="A12" s="306">
        <v>5</v>
      </c>
      <c r="B12" s="307" t="s">
        <v>444</v>
      </c>
      <c r="C12" s="625">
        <v>75025578.477395922</v>
      </c>
      <c r="D12" s="817">
        <v>65637515.155831218</v>
      </c>
      <c r="E12" s="625">
        <v>69963539.948882803</v>
      </c>
      <c r="F12" s="625"/>
      <c r="G12" s="1037"/>
      <c r="H12" s="818"/>
      <c r="I12" s="635"/>
      <c r="J12" s="636"/>
      <c r="K12" s="636">
        <v>52747565.525203176</v>
      </c>
      <c r="L12" s="637">
        <v>56133703.288483441</v>
      </c>
    </row>
    <row r="13" spans="1:12">
      <c r="A13" s="306">
        <v>6</v>
      </c>
      <c r="B13" s="307" t="s">
        <v>445</v>
      </c>
      <c r="C13" s="625">
        <v>94627346.934343502</v>
      </c>
      <c r="D13" s="817">
        <v>83812685.330419973</v>
      </c>
      <c r="E13" s="625">
        <v>90275761.752804086</v>
      </c>
      <c r="F13" s="625"/>
      <c r="G13" s="1037"/>
      <c r="H13" s="818"/>
      <c r="I13" s="635"/>
      <c r="J13" s="636"/>
      <c r="K13" s="636">
        <v>77511989.422811836</v>
      </c>
      <c r="L13" s="637">
        <v>82243994.484565258</v>
      </c>
    </row>
    <row r="14" spans="1:12">
      <c r="A14" s="322"/>
      <c r="B14" s="323" t="s">
        <v>447</v>
      </c>
      <c r="C14" s="626"/>
      <c r="D14" s="638"/>
      <c r="E14" s="1038"/>
      <c r="F14" s="1038"/>
      <c r="G14" s="1039"/>
      <c r="H14" s="818"/>
      <c r="I14" s="638"/>
      <c r="J14" s="626"/>
      <c r="K14" s="626"/>
      <c r="L14" s="639"/>
    </row>
    <row r="15" spans="1:12" ht="21.9" customHeight="1">
      <c r="A15" s="306">
        <v>7</v>
      </c>
      <c r="B15" s="307" t="s">
        <v>446</v>
      </c>
      <c r="C15" s="627">
        <v>475509012.21298987</v>
      </c>
      <c r="D15" s="819">
        <v>435817833.22109258</v>
      </c>
      <c r="E15" s="627">
        <v>465903032.61048031</v>
      </c>
      <c r="F15" s="627"/>
      <c r="G15" s="1040"/>
      <c r="H15" s="818"/>
      <c r="I15" s="635"/>
      <c r="J15" s="636"/>
      <c r="K15" s="636">
        <v>447552269.36280602</v>
      </c>
      <c r="L15" s="637">
        <v>460845756.58156025</v>
      </c>
    </row>
    <row r="16" spans="1:12">
      <c r="A16" s="322"/>
      <c r="B16" s="323" t="s">
        <v>450</v>
      </c>
      <c r="C16" s="626"/>
      <c r="D16" s="638"/>
      <c r="E16" s="1038"/>
      <c r="F16" s="1038"/>
      <c r="G16" s="1039"/>
      <c r="H16" s="818"/>
      <c r="I16" s="638"/>
      <c r="J16" s="626"/>
      <c r="K16" s="626"/>
      <c r="L16" s="639"/>
    </row>
    <row r="17" spans="1:12" s="3" customFormat="1">
      <c r="A17" s="306"/>
      <c r="B17" s="324" t="s">
        <v>434</v>
      </c>
      <c r="C17" s="628"/>
      <c r="D17" s="820"/>
      <c r="E17" s="628"/>
      <c r="F17" s="628"/>
      <c r="G17" s="1041"/>
      <c r="H17" s="821"/>
      <c r="I17" s="635"/>
      <c r="J17" s="636"/>
      <c r="K17" s="636"/>
      <c r="L17" s="637"/>
    </row>
    <row r="18" spans="1:12">
      <c r="A18" s="305">
        <v>8</v>
      </c>
      <c r="B18" s="325" t="s">
        <v>441</v>
      </c>
      <c r="C18" s="629">
        <v>0.27504928682770463</v>
      </c>
      <c r="D18" s="822">
        <v>0.28984770909998414</v>
      </c>
      <c r="E18" s="629">
        <v>0.26072698691550589</v>
      </c>
      <c r="F18" s="629"/>
      <c r="G18" s="1042"/>
      <c r="H18" s="818"/>
      <c r="I18" s="640"/>
      <c r="J18" s="641"/>
      <c r="K18" s="641">
        <v>0.2482293299107437</v>
      </c>
      <c r="L18" s="642">
        <v>0.23438576547248507</v>
      </c>
    </row>
    <row r="19" spans="1:12" ht="15" customHeight="1">
      <c r="A19" s="305">
        <v>9</v>
      </c>
      <c r="B19" s="325" t="s">
        <v>440</v>
      </c>
      <c r="C19" s="629">
        <v>0.27504928682770463</v>
      </c>
      <c r="D19" s="822">
        <v>0.28984770909998414</v>
      </c>
      <c r="E19" s="629">
        <v>0.26072698691550589</v>
      </c>
      <c r="F19" s="629"/>
      <c r="G19" s="1042"/>
      <c r="H19" s="818"/>
      <c r="I19" s="640"/>
      <c r="J19" s="641"/>
      <c r="K19" s="641">
        <v>0.2482293299107437</v>
      </c>
      <c r="L19" s="642">
        <v>0.23438576547248507</v>
      </c>
    </row>
    <row r="20" spans="1:12">
      <c r="A20" s="305">
        <v>10</v>
      </c>
      <c r="B20" s="325" t="s">
        <v>442</v>
      </c>
      <c r="C20" s="629">
        <v>0.27504928682770463</v>
      </c>
      <c r="D20" s="822">
        <v>0.28984770909998414</v>
      </c>
      <c r="E20" s="629">
        <v>0.26072698691550589</v>
      </c>
      <c r="F20" s="629"/>
      <c r="G20" s="1042"/>
      <c r="H20" s="818"/>
      <c r="I20" s="640"/>
      <c r="J20" s="641"/>
      <c r="K20" s="641">
        <v>0.25957411920912693</v>
      </c>
      <c r="L20" s="642">
        <v>0.2459595914289962</v>
      </c>
    </row>
    <row r="21" spans="1:12">
      <c r="A21" s="305">
        <v>11</v>
      </c>
      <c r="B21" s="307" t="s">
        <v>443</v>
      </c>
      <c r="C21" s="629">
        <v>0.12665025205785832</v>
      </c>
      <c r="D21" s="822">
        <v>0.11911295369928793</v>
      </c>
      <c r="E21" s="629">
        <v>0.11723347598402409</v>
      </c>
      <c r="F21" s="629"/>
      <c r="G21" s="1042"/>
      <c r="H21" s="818"/>
      <c r="I21" s="640"/>
      <c r="J21" s="641"/>
      <c r="K21" s="641">
        <v>8.8361027542591758E-2</v>
      </c>
      <c r="L21" s="642">
        <v>9.1308912450846547E-2</v>
      </c>
    </row>
    <row r="22" spans="1:12">
      <c r="A22" s="305">
        <v>12</v>
      </c>
      <c r="B22" s="307" t="s">
        <v>444</v>
      </c>
      <c r="C22" s="629">
        <v>0.15777950901126242</v>
      </c>
      <c r="D22" s="822">
        <v>0.15060768548801667</v>
      </c>
      <c r="E22" s="629">
        <v>0.15016759937550361</v>
      </c>
      <c r="F22" s="629"/>
      <c r="G22" s="1042"/>
      <c r="H22" s="818"/>
      <c r="I22" s="640"/>
      <c r="J22" s="641"/>
      <c r="K22" s="641">
        <v>0.11785788864460796</v>
      </c>
      <c r="L22" s="642">
        <v>0.12180583739095127</v>
      </c>
    </row>
    <row r="23" spans="1:12">
      <c r="A23" s="305">
        <v>13</v>
      </c>
      <c r="B23" s="307" t="s">
        <v>445</v>
      </c>
      <c r="C23" s="629">
        <v>0.19900221552889946</v>
      </c>
      <c r="D23" s="822">
        <v>0.19231127994687031</v>
      </c>
      <c r="E23" s="629">
        <v>0.19376513015376617</v>
      </c>
      <c r="F23" s="629"/>
      <c r="G23" s="1042"/>
      <c r="H23" s="818"/>
      <c r="I23" s="640"/>
      <c r="J23" s="641"/>
      <c r="K23" s="641">
        <v>0.17319092032125777</v>
      </c>
      <c r="L23" s="642">
        <v>0.17846316974822737</v>
      </c>
    </row>
    <row r="24" spans="1:12">
      <c r="A24" s="322"/>
      <c r="B24" s="323" t="s">
        <v>6</v>
      </c>
      <c r="C24" s="626"/>
      <c r="D24" s="638"/>
      <c r="E24" s="1038"/>
      <c r="F24" s="1038"/>
      <c r="G24" s="1039"/>
      <c r="H24" s="818"/>
      <c r="I24" s="638"/>
      <c r="J24" s="626"/>
      <c r="K24" s="626"/>
      <c r="L24" s="639"/>
    </row>
    <row r="25" spans="1:12" ht="15" customHeight="1">
      <c r="A25" s="326">
        <v>14</v>
      </c>
      <c r="B25" s="327" t="s">
        <v>7</v>
      </c>
      <c r="C25" s="630">
        <v>0.11450614957446809</v>
      </c>
      <c r="D25" s="823">
        <v>8.9407218869426666E-2</v>
      </c>
      <c r="E25" s="630">
        <v>8.6907137750087599E-2</v>
      </c>
      <c r="F25" s="630"/>
      <c r="G25" s="1043"/>
      <c r="H25" s="818"/>
      <c r="I25" s="643"/>
      <c r="J25" s="644"/>
      <c r="K25" s="644">
        <v>7.1533897398314727E-2</v>
      </c>
      <c r="L25" s="645">
        <v>6.9323935917644186E-2</v>
      </c>
    </row>
    <row r="26" spans="1:12">
      <c r="A26" s="326">
        <v>15</v>
      </c>
      <c r="B26" s="327" t="s">
        <v>8</v>
      </c>
      <c r="C26" s="630">
        <v>3.3787468919112239E-2</v>
      </c>
      <c r="D26" s="823">
        <v>2.5454959703150391E-2</v>
      </c>
      <c r="E26" s="630">
        <v>2.3558164576950293E-2</v>
      </c>
      <c r="F26" s="630"/>
      <c r="G26" s="1043"/>
      <c r="H26" s="818"/>
      <c r="I26" s="643"/>
      <c r="J26" s="644"/>
      <c r="K26" s="644">
        <v>1.7726777996849765E-2</v>
      </c>
      <c r="L26" s="645">
        <v>1.6254578585638401E-2</v>
      </c>
    </row>
    <row r="27" spans="1:12">
      <c r="A27" s="326">
        <v>16</v>
      </c>
      <c r="B27" s="327" t="s">
        <v>9</v>
      </c>
      <c r="C27" s="630">
        <v>0.10178443013930448</v>
      </c>
      <c r="D27" s="823">
        <v>7.5312057573772392E-2</v>
      </c>
      <c r="E27" s="630">
        <v>0.15029367740908631</v>
      </c>
      <c r="F27" s="630"/>
      <c r="G27" s="1043"/>
      <c r="H27" s="818"/>
      <c r="I27" s="643"/>
      <c r="J27" s="644"/>
      <c r="K27" s="644">
        <v>4.4731743523914035E-2</v>
      </c>
      <c r="L27" s="645">
        <v>4.9287157635566188E-2</v>
      </c>
    </row>
    <row r="28" spans="1:12">
      <c r="A28" s="326">
        <v>17</v>
      </c>
      <c r="B28" s="327" t="s">
        <v>140</v>
      </c>
      <c r="C28" s="630">
        <v>8.0718680655355854E-2</v>
      </c>
      <c r="D28" s="823">
        <v>6.3952259166276268E-2</v>
      </c>
      <c r="E28" s="630">
        <v>6.3348973173137299E-2</v>
      </c>
      <c r="F28" s="630"/>
      <c r="G28" s="1043"/>
      <c r="H28" s="818"/>
      <c r="I28" s="643"/>
      <c r="J28" s="644"/>
      <c r="K28" s="644">
        <v>5.3807119401464959E-2</v>
      </c>
      <c r="L28" s="645">
        <v>5.3069357332005795E-2</v>
      </c>
    </row>
    <row r="29" spans="1:12">
      <c r="A29" s="326">
        <v>18</v>
      </c>
      <c r="B29" s="327" t="s">
        <v>10</v>
      </c>
      <c r="C29" s="630">
        <v>5.7521977813256991E-2</v>
      </c>
      <c r="D29" s="823">
        <v>4.6341016222891239E-2</v>
      </c>
      <c r="E29" s="630">
        <v>4.3874375306807115E-2</v>
      </c>
      <c r="F29" s="630"/>
      <c r="G29" s="1043"/>
      <c r="H29" s="818"/>
      <c r="I29" s="643"/>
      <c r="J29" s="644"/>
      <c r="K29" s="644">
        <v>4.1286729727955371E-2</v>
      </c>
      <c r="L29" s="645">
        <v>4.535760469972934E-2</v>
      </c>
    </row>
    <row r="30" spans="1:12">
      <c r="A30" s="326">
        <v>19</v>
      </c>
      <c r="B30" s="327" t="s">
        <v>11</v>
      </c>
      <c r="C30" s="630">
        <v>0.14636338967610957</v>
      </c>
      <c r="D30" s="823">
        <v>0.15036985067573896</v>
      </c>
      <c r="E30" s="630">
        <v>0.14477048820915991</v>
      </c>
      <c r="F30" s="630"/>
      <c r="G30" s="1043"/>
      <c r="H30" s="818"/>
      <c r="I30" s="643"/>
      <c r="J30" s="644"/>
      <c r="K30" s="644">
        <v>0.16145554332190271</v>
      </c>
      <c r="L30" s="645">
        <v>0.17966446601688946</v>
      </c>
    </row>
    <row r="31" spans="1:12">
      <c r="A31" s="322"/>
      <c r="B31" s="323" t="s">
        <v>12</v>
      </c>
      <c r="C31" s="626"/>
      <c r="D31" s="638"/>
      <c r="E31" s="1038"/>
      <c r="F31" s="1038"/>
      <c r="G31" s="1039"/>
      <c r="H31" s="818"/>
      <c r="I31" s="638"/>
      <c r="J31" s="626"/>
      <c r="K31" s="626"/>
      <c r="L31" s="639"/>
    </row>
    <row r="32" spans="1:12">
      <c r="A32" s="326">
        <v>20</v>
      </c>
      <c r="B32" s="327" t="s">
        <v>13</v>
      </c>
      <c r="C32" s="630">
        <v>4.3142874327638768E-3</v>
      </c>
      <c r="D32" s="823">
        <v>5.9703174831710329E-3</v>
      </c>
      <c r="E32" s="630">
        <v>3.9531183805543765E-3</v>
      </c>
      <c r="F32" s="630"/>
      <c r="G32" s="1043"/>
      <c r="H32" s="818"/>
      <c r="I32" s="643"/>
      <c r="J32" s="644"/>
      <c r="K32" s="644">
        <v>2.4380094855071009E-2</v>
      </c>
      <c r="L32" s="645">
        <v>2.8265026263008846E-2</v>
      </c>
    </row>
    <row r="33" spans="1:12" ht="15" customHeight="1">
      <c r="A33" s="326">
        <v>21</v>
      </c>
      <c r="B33" s="327" t="s">
        <v>955</v>
      </c>
      <c r="C33" s="630">
        <v>1.0150249312633594E-2</v>
      </c>
      <c r="D33" s="823">
        <v>1.0566230401128422E-2</v>
      </c>
      <c r="E33" s="630">
        <v>8.8829379193323017E-3</v>
      </c>
      <c r="F33" s="630"/>
      <c r="G33" s="1043"/>
      <c r="H33" s="818"/>
      <c r="I33" s="643"/>
      <c r="J33" s="644"/>
      <c r="K33" s="644">
        <v>2.6981304432221097E-2</v>
      </c>
      <c r="L33" s="645">
        <v>3.0938804531056994E-2</v>
      </c>
    </row>
    <row r="34" spans="1:12">
      <c r="A34" s="326">
        <v>22</v>
      </c>
      <c r="B34" s="327" t="s">
        <v>14</v>
      </c>
      <c r="C34" s="630">
        <v>0.60091674270158835</v>
      </c>
      <c r="D34" s="823">
        <v>0.52184149092214316</v>
      </c>
      <c r="E34" s="630">
        <v>0.46655326435450678</v>
      </c>
      <c r="F34" s="630"/>
      <c r="G34" s="1043"/>
      <c r="H34" s="818"/>
      <c r="I34" s="643"/>
      <c r="J34" s="644"/>
      <c r="K34" s="644">
        <v>0.46305961220141145</v>
      </c>
      <c r="L34" s="645">
        <v>0.55026036863305616</v>
      </c>
    </row>
    <row r="35" spans="1:12" ht="15" customHeight="1">
      <c r="A35" s="326">
        <v>23</v>
      </c>
      <c r="B35" s="327" t="s">
        <v>15</v>
      </c>
      <c r="C35" s="630">
        <v>0.56221702124237438</v>
      </c>
      <c r="D35" s="823">
        <v>0.51887862763436388</v>
      </c>
      <c r="E35" s="630">
        <v>0.59511496228482197</v>
      </c>
      <c r="F35" s="630"/>
      <c r="G35" s="1043"/>
      <c r="H35" s="818"/>
      <c r="I35" s="643"/>
      <c r="J35" s="644"/>
      <c r="K35" s="644">
        <v>0.55202739502102027</v>
      </c>
      <c r="L35" s="645">
        <v>0.59384448327133066</v>
      </c>
    </row>
    <row r="36" spans="1:12">
      <c r="A36" s="326">
        <v>24</v>
      </c>
      <c r="B36" s="327" t="s">
        <v>16</v>
      </c>
      <c r="C36" s="630">
        <v>-0.12057188272282891</v>
      </c>
      <c r="D36" s="823">
        <v>-6.8098829979359662E-2</v>
      </c>
      <c r="E36" s="630">
        <v>-2.1318812948108133E-2</v>
      </c>
      <c r="F36" s="630"/>
      <c r="G36" s="1043"/>
      <c r="H36" s="818"/>
      <c r="I36" s="643"/>
      <c r="J36" s="644"/>
      <c r="K36" s="644">
        <v>9.1431647580834344E-2</v>
      </c>
      <c r="L36" s="645">
        <v>0.11972762844349358</v>
      </c>
    </row>
    <row r="37" spans="1:12" ht="15" customHeight="1">
      <c r="A37" s="322"/>
      <c r="B37" s="323" t="s">
        <v>17</v>
      </c>
      <c r="C37" s="626"/>
      <c r="D37" s="638"/>
      <c r="E37" s="1038"/>
      <c r="F37" s="1038"/>
      <c r="G37" s="1039"/>
      <c r="H37" s="818"/>
      <c r="I37" s="638"/>
      <c r="J37" s="626"/>
      <c r="K37" s="626"/>
      <c r="L37" s="639"/>
    </row>
    <row r="38" spans="1:12" ht="15" customHeight="1">
      <c r="A38" s="326">
        <v>25</v>
      </c>
      <c r="B38" s="327" t="s">
        <v>18</v>
      </c>
      <c r="C38" s="630">
        <v>0.37206618588690626</v>
      </c>
      <c r="D38" s="823">
        <v>0.27971085774932819</v>
      </c>
      <c r="E38" s="630">
        <v>0.34828522725083516</v>
      </c>
      <c r="F38" s="630"/>
      <c r="G38" s="1043"/>
      <c r="H38" s="818"/>
      <c r="I38" s="646"/>
      <c r="J38" s="647"/>
      <c r="K38" s="647">
        <v>0.24914921189230418</v>
      </c>
      <c r="L38" s="648">
        <v>0.15710923277885569</v>
      </c>
    </row>
    <row r="39" spans="1:12" ht="15" customHeight="1">
      <c r="A39" s="326">
        <v>26</v>
      </c>
      <c r="B39" s="327" t="s">
        <v>19</v>
      </c>
      <c r="C39" s="630">
        <v>0.79884201878751415</v>
      </c>
      <c r="D39" s="823">
        <v>0.77471384608442484</v>
      </c>
      <c r="E39" s="630">
        <v>0.82360160676101246</v>
      </c>
      <c r="F39" s="630"/>
      <c r="G39" s="1043"/>
      <c r="H39" s="818"/>
      <c r="I39" s="646"/>
      <c r="J39" s="647"/>
      <c r="K39" s="647">
        <v>0.76892545530979173</v>
      </c>
      <c r="L39" s="648">
        <v>0.82225848263923629</v>
      </c>
    </row>
    <row r="40" spans="1:12" ht="15" customHeight="1">
      <c r="A40" s="326">
        <v>27</v>
      </c>
      <c r="B40" s="328" t="s">
        <v>20</v>
      </c>
      <c r="C40" s="630">
        <v>0.2641773544581702</v>
      </c>
      <c r="D40" s="823">
        <v>0.28525357381354538</v>
      </c>
      <c r="E40" s="630">
        <v>0.30967050617691744</v>
      </c>
      <c r="F40" s="630"/>
      <c r="G40" s="1043"/>
      <c r="H40" s="818"/>
      <c r="I40" s="646"/>
      <c r="J40" s="647"/>
      <c r="K40" s="647">
        <v>0.2268974261944201</v>
      </c>
      <c r="L40" s="648">
        <v>0.18261594663740496</v>
      </c>
    </row>
    <row r="41" spans="1:12" ht="15" customHeight="1">
      <c r="A41" s="329"/>
      <c r="B41" s="323" t="s">
        <v>356</v>
      </c>
      <c r="C41" s="626"/>
      <c r="D41" s="638"/>
      <c r="E41" s="1038"/>
      <c r="F41" s="1038"/>
      <c r="G41" s="1039"/>
      <c r="H41" s="818"/>
      <c r="I41" s="638"/>
      <c r="J41" s="626"/>
      <c r="K41" s="626"/>
      <c r="L41" s="639"/>
    </row>
    <row r="42" spans="1:12" ht="15" customHeight="1">
      <c r="A42" s="326">
        <v>28</v>
      </c>
      <c r="B42" s="368" t="s">
        <v>340</v>
      </c>
      <c r="C42" s="631">
        <v>165063970.61018801</v>
      </c>
      <c r="D42" s="824">
        <v>112123703.71373199</v>
      </c>
      <c r="E42" s="631">
        <v>150849444.27000001</v>
      </c>
      <c r="F42" s="631"/>
      <c r="G42" s="1044"/>
      <c r="H42" s="818"/>
      <c r="I42" s="649"/>
      <c r="J42" s="650"/>
      <c r="K42" s="650">
        <v>101467169.72</v>
      </c>
      <c r="L42" s="651">
        <v>89137438.829999998</v>
      </c>
    </row>
    <row r="43" spans="1:12">
      <c r="A43" s="326">
        <v>29</v>
      </c>
      <c r="B43" s="327" t="s">
        <v>341</v>
      </c>
      <c r="C43" s="631">
        <v>113190971.9703785</v>
      </c>
      <c r="D43" s="824">
        <v>76857633.32321772</v>
      </c>
      <c r="E43" s="631">
        <v>107578065.84092894</v>
      </c>
      <c r="F43" s="631"/>
      <c r="G43" s="1044"/>
      <c r="H43" s="818"/>
      <c r="I43" s="649"/>
      <c r="J43" s="650"/>
      <c r="K43" s="650">
        <v>59257735.987993032</v>
      </c>
      <c r="L43" s="651">
        <v>67044637.556638002</v>
      </c>
    </row>
    <row r="44" spans="1:12">
      <c r="A44" s="366">
        <v>30</v>
      </c>
      <c r="B44" s="367" t="s">
        <v>339</v>
      </c>
      <c r="C44" s="632">
        <f>C42/C43</f>
        <v>1.4582785865058603</v>
      </c>
      <c r="D44" s="825">
        <f>D42/D43</f>
        <v>1.4588492888169748</v>
      </c>
      <c r="E44" s="632">
        <f>E42/E43</f>
        <v>1.4022323518351278</v>
      </c>
      <c r="F44" s="632"/>
      <c r="G44" s="1045"/>
      <c r="H44" s="818"/>
      <c r="I44" s="652"/>
      <c r="J44" s="653"/>
      <c r="K44" s="653">
        <v>1.7123025041078106</v>
      </c>
      <c r="L44" s="654">
        <v>1.3295237632494983</v>
      </c>
    </row>
    <row r="45" spans="1:12">
      <c r="A45" s="366"/>
      <c r="B45" s="323" t="s">
        <v>451</v>
      </c>
      <c r="C45" s="633"/>
      <c r="D45" s="826"/>
      <c r="E45" s="633"/>
      <c r="F45" s="633"/>
      <c r="G45" s="1046"/>
      <c r="H45" s="818"/>
      <c r="I45" s="655"/>
      <c r="J45" s="656"/>
      <c r="K45" s="656"/>
      <c r="L45" s="657"/>
    </row>
    <row r="46" spans="1:12">
      <c r="A46" s="366">
        <v>31</v>
      </c>
      <c r="B46" s="367" t="s">
        <v>458</v>
      </c>
      <c r="C46" s="827">
        <v>264570467.43978399</v>
      </c>
      <c r="D46" s="826">
        <v>248483909.29105264</v>
      </c>
      <c r="E46" s="633">
        <v>256233936.39232719</v>
      </c>
      <c r="F46" s="633"/>
      <c r="G46" s="1046"/>
      <c r="H46" s="818"/>
      <c r="I46" s="655"/>
      <c r="J46" s="656"/>
      <c r="K46" s="656">
        <v>231228050.25346208</v>
      </c>
      <c r="L46" s="657">
        <v>233594681.10261557</v>
      </c>
    </row>
    <row r="47" spans="1:12">
      <c r="A47" s="366">
        <v>32</v>
      </c>
      <c r="B47" s="367" t="s">
        <v>471</v>
      </c>
      <c r="C47" s="827">
        <v>182133054.79316208</v>
      </c>
      <c r="D47" s="826">
        <v>185917806.78336489</v>
      </c>
      <c r="E47" s="633">
        <v>179143144.7606785</v>
      </c>
      <c r="F47" s="633"/>
      <c r="G47" s="1046"/>
      <c r="H47" s="818"/>
      <c r="I47" s="655"/>
      <c r="J47" s="656"/>
      <c r="K47" s="656">
        <v>182662714.46660978</v>
      </c>
      <c r="L47" s="657">
        <v>197363686.82135105</v>
      </c>
    </row>
    <row r="48" spans="1:12" ht="15" thickBot="1">
      <c r="A48" s="84">
        <v>33</v>
      </c>
      <c r="B48" s="170" t="s">
        <v>485</v>
      </c>
      <c r="C48" s="634">
        <f>C46/C47</f>
        <v>1.4526219183016575</v>
      </c>
      <c r="D48" s="828">
        <f>D46/D47</f>
        <v>1.3365256055359507</v>
      </c>
      <c r="E48" s="634">
        <f>E46/E47</f>
        <v>1.430330681839018</v>
      </c>
      <c r="F48" s="634"/>
      <c r="G48" s="1047"/>
      <c r="H48" s="818"/>
      <c r="I48" s="658"/>
      <c r="J48" s="659"/>
      <c r="K48" s="659">
        <v>1.2658743790634399</v>
      </c>
      <c r="L48" s="660">
        <v>1.183574774391299</v>
      </c>
    </row>
    <row r="49" spans="1:7">
      <c r="A49" s="20"/>
    </row>
    <row r="50" spans="1:7" ht="41.4">
      <c r="B50" s="23" t="s">
        <v>942</v>
      </c>
    </row>
    <row r="51" spans="1:7" ht="69">
      <c r="B51" s="237" t="s">
        <v>355</v>
      </c>
      <c r="D51" s="218"/>
      <c r="E51" s="218"/>
      <c r="F51" s="218"/>
      <c r="G51" s="218"/>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09375" defaultRowHeight="12"/>
  <cols>
    <col min="1" max="1" width="11.88671875" style="374" bestFit="1" customWidth="1"/>
    <col min="2" max="2" width="105.109375" style="374" bestFit="1" customWidth="1"/>
    <col min="3" max="3" width="18" style="374" bestFit="1" customWidth="1"/>
    <col min="4" max="4" width="18.88671875" style="374" bestFit="1" customWidth="1"/>
    <col min="5" max="5" width="18.44140625" style="374" bestFit="1" customWidth="1"/>
    <col min="6" max="6" width="17.44140625" style="374" bestFit="1" customWidth="1"/>
    <col min="7" max="7" width="30.44140625" style="374" customWidth="1"/>
    <col min="8" max="8" width="18.88671875" style="374" bestFit="1" customWidth="1"/>
    <col min="9" max="16384" width="9.109375" style="374"/>
  </cols>
  <sheetData>
    <row r="1" spans="1:8" ht="13.2">
      <c r="A1" s="373" t="s">
        <v>108</v>
      </c>
      <c r="B1" s="623" t="str">
        <f>'1. key ratios'!B1</f>
        <v>სს იშბანკი საქართველო</v>
      </c>
    </row>
    <row r="2" spans="1:8" ht="13.2">
      <c r="A2" s="375" t="s">
        <v>109</v>
      </c>
      <c r="B2" s="624">
        <f>'1. key ratios'!B2</f>
        <v>45199</v>
      </c>
    </row>
    <row r="3" spans="1:8">
      <c r="A3" s="376" t="s">
        <v>491</v>
      </c>
    </row>
    <row r="5" spans="1:8">
      <c r="A5" s="913" t="s">
        <v>492</v>
      </c>
      <c r="B5" s="914"/>
      <c r="C5" s="919" t="s">
        <v>493</v>
      </c>
      <c r="D5" s="920"/>
      <c r="E5" s="920"/>
      <c r="F5" s="920"/>
      <c r="G5" s="920"/>
      <c r="H5" s="921"/>
    </row>
    <row r="6" spans="1:8">
      <c r="A6" s="915"/>
      <c r="B6" s="916"/>
      <c r="C6" s="922"/>
      <c r="D6" s="923"/>
      <c r="E6" s="923"/>
      <c r="F6" s="923"/>
      <c r="G6" s="923"/>
      <c r="H6" s="924"/>
    </row>
    <row r="7" spans="1:8" ht="24">
      <c r="A7" s="917"/>
      <c r="B7" s="918"/>
      <c r="C7" s="472" t="s">
        <v>494</v>
      </c>
      <c r="D7" s="472" t="s">
        <v>495</v>
      </c>
      <c r="E7" s="472" t="s">
        <v>496</v>
      </c>
      <c r="F7" s="472" t="s">
        <v>497</v>
      </c>
      <c r="G7" s="473" t="s">
        <v>677</v>
      </c>
      <c r="H7" s="472" t="s">
        <v>66</v>
      </c>
    </row>
    <row r="8" spans="1:8">
      <c r="A8" s="468">
        <v>1</v>
      </c>
      <c r="B8" s="467" t="s">
        <v>134</v>
      </c>
      <c r="C8" s="781">
        <v>79401790.668326288</v>
      </c>
      <c r="D8" s="781">
        <v>6525308.4838067051</v>
      </c>
      <c r="E8" s="781">
        <v>0</v>
      </c>
      <c r="F8" s="781">
        <v>0</v>
      </c>
      <c r="G8" s="781"/>
      <c r="H8" s="782">
        <f t="shared" ref="H8:H20" si="0">SUM(C8:G8)</f>
        <v>85927099.152132988</v>
      </c>
    </row>
    <row r="9" spans="1:8">
      <c r="A9" s="468">
        <v>2</v>
      </c>
      <c r="B9" s="467" t="s">
        <v>135</v>
      </c>
      <c r="C9" s="781"/>
      <c r="D9" s="781"/>
      <c r="E9" s="781"/>
      <c r="F9" s="781"/>
      <c r="G9" s="781"/>
      <c r="H9" s="782">
        <f t="shared" si="0"/>
        <v>0</v>
      </c>
    </row>
    <row r="10" spans="1:8">
      <c r="A10" s="468">
        <v>3</v>
      </c>
      <c r="B10" s="467" t="s">
        <v>136</v>
      </c>
      <c r="C10" s="781"/>
      <c r="D10" s="781"/>
      <c r="E10" s="781"/>
      <c r="F10" s="781"/>
      <c r="G10" s="781"/>
      <c r="H10" s="782">
        <f t="shared" si="0"/>
        <v>0</v>
      </c>
    </row>
    <row r="11" spans="1:8">
      <c r="A11" s="468">
        <v>4</v>
      </c>
      <c r="B11" s="467" t="s">
        <v>137</v>
      </c>
      <c r="C11" s="781"/>
      <c r="D11" s="781"/>
      <c r="E11" s="781"/>
      <c r="F11" s="781"/>
      <c r="G11" s="781"/>
      <c r="H11" s="782">
        <f t="shared" si="0"/>
        <v>0</v>
      </c>
    </row>
    <row r="12" spans="1:8">
      <c r="A12" s="468">
        <v>5</v>
      </c>
      <c r="B12" s="467" t="s">
        <v>946</v>
      </c>
      <c r="C12" s="781"/>
      <c r="D12" s="781"/>
      <c r="E12" s="781"/>
      <c r="F12" s="781"/>
      <c r="G12" s="781"/>
      <c r="H12" s="782">
        <f t="shared" si="0"/>
        <v>0</v>
      </c>
    </row>
    <row r="13" spans="1:8">
      <c r="A13" s="468">
        <v>6</v>
      </c>
      <c r="B13" s="467" t="s">
        <v>138</v>
      </c>
      <c r="C13" s="781">
        <v>11768669.596544849</v>
      </c>
      <c r="D13" s="781">
        <v>70590788.429720804</v>
      </c>
      <c r="E13" s="781">
        <v>5420975.2936303662</v>
      </c>
      <c r="F13" s="781">
        <v>0</v>
      </c>
      <c r="G13" s="781"/>
      <c r="H13" s="782">
        <f t="shared" si="0"/>
        <v>87780433.319896013</v>
      </c>
    </row>
    <row r="14" spans="1:8">
      <c r="A14" s="468">
        <v>7</v>
      </c>
      <c r="B14" s="467" t="s">
        <v>71</v>
      </c>
      <c r="C14" s="781"/>
      <c r="D14" s="781">
        <v>145861874.79515374</v>
      </c>
      <c r="E14" s="781">
        <v>80346000.413854063</v>
      </c>
      <c r="F14" s="781">
        <v>18898484.583370432</v>
      </c>
      <c r="G14" s="781">
        <v>5163.1930151344277</v>
      </c>
      <c r="H14" s="782">
        <f t="shared" si="0"/>
        <v>245111522.98539338</v>
      </c>
    </row>
    <row r="15" spans="1:8">
      <c r="A15" s="468">
        <v>8</v>
      </c>
      <c r="B15" s="469" t="s">
        <v>72</v>
      </c>
      <c r="C15" s="781"/>
      <c r="D15" s="781"/>
      <c r="E15" s="781"/>
      <c r="F15" s="781"/>
      <c r="G15" s="781"/>
      <c r="H15" s="782">
        <f t="shared" si="0"/>
        <v>0</v>
      </c>
    </row>
    <row r="16" spans="1:8">
      <c r="A16" s="468">
        <v>9</v>
      </c>
      <c r="B16" s="467" t="s">
        <v>947</v>
      </c>
      <c r="C16" s="781"/>
      <c r="D16" s="781"/>
      <c r="E16" s="781"/>
      <c r="F16" s="781"/>
      <c r="G16" s="781"/>
      <c r="H16" s="782">
        <f t="shared" si="0"/>
        <v>0</v>
      </c>
    </row>
    <row r="17" spans="1:8">
      <c r="A17" s="468">
        <v>10</v>
      </c>
      <c r="B17" s="471" t="s">
        <v>512</v>
      </c>
      <c r="C17" s="781"/>
      <c r="D17" s="781">
        <v>1885.364521146475</v>
      </c>
      <c r="E17" s="781">
        <v>12205.34883988318</v>
      </c>
      <c r="F17" s="781">
        <v>81171.124793142531</v>
      </c>
      <c r="G17" s="781">
        <v>904.62205195898423</v>
      </c>
      <c r="H17" s="782">
        <f t="shared" si="0"/>
        <v>96166.460206131174</v>
      </c>
    </row>
    <row r="18" spans="1:8">
      <c r="A18" s="468">
        <v>11</v>
      </c>
      <c r="B18" s="467" t="s">
        <v>68</v>
      </c>
      <c r="C18" s="781"/>
      <c r="D18" s="781">
        <v>0</v>
      </c>
      <c r="E18" s="781">
        <v>0</v>
      </c>
      <c r="F18" s="781">
        <v>0</v>
      </c>
      <c r="G18" s="781">
        <v>0</v>
      </c>
      <c r="H18" s="782">
        <f t="shared" si="0"/>
        <v>0</v>
      </c>
    </row>
    <row r="19" spans="1:8">
      <c r="A19" s="468">
        <v>12</v>
      </c>
      <c r="B19" s="467" t="s">
        <v>69</v>
      </c>
      <c r="C19" s="781"/>
      <c r="D19" s="781"/>
      <c r="E19" s="781"/>
      <c r="F19" s="781"/>
      <c r="G19" s="781"/>
      <c r="H19" s="782">
        <f t="shared" si="0"/>
        <v>0</v>
      </c>
    </row>
    <row r="20" spans="1:8">
      <c r="A20" s="470">
        <v>13</v>
      </c>
      <c r="B20" s="469" t="s">
        <v>70</v>
      </c>
      <c r="C20" s="781"/>
      <c r="D20" s="781"/>
      <c r="E20" s="781"/>
      <c r="F20" s="781"/>
      <c r="G20" s="781"/>
      <c r="H20" s="782">
        <f t="shared" si="0"/>
        <v>0</v>
      </c>
    </row>
    <row r="21" spans="1:8">
      <c r="A21" s="468">
        <v>14</v>
      </c>
      <c r="B21" s="467" t="s">
        <v>498</v>
      </c>
      <c r="C21" s="781">
        <v>2270470.7790999999</v>
      </c>
      <c r="D21" s="781">
        <v>322191.00100314757</v>
      </c>
      <c r="E21" s="781">
        <v>4856468.7739674794</v>
      </c>
      <c r="F21" s="781">
        <v>3282554.7549250312</v>
      </c>
      <c r="G21" s="781">
        <v>13913029.756809248</v>
      </c>
      <c r="H21" s="782">
        <f>SUM(C21:G21)</f>
        <v>24644715.065804906</v>
      </c>
    </row>
    <row r="22" spans="1:8">
      <c r="A22" s="466">
        <v>15</v>
      </c>
      <c r="B22" s="465" t="s">
        <v>66</v>
      </c>
      <c r="C22" s="782">
        <f>SUM(C18:C21)+SUM(C8:C16)</f>
        <v>93440931.043971136</v>
      </c>
      <c r="D22" s="782">
        <f t="shared" ref="D22:H22" si="1">SUM(D18:D21)+SUM(D8:D16)</f>
        <v>223300162.70968437</v>
      </c>
      <c r="E22" s="782">
        <f t="shared" si="1"/>
        <v>90623444.481451899</v>
      </c>
      <c r="F22" s="782">
        <f t="shared" si="1"/>
        <v>22181039.338295463</v>
      </c>
      <c r="G22" s="782">
        <f t="shared" si="1"/>
        <v>13918192.949824382</v>
      </c>
      <c r="H22" s="782">
        <f t="shared" si="1"/>
        <v>443463770.52322727</v>
      </c>
    </row>
    <row r="26" spans="1:8" ht="36">
      <c r="B26" s="393" t="s">
        <v>676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09375" defaultRowHeight="12"/>
  <cols>
    <col min="1" max="1" width="11.88671875" style="377" bestFit="1" customWidth="1"/>
    <col min="2" max="2" width="86.88671875" style="374" customWidth="1"/>
    <col min="3" max="4" width="31.5546875" style="374" customWidth="1"/>
    <col min="5" max="5" width="16.44140625" style="379" bestFit="1" customWidth="1"/>
    <col min="6" max="6" width="14.33203125" style="379" bestFit="1" customWidth="1"/>
    <col min="7" max="7" width="20" style="374" bestFit="1" customWidth="1"/>
    <col min="8" max="8" width="25.109375" style="374" bestFit="1" customWidth="1"/>
    <col min="9" max="16384" width="9.109375" style="374"/>
  </cols>
  <sheetData>
    <row r="1" spans="1:8" ht="13.2">
      <c r="A1" s="373" t="s">
        <v>108</v>
      </c>
      <c r="B1" s="623" t="str">
        <f>'1. key ratios'!B1</f>
        <v>სს იშბანკი საქართველო</v>
      </c>
      <c r="C1" s="485"/>
      <c r="D1" s="485"/>
      <c r="E1" s="485"/>
      <c r="F1" s="485"/>
      <c r="G1" s="485"/>
      <c r="H1" s="485"/>
    </row>
    <row r="2" spans="1:8" ht="13.2">
      <c r="A2" s="375" t="s">
        <v>109</v>
      </c>
      <c r="B2" s="624">
        <f>'1. key ratios'!B2</f>
        <v>45199</v>
      </c>
      <c r="C2" s="485"/>
      <c r="D2" s="485"/>
      <c r="E2" s="485"/>
      <c r="F2" s="485"/>
      <c r="G2" s="485"/>
      <c r="H2" s="485"/>
    </row>
    <row r="3" spans="1:8">
      <c r="A3" s="376" t="s">
        <v>499</v>
      </c>
      <c r="B3" s="485"/>
      <c r="C3" s="485"/>
      <c r="D3" s="485"/>
      <c r="E3" s="485"/>
      <c r="F3" s="485"/>
      <c r="G3" s="485"/>
      <c r="H3" s="485"/>
    </row>
    <row r="4" spans="1:8">
      <c r="A4" s="486"/>
      <c r="B4" s="485"/>
      <c r="C4" s="484" t="s">
        <v>500</v>
      </c>
      <c r="D4" s="484" t="s">
        <v>501</v>
      </c>
      <c r="E4" s="484" t="s">
        <v>502</v>
      </c>
      <c r="F4" s="484" t="s">
        <v>503</v>
      </c>
      <c r="G4" s="484" t="s">
        <v>504</v>
      </c>
      <c r="H4" s="484" t="s">
        <v>505</v>
      </c>
    </row>
    <row r="5" spans="1:8" ht="33.9" customHeight="1">
      <c r="A5" s="913" t="s">
        <v>865</v>
      </c>
      <c r="B5" s="914"/>
      <c r="C5" s="927" t="s">
        <v>594</v>
      </c>
      <c r="D5" s="927"/>
      <c r="E5" s="927" t="s">
        <v>864</v>
      </c>
      <c r="F5" s="925" t="s">
        <v>863</v>
      </c>
      <c r="G5" s="925" t="s">
        <v>509</v>
      </c>
      <c r="H5" s="482" t="s">
        <v>862</v>
      </c>
    </row>
    <row r="6" spans="1:8" ht="24">
      <c r="A6" s="917"/>
      <c r="B6" s="918"/>
      <c r="C6" s="483" t="s">
        <v>510</v>
      </c>
      <c r="D6" s="483" t="s">
        <v>511</v>
      </c>
      <c r="E6" s="927"/>
      <c r="F6" s="926"/>
      <c r="G6" s="926"/>
      <c r="H6" s="482" t="s">
        <v>861</v>
      </c>
    </row>
    <row r="7" spans="1:8">
      <c r="A7" s="480">
        <v>1</v>
      </c>
      <c r="B7" s="467" t="s">
        <v>134</v>
      </c>
      <c r="C7" s="783">
        <v>0</v>
      </c>
      <c r="D7" s="783">
        <v>86158875.09709999</v>
      </c>
      <c r="E7" s="784">
        <v>231775.94496701012</v>
      </c>
      <c r="F7" s="784"/>
      <c r="G7" s="783"/>
      <c r="H7" s="785">
        <f t="shared" ref="H7:H20" si="0">C7+D7-E7-F7</f>
        <v>85927099.152132973</v>
      </c>
    </row>
    <row r="8" spans="1:8" ht="14.4" customHeight="1">
      <c r="A8" s="480">
        <v>2</v>
      </c>
      <c r="B8" s="467" t="s">
        <v>135</v>
      </c>
      <c r="C8" s="783"/>
      <c r="D8" s="783"/>
      <c r="E8" s="784"/>
      <c r="F8" s="784"/>
      <c r="G8" s="783"/>
      <c r="H8" s="785">
        <f t="shared" si="0"/>
        <v>0</v>
      </c>
    </row>
    <row r="9" spans="1:8">
      <c r="A9" s="480">
        <v>3</v>
      </c>
      <c r="B9" s="467" t="s">
        <v>136</v>
      </c>
      <c r="C9" s="783"/>
      <c r="D9" s="783"/>
      <c r="E9" s="784"/>
      <c r="F9" s="784"/>
      <c r="G9" s="783"/>
      <c r="H9" s="785">
        <f t="shared" si="0"/>
        <v>0</v>
      </c>
    </row>
    <row r="10" spans="1:8">
      <c r="A10" s="480">
        <v>4</v>
      </c>
      <c r="B10" s="467" t="s">
        <v>137</v>
      </c>
      <c r="C10" s="783"/>
      <c r="D10" s="783"/>
      <c r="E10" s="784"/>
      <c r="F10" s="784"/>
      <c r="G10" s="783"/>
      <c r="H10" s="785">
        <f t="shared" si="0"/>
        <v>0</v>
      </c>
    </row>
    <row r="11" spans="1:8">
      <c r="A11" s="480">
        <v>5</v>
      </c>
      <c r="B11" s="467" t="s">
        <v>946</v>
      </c>
      <c r="C11" s="783">
        <v>0</v>
      </c>
      <c r="D11" s="783"/>
      <c r="E11" s="784"/>
      <c r="F11" s="784"/>
      <c r="G11" s="783"/>
      <c r="H11" s="785">
        <f t="shared" si="0"/>
        <v>0</v>
      </c>
    </row>
    <row r="12" spans="1:8">
      <c r="A12" s="480">
        <v>6</v>
      </c>
      <c r="B12" s="467" t="s">
        <v>138</v>
      </c>
      <c r="C12" s="783">
        <v>0</v>
      </c>
      <c r="D12" s="783">
        <v>88101917.173284695</v>
      </c>
      <c r="E12" s="784">
        <v>321483.85338866693</v>
      </c>
      <c r="F12" s="784"/>
      <c r="G12" s="783"/>
      <c r="H12" s="785">
        <f t="shared" si="0"/>
        <v>87780433.319896027</v>
      </c>
    </row>
    <row r="13" spans="1:8">
      <c r="A13" s="480">
        <v>7</v>
      </c>
      <c r="B13" s="467" t="s">
        <v>71</v>
      </c>
      <c r="C13" s="783">
        <v>403371.92911849741</v>
      </c>
      <c r="D13" s="783">
        <v>246550655.80280656</v>
      </c>
      <c r="E13" s="784">
        <v>1811969.7465317061</v>
      </c>
      <c r="F13" s="784"/>
      <c r="G13" s="783"/>
      <c r="H13" s="785">
        <f t="shared" si="0"/>
        <v>245142057.98539335</v>
      </c>
    </row>
    <row r="14" spans="1:8">
      <c r="A14" s="480">
        <v>8</v>
      </c>
      <c r="B14" s="469" t="s">
        <v>72</v>
      </c>
      <c r="C14" s="783"/>
      <c r="D14" s="783"/>
      <c r="E14" s="784"/>
      <c r="F14" s="784"/>
      <c r="G14" s="783"/>
      <c r="H14" s="785">
        <f t="shared" si="0"/>
        <v>0</v>
      </c>
    </row>
    <row r="15" spans="1:8">
      <c r="A15" s="480">
        <v>9</v>
      </c>
      <c r="B15" s="467" t="s">
        <v>947</v>
      </c>
      <c r="C15" s="783"/>
      <c r="D15" s="783"/>
      <c r="E15" s="784"/>
      <c r="F15" s="784"/>
      <c r="G15" s="783"/>
      <c r="H15" s="785">
        <f t="shared" si="0"/>
        <v>0</v>
      </c>
    </row>
    <row r="16" spans="1:8">
      <c r="A16" s="480">
        <v>10</v>
      </c>
      <c r="B16" s="471" t="s">
        <v>512</v>
      </c>
      <c r="C16" s="783">
        <v>329413.06000000006</v>
      </c>
      <c r="D16" s="783">
        <v>0</v>
      </c>
      <c r="E16" s="784">
        <v>233246.59979386887</v>
      </c>
      <c r="F16" s="784"/>
      <c r="G16" s="783"/>
      <c r="H16" s="785">
        <f t="shared" si="0"/>
        <v>96166.460206131189</v>
      </c>
    </row>
    <row r="17" spans="1:8">
      <c r="A17" s="480">
        <v>11</v>
      </c>
      <c r="B17" s="467" t="s">
        <v>68</v>
      </c>
      <c r="C17" s="783">
        <v>0</v>
      </c>
      <c r="D17" s="783">
        <v>0</v>
      </c>
      <c r="E17" s="784">
        <v>0</v>
      </c>
      <c r="F17" s="784"/>
      <c r="G17" s="783"/>
      <c r="H17" s="785">
        <f t="shared" si="0"/>
        <v>0</v>
      </c>
    </row>
    <row r="18" spans="1:8">
      <c r="A18" s="480">
        <v>12</v>
      </c>
      <c r="B18" s="467" t="s">
        <v>69</v>
      </c>
      <c r="C18" s="783"/>
      <c r="D18" s="783"/>
      <c r="E18" s="784"/>
      <c r="F18" s="784"/>
      <c r="G18" s="783"/>
      <c r="H18" s="785">
        <f t="shared" si="0"/>
        <v>0</v>
      </c>
    </row>
    <row r="19" spans="1:8">
      <c r="A19" s="481">
        <v>13</v>
      </c>
      <c r="B19" s="469" t="s">
        <v>70</v>
      </c>
      <c r="C19" s="783"/>
      <c r="D19" s="783"/>
      <c r="E19" s="784"/>
      <c r="F19" s="784"/>
      <c r="G19" s="783"/>
      <c r="H19" s="785">
        <f t="shared" si="0"/>
        <v>0</v>
      </c>
    </row>
    <row r="20" spans="1:8">
      <c r="A20" s="480">
        <v>14</v>
      </c>
      <c r="B20" s="467" t="s">
        <v>498</v>
      </c>
      <c r="C20" s="783">
        <v>1980699.5707425131</v>
      </c>
      <c r="D20" s="783">
        <v>23443795.335295353</v>
      </c>
      <c r="E20" s="784">
        <v>632666.52095076535</v>
      </c>
      <c r="F20" s="784"/>
      <c r="G20" s="783"/>
      <c r="H20" s="785">
        <f t="shared" si="0"/>
        <v>24791828.385087103</v>
      </c>
    </row>
    <row r="21" spans="1:8" s="378" customFormat="1">
      <c r="A21" s="479">
        <v>15</v>
      </c>
      <c r="B21" s="478" t="s">
        <v>66</v>
      </c>
      <c r="C21" s="786">
        <f t="shared" ref="C21:H21" si="1">SUM(C7:C15)+SUM(C17:C20)</f>
        <v>2384071.4998610104</v>
      </c>
      <c r="D21" s="786">
        <f t="shared" si="1"/>
        <v>444255243.4084866</v>
      </c>
      <c r="E21" s="786">
        <f t="shared" si="1"/>
        <v>2997896.0658381484</v>
      </c>
      <c r="F21" s="786">
        <f t="shared" si="1"/>
        <v>0</v>
      </c>
      <c r="G21" s="786">
        <f t="shared" si="1"/>
        <v>0</v>
      </c>
      <c r="H21" s="785">
        <f t="shared" si="1"/>
        <v>443641418.84250951</v>
      </c>
    </row>
    <row r="22" spans="1:8">
      <c r="A22" s="477">
        <v>16</v>
      </c>
      <c r="B22" s="476" t="s">
        <v>513</v>
      </c>
      <c r="C22" s="783">
        <v>1034978.3198610106</v>
      </c>
      <c r="D22" s="783">
        <v>238860563.17816311</v>
      </c>
      <c r="E22" s="784">
        <v>2434999.5551941874</v>
      </c>
      <c r="F22" s="784"/>
      <c r="G22" s="783"/>
      <c r="H22" s="785">
        <f>C22+D22-E22-F22</f>
        <v>237460541.94282994</v>
      </c>
    </row>
    <row r="23" spans="1:8">
      <c r="A23" s="477">
        <v>17</v>
      </c>
      <c r="B23" s="476" t="s">
        <v>514</v>
      </c>
      <c r="C23" s="783">
        <v>0</v>
      </c>
      <c r="D23" s="783">
        <v>66003376.531929687</v>
      </c>
      <c r="E23" s="784">
        <v>250802.14469811777</v>
      </c>
      <c r="F23" s="784"/>
      <c r="G23" s="783"/>
      <c r="H23" s="785">
        <f>C23+D23-E23-F23</f>
        <v>65752574.387231566</v>
      </c>
    </row>
    <row r="25" spans="1:8">
      <c r="E25" s="374"/>
      <c r="F25" s="374"/>
    </row>
    <row r="26" spans="1:8" ht="42.6" customHeight="1">
      <c r="B26" s="393" t="s">
        <v>676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09375" defaultRowHeight="12"/>
  <cols>
    <col min="1" max="1" width="11" style="374" bestFit="1" customWidth="1"/>
    <col min="2" max="2" width="61.5546875" style="374" bestFit="1" customWidth="1"/>
    <col min="3" max="4" width="32.109375" style="374" bestFit="1" customWidth="1"/>
    <col min="5" max="5" width="17.6640625" style="374" bestFit="1" customWidth="1"/>
    <col min="6" max="6" width="15.5546875" style="374" bestFit="1" customWidth="1"/>
    <col min="7" max="7" width="21.5546875" style="374" bestFit="1" customWidth="1"/>
    <col min="8" max="8" width="26.88671875" style="374" bestFit="1" customWidth="1"/>
    <col min="9" max="16384" width="9.109375" style="374"/>
  </cols>
  <sheetData>
    <row r="1" spans="1:8" ht="13.2">
      <c r="A1" s="373" t="s">
        <v>108</v>
      </c>
      <c r="B1" s="623" t="str">
        <f>'1. key ratios'!B1</f>
        <v>სს იშბანკი საქართველო</v>
      </c>
      <c r="C1" s="485"/>
      <c r="D1" s="485"/>
      <c r="E1" s="485"/>
      <c r="F1" s="485"/>
      <c r="G1" s="485"/>
      <c r="H1" s="485"/>
    </row>
    <row r="2" spans="1:8" ht="13.2">
      <c r="A2" s="375" t="s">
        <v>109</v>
      </c>
      <c r="B2" s="624">
        <f>'1. key ratios'!B2</f>
        <v>45199</v>
      </c>
      <c r="C2" s="485"/>
      <c r="D2" s="485"/>
      <c r="E2" s="485"/>
      <c r="F2" s="485"/>
      <c r="G2" s="485"/>
      <c r="H2" s="485"/>
    </row>
    <row r="3" spans="1:8">
      <c r="A3" s="376" t="s">
        <v>515</v>
      </c>
      <c r="B3" s="485"/>
      <c r="C3" s="485"/>
      <c r="D3" s="485"/>
      <c r="E3" s="485"/>
      <c r="F3" s="485"/>
      <c r="G3" s="485"/>
      <c r="H3" s="485"/>
    </row>
    <row r="4" spans="1:8">
      <c r="A4" s="485"/>
      <c r="B4" s="485"/>
      <c r="C4" s="484" t="s">
        <v>500</v>
      </c>
      <c r="D4" s="484" t="s">
        <v>501</v>
      </c>
      <c r="E4" s="484" t="s">
        <v>502</v>
      </c>
      <c r="F4" s="484" t="s">
        <v>503</v>
      </c>
      <c r="G4" s="484" t="s">
        <v>504</v>
      </c>
      <c r="H4" s="484" t="s">
        <v>505</v>
      </c>
    </row>
    <row r="5" spans="1:8" ht="41.4" customHeight="1">
      <c r="A5" s="913" t="s">
        <v>867</v>
      </c>
      <c r="B5" s="914"/>
      <c r="C5" s="928" t="s">
        <v>594</v>
      </c>
      <c r="D5" s="929"/>
      <c r="E5" s="925" t="s">
        <v>864</v>
      </c>
      <c r="F5" s="925" t="s">
        <v>863</v>
      </c>
      <c r="G5" s="925" t="s">
        <v>509</v>
      </c>
      <c r="H5" s="482" t="s">
        <v>862</v>
      </c>
    </row>
    <row r="6" spans="1:8" ht="24">
      <c r="A6" s="917"/>
      <c r="B6" s="918"/>
      <c r="C6" s="483" t="s">
        <v>510</v>
      </c>
      <c r="D6" s="483" t="s">
        <v>511</v>
      </c>
      <c r="E6" s="926"/>
      <c r="F6" s="926"/>
      <c r="G6" s="926"/>
      <c r="H6" s="482" t="s">
        <v>861</v>
      </c>
    </row>
    <row r="7" spans="1:8">
      <c r="A7" s="474">
        <v>1</v>
      </c>
      <c r="B7" s="489" t="s">
        <v>516</v>
      </c>
      <c r="C7" s="783">
        <v>7152.79</v>
      </c>
      <c r="D7" s="783">
        <v>89977000.503718808</v>
      </c>
      <c r="E7" s="783">
        <v>248163.48907887796</v>
      </c>
      <c r="F7" s="783"/>
      <c r="G7" s="783"/>
      <c r="H7" s="785">
        <f t="shared" ref="H7:H34" si="0">C7+D7-E7-F7</f>
        <v>89735989.804639935</v>
      </c>
    </row>
    <row r="8" spans="1:8">
      <c r="A8" s="474">
        <v>2</v>
      </c>
      <c r="B8" s="489" t="s">
        <v>517</v>
      </c>
      <c r="C8" s="783">
        <v>0</v>
      </c>
      <c r="D8" s="783">
        <v>141420492.31928939</v>
      </c>
      <c r="E8" s="783">
        <v>697062.37574240868</v>
      </c>
      <c r="F8" s="783"/>
      <c r="G8" s="783"/>
      <c r="H8" s="785">
        <f t="shared" si="0"/>
        <v>140723429.94354698</v>
      </c>
    </row>
    <row r="9" spans="1:8">
      <c r="A9" s="474">
        <v>3</v>
      </c>
      <c r="B9" s="489" t="s">
        <v>866</v>
      </c>
      <c r="C9" s="783"/>
      <c r="D9" s="783"/>
      <c r="E9" s="783"/>
      <c r="F9" s="783"/>
      <c r="G9" s="783"/>
      <c r="H9" s="785">
        <f t="shared" si="0"/>
        <v>0</v>
      </c>
    </row>
    <row r="10" spans="1:8">
      <c r="A10" s="474">
        <v>4</v>
      </c>
      <c r="B10" s="489" t="s">
        <v>518</v>
      </c>
      <c r="C10" s="783">
        <v>0</v>
      </c>
      <c r="D10" s="783">
        <v>14774397.024019064</v>
      </c>
      <c r="E10" s="783">
        <v>43480.062582369806</v>
      </c>
      <c r="F10" s="783"/>
      <c r="G10" s="783"/>
      <c r="H10" s="785">
        <f t="shared" si="0"/>
        <v>14730916.961436694</v>
      </c>
    </row>
    <row r="11" spans="1:8">
      <c r="A11" s="474">
        <v>5</v>
      </c>
      <c r="B11" s="489" t="s">
        <v>519</v>
      </c>
      <c r="C11" s="783">
        <v>0</v>
      </c>
      <c r="D11" s="783">
        <v>12316454.81786162</v>
      </c>
      <c r="E11" s="783">
        <v>16444.177337339035</v>
      </c>
      <c r="F11" s="783"/>
      <c r="G11" s="783"/>
      <c r="H11" s="785">
        <f t="shared" si="0"/>
        <v>12300010.640524281</v>
      </c>
    </row>
    <row r="12" spans="1:8">
      <c r="A12" s="474">
        <v>6</v>
      </c>
      <c r="B12" s="489" t="s">
        <v>520</v>
      </c>
      <c r="C12" s="783">
        <v>19733.919999999998</v>
      </c>
      <c r="D12" s="783">
        <v>8060365.3121560616</v>
      </c>
      <c r="E12" s="783">
        <v>55418.798818458483</v>
      </c>
      <c r="F12" s="783"/>
      <c r="G12" s="783"/>
      <c r="H12" s="785">
        <f t="shared" si="0"/>
        <v>8024680.4333376028</v>
      </c>
    </row>
    <row r="13" spans="1:8">
      <c r="A13" s="474">
        <v>7</v>
      </c>
      <c r="B13" s="489" t="s">
        <v>521</v>
      </c>
      <c r="C13" s="783">
        <v>0</v>
      </c>
      <c r="D13" s="783">
        <v>27497523.735791732</v>
      </c>
      <c r="E13" s="783">
        <v>232926.91829881736</v>
      </c>
      <c r="F13" s="783"/>
      <c r="G13" s="783"/>
      <c r="H13" s="785">
        <f t="shared" si="0"/>
        <v>27264596.817492913</v>
      </c>
    </row>
    <row r="14" spans="1:8">
      <c r="A14" s="474">
        <v>8</v>
      </c>
      <c r="B14" s="489" t="s">
        <v>522</v>
      </c>
      <c r="C14" s="783">
        <v>264370.52488649735</v>
      </c>
      <c r="D14" s="783">
        <v>2972915.2193907266</v>
      </c>
      <c r="E14" s="783">
        <v>265592.92392315622</v>
      </c>
      <c r="F14" s="783"/>
      <c r="G14" s="783"/>
      <c r="H14" s="785">
        <f t="shared" si="0"/>
        <v>2971692.8203540677</v>
      </c>
    </row>
    <row r="15" spans="1:8">
      <c r="A15" s="474">
        <v>9</v>
      </c>
      <c r="B15" s="489" t="s">
        <v>523</v>
      </c>
      <c r="C15" s="783">
        <v>0</v>
      </c>
      <c r="D15" s="783">
        <v>8021836.1001907904</v>
      </c>
      <c r="E15" s="783">
        <v>12718.704490994201</v>
      </c>
      <c r="F15" s="783"/>
      <c r="G15" s="783"/>
      <c r="H15" s="785">
        <f t="shared" si="0"/>
        <v>8009117.3956997963</v>
      </c>
    </row>
    <row r="16" spans="1:8">
      <c r="A16" s="474">
        <v>10</v>
      </c>
      <c r="B16" s="489" t="s">
        <v>524</v>
      </c>
      <c r="C16" s="783">
        <v>4181.4399999999996</v>
      </c>
      <c r="D16" s="783">
        <v>13673267.831734089</v>
      </c>
      <c r="E16" s="783">
        <v>66767.297762053218</v>
      </c>
      <c r="F16" s="783"/>
      <c r="G16" s="783"/>
      <c r="H16" s="785">
        <f t="shared" si="0"/>
        <v>13610681.973972036</v>
      </c>
    </row>
    <row r="17" spans="1:9">
      <c r="A17" s="474">
        <v>11</v>
      </c>
      <c r="B17" s="489" t="s">
        <v>525</v>
      </c>
      <c r="C17" s="783">
        <v>26813.360000000001</v>
      </c>
      <c r="D17" s="783">
        <v>15777975.947109709</v>
      </c>
      <c r="E17" s="783">
        <v>122814.31096015846</v>
      </c>
      <c r="F17" s="783"/>
      <c r="G17" s="783"/>
      <c r="H17" s="785">
        <f t="shared" si="0"/>
        <v>15681974.996149549</v>
      </c>
    </row>
    <row r="18" spans="1:9">
      <c r="A18" s="474">
        <v>12</v>
      </c>
      <c r="B18" s="489" t="s">
        <v>526</v>
      </c>
      <c r="C18" s="783">
        <v>211762.16724651339</v>
      </c>
      <c r="D18" s="783">
        <v>22054391.264470726</v>
      </c>
      <c r="E18" s="783">
        <v>261745.6535994389</v>
      </c>
      <c r="F18" s="783"/>
      <c r="G18" s="783"/>
      <c r="H18" s="785">
        <f t="shared" si="0"/>
        <v>22004407.778117802</v>
      </c>
    </row>
    <row r="19" spans="1:9">
      <c r="A19" s="474">
        <v>13</v>
      </c>
      <c r="B19" s="489" t="s">
        <v>527</v>
      </c>
      <c r="C19" s="783">
        <v>39524.01</v>
      </c>
      <c r="D19" s="783">
        <v>1437314.3629878168</v>
      </c>
      <c r="E19" s="783">
        <v>57543.147696879976</v>
      </c>
      <c r="F19" s="783"/>
      <c r="G19" s="783"/>
      <c r="H19" s="785">
        <f t="shared" si="0"/>
        <v>1419295.2252909369</v>
      </c>
    </row>
    <row r="20" spans="1:9">
      <c r="A20" s="474">
        <v>14</v>
      </c>
      <c r="B20" s="489" t="s">
        <v>528</v>
      </c>
      <c r="C20" s="783">
        <v>112365.84589499998</v>
      </c>
      <c r="D20" s="783">
        <v>8579632.8243422415</v>
      </c>
      <c r="E20" s="783">
        <v>138636.84397547808</v>
      </c>
      <c r="F20" s="783"/>
      <c r="G20" s="783"/>
      <c r="H20" s="785">
        <f t="shared" si="0"/>
        <v>8553361.8262617625</v>
      </c>
    </row>
    <row r="21" spans="1:9">
      <c r="A21" s="474">
        <v>15</v>
      </c>
      <c r="B21" s="489" t="s">
        <v>529</v>
      </c>
      <c r="C21" s="783">
        <v>0</v>
      </c>
      <c r="D21" s="783">
        <v>27380.740000000005</v>
      </c>
      <c r="E21" s="783">
        <v>1255.4266871338832</v>
      </c>
      <c r="F21" s="783"/>
      <c r="G21" s="783"/>
      <c r="H21" s="785">
        <f t="shared" si="0"/>
        <v>26125.313312866121</v>
      </c>
    </row>
    <row r="22" spans="1:9">
      <c r="A22" s="474">
        <v>16</v>
      </c>
      <c r="B22" s="489" t="s">
        <v>530</v>
      </c>
      <c r="C22" s="783">
        <v>0</v>
      </c>
      <c r="D22" s="783">
        <v>1377025.8454315742</v>
      </c>
      <c r="E22" s="783">
        <v>6.8144660949138894E-4</v>
      </c>
      <c r="F22" s="783"/>
      <c r="G22" s="783"/>
      <c r="H22" s="785">
        <f t="shared" si="0"/>
        <v>1377025.8447501275</v>
      </c>
    </row>
    <row r="23" spans="1:9">
      <c r="A23" s="474">
        <v>17</v>
      </c>
      <c r="B23" s="489" t="s">
        <v>531</v>
      </c>
      <c r="C23" s="783">
        <v>0</v>
      </c>
      <c r="D23" s="783">
        <v>0</v>
      </c>
      <c r="E23" s="783">
        <v>0</v>
      </c>
      <c r="F23" s="783"/>
      <c r="G23" s="783"/>
      <c r="H23" s="785">
        <f t="shared" si="0"/>
        <v>0</v>
      </c>
    </row>
    <row r="24" spans="1:9">
      <c r="A24" s="474">
        <v>18</v>
      </c>
      <c r="B24" s="489" t="s">
        <v>532</v>
      </c>
      <c r="C24" s="783">
        <v>0</v>
      </c>
      <c r="D24" s="783">
        <v>11725213.013785776</v>
      </c>
      <c r="E24" s="783">
        <v>21015.580914044564</v>
      </c>
      <c r="F24" s="783"/>
      <c r="G24" s="783"/>
      <c r="H24" s="785">
        <f t="shared" si="0"/>
        <v>11704197.432871731</v>
      </c>
    </row>
    <row r="25" spans="1:9">
      <c r="A25" s="474">
        <v>19</v>
      </c>
      <c r="B25" s="489" t="s">
        <v>533</v>
      </c>
      <c r="C25" s="783">
        <v>0</v>
      </c>
      <c r="D25" s="783">
        <v>13002225.196442593</v>
      </c>
      <c r="E25" s="783">
        <v>196587.46248548938</v>
      </c>
      <c r="F25" s="783"/>
      <c r="G25" s="783"/>
      <c r="H25" s="785">
        <f t="shared" si="0"/>
        <v>12805637.733957104</v>
      </c>
    </row>
    <row r="26" spans="1:9">
      <c r="A26" s="474">
        <v>20</v>
      </c>
      <c r="B26" s="489" t="s">
        <v>534</v>
      </c>
      <c r="C26" s="783">
        <v>44258.450000000012</v>
      </c>
      <c r="D26" s="783">
        <v>13175477.949999999</v>
      </c>
      <c r="E26" s="783">
        <v>167906.32801876005</v>
      </c>
      <c r="F26" s="783"/>
      <c r="G26" s="783"/>
      <c r="H26" s="785">
        <f t="shared" si="0"/>
        <v>13051830.071981238</v>
      </c>
      <c r="I26" s="380"/>
    </row>
    <row r="27" spans="1:9">
      <c r="A27" s="474">
        <v>21</v>
      </c>
      <c r="B27" s="489" t="s">
        <v>535</v>
      </c>
      <c r="C27" s="783">
        <v>92269.640000000014</v>
      </c>
      <c r="D27" s="783">
        <v>0</v>
      </c>
      <c r="E27" s="783">
        <v>9213.1506857110016</v>
      </c>
      <c r="F27" s="783"/>
      <c r="G27" s="783"/>
      <c r="H27" s="785">
        <f t="shared" si="0"/>
        <v>83056.489314289007</v>
      </c>
      <c r="I27" s="380"/>
    </row>
    <row r="28" spans="1:9">
      <c r="A28" s="474">
        <v>22</v>
      </c>
      <c r="B28" s="489" t="s">
        <v>536</v>
      </c>
      <c r="C28" s="783">
        <v>0</v>
      </c>
      <c r="D28" s="783">
        <v>0</v>
      </c>
      <c r="E28" s="783">
        <v>0</v>
      </c>
      <c r="F28" s="783"/>
      <c r="G28" s="783"/>
      <c r="H28" s="785">
        <f t="shared" si="0"/>
        <v>0</v>
      </c>
      <c r="I28" s="380"/>
    </row>
    <row r="29" spans="1:9">
      <c r="A29" s="474">
        <v>23</v>
      </c>
      <c r="B29" s="489" t="s">
        <v>537</v>
      </c>
      <c r="C29" s="783">
        <v>22701.440000000002</v>
      </c>
      <c r="D29" s="783">
        <v>18189822.286736786</v>
      </c>
      <c r="E29" s="783">
        <v>115040.58238718809</v>
      </c>
      <c r="F29" s="783"/>
      <c r="G29" s="783"/>
      <c r="H29" s="785">
        <f t="shared" si="0"/>
        <v>18097483.144349601</v>
      </c>
      <c r="I29" s="380"/>
    </row>
    <row r="30" spans="1:9">
      <c r="A30" s="474">
        <v>24</v>
      </c>
      <c r="B30" s="489" t="s">
        <v>538</v>
      </c>
      <c r="C30" s="783">
        <v>0</v>
      </c>
      <c r="D30" s="783">
        <v>5119400.7282211725</v>
      </c>
      <c r="E30" s="783">
        <v>77747.629144326871</v>
      </c>
      <c r="F30" s="783"/>
      <c r="G30" s="783"/>
      <c r="H30" s="785">
        <f t="shared" si="0"/>
        <v>5041653.0990768457</v>
      </c>
      <c r="I30" s="380"/>
    </row>
    <row r="31" spans="1:9">
      <c r="A31" s="474">
        <v>25</v>
      </c>
      <c r="B31" s="489" t="s">
        <v>539</v>
      </c>
      <c r="C31" s="783">
        <v>189844.731833</v>
      </c>
      <c r="D31" s="783">
        <v>101045.58</v>
      </c>
      <c r="E31" s="783">
        <v>189815.20056761714</v>
      </c>
      <c r="F31" s="783"/>
      <c r="G31" s="783"/>
      <c r="H31" s="785">
        <f t="shared" si="0"/>
        <v>101075.11126538285</v>
      </c>
      <c r="I31" s="380"/>
    </row>
    <row r="32" spans="1:9">
      <c r="A32" s="474">
        <v>26</v>
      </c>
      <c r="B32" s="489" t="s">
        <v>540</v>
      </c>
      <c r="C32" s="783">
        <v>0</v>
      </c>
      <c r="D32" s="783">
        <v>0</v>
      </c>
      <c r="E32" s="783">
        <v>0</v>
      </c>
      <c r="F32" s="783"/>
      <c r="G32" s="783"/>
      <c r="H32" s="785">
        <f t="shared" si="0"/>
        <v>0</v>
      </c>
      <c r="I32" s="380"/>
    </row>
    <row r="33" spans="1:9">
      <c r="A33" s="474">
        <v>27</v>
      </c>
      <c r="B33" s="475" t="s">
        <v>99</v>
      </c>
      <c r="C33" s="783">
        <v>1349093.18</v>
      </c>
      <c r="D33" s="783">
        <v>14974084.804805901</v>
      </c>
      <c r="E33" s="783"/>
      <c r="F33" s="783"/>
      <c r="G33" s="783"/>
      <c r="H33" s="785">
        <f t="shared" si="0"/>
        <v>16323177.984805901</v>
      </c>
      <c r="I33" s="380"/>
    </row>
    <row r="34" spans="1:9">
      <c r="A34" s="474">
        <v>28</v>
      </c>
      <c r="B34" s="488" t="s">
        <v>66</v>
      </c>
      <c r="C34" s="786">
        <f>SUM(C7:C33)</f>
        <v>2384071.4998610104</v>
      </c>
      <c r="D34" s="786">
        <f>SUM(D7:D33)</f>
        <v>444255243.40848655</v>
      </c>
      <c r="E34" s="786">
        <f>SUM(E7:E33)</f>
        <v>2997896.0658381479</v>
      </c>
      <c r="F34" s="786">
        <f>SUM(F7:F33)</f>
        <v>0</v>
      </c>
      <c r="G34" s="786">
        <f>SUM(G7:G33)</f>
        <v>0</v>
      </c>
      <c r="H34" s="785">
        <f t="shared" si="0"/>
        <v>443641418.84250939</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09375" defaultRowHeight="12"/>
  <cols>
    <col min="1" max="1" width="11.88671875" style="374" bestFit="1" customWidth="1"/>
    <col min="2" max="2" width="108" style="374" bestFit="1" customWidth="1"/>
    <col min="3" max="3" width="35.5546875" style="374" customWidth="1"/>
    <col min="4" max="4" width="38.44140625" style="379" customWidth="1"/>
    <col min="5" max="16384" width="9.109375" style="374"/>
  </cols>
  <sheetData>
    <row r="1" spans="1:4" ht="13.2">
      <c r="A1" s="373" t="s">
        <v>108</v>
      </c>
      <c r="B1" s="623" t="str">
        <f>'1. key ratios'!B1</f>
        <v>სს იშბანკი საქართველო</v>
      </c>
      <c r="D1" s="374"/>
    </row>
    <row r="2" spans="1:4" ht="13.2">
      <c r="A2" s="375" t="s">
        <v>109</v>
      </c>
      <c r="B2" s="624">
        <f>'1. key ratios'!B2</f>
        <v>45199</v>
      </c>
      <c r="D2" s="374"/>
    </row>
    <row r="3" spans="1:4">
      <c r="A3" s="376" t="s">
        <v>541</v>
      </c>
      <c r="D3" s="374"/>
    </row>
    <row r="5" spans="1:4">
      <c r="A5" s="930" t="s">
        <v>878</v>
      </c>
      <c r="B5" s="930"/>
      <c r="C5" s="497" t="s">
        <v>560</v>
      </c>
      <c r="D5" s="497" t="s">
        <v>877</v>
      </c>
    </row>
    <row r="6" spans="1:4">
      <c r="A6" s="496">
        <v>1</v>
      </c>
      <c r="B6" s="490" t="s">
        <v>876</v>
      </c>
      <c r="C6" s="787">
        <v>2687164.8645367506</v>
      </c>
      <c r="D6" s="787">
        <v>218297.57809782651</v>
      </c>
    </row>
    <row r="7" spans="1:4">
      <c r="A7" s="493">
        <v>2</v>
      </c>
      <c r="B7" s="490" t="s">
        <v>875</v>
      </c>
      <c r="C7" s="787">
        <f>SUM(C8:C9)</f>
        <v>971744.94875457999</v>
      </c>
      <c r="D7" s="787">
        <f>SUM(D8:D9)</f>
        <v>13423.4417266735</v>
      </c>
    </row>
    <row r="8" spans="1:4">
      <c r="A8" s="495">
        <v>2.1</v>
      </c>
      <c r="B8" s="494" t="s">
        <v>874</v>
      </c>
      <c r="C8" s="788">
        <v>971744.94875457999</v>
      </c>
      <c r="D8" s="788">
        <v>13423.4417266735</v>
      </c>
    </row>
    <row r="9" spans="1:4">
      <c r="A9" s="495">
        <v>2.2000000000000002</v>
      </c>
      <c r="B9" s="494" t="s">
        <v>873</v>
      </c>
      <c r="C9" s="788">
        <v>0</v>
      </c>
      <c r="D9" s="788">
        <v>0</v>
      </c>
    </row>
    <row r="10" spans="1:4">
      <c r="A10" s="496">
        <v>3</v>
      </c>
      <c r="B10" s="490" t="s">
        <v>872</v>
      </c>
      <c r="C10" s="787">
        <f>SUM(C11:C13)</f>
        <v>1220097.574588886</v>
      </c>
      <c r="D10" s="787">
        <f>SUM(D11:D13)</f>
        <v>9790.9106790364913</v>
      </c>
    </row>
    <row r="11" spans="1:4">
      <c r="A11" s="495">
        <v>3.1</v>
      </c>
      <c r="B11" s="494" t="s">
        <v>542</v>
      </c>
      <c r="C11" s="788"/>
      <c r="D11" s="788"/>
    </row>
    <row r="12" spans="1:4">
      <c r="A12" s="495">
        <v>3.2</v>
      </c>
      <c r="B12" s="494" t="s">
        <v>871</v>
      </c>
      <c r="C12" s="788">
        <v>1187384.6866365699</v>
      </c>
      <c r="D12" s="788">
        <v>0</v>
      </c>
    </row>
    <row r="13" spans="1:4">
      <c r="A13" s="495">
        <v>3.3</v>
      </c>
      <c r="B13" s="494" t="s">
        <v>870</v>
      </c>
      <c r="C13" s="788">
        <v>32712.887952316101</v>
      </c>
      <c r="D13" s="788">
        <v>9790.9106790364913</v>
      </c>
    </row>
    <row r="14" spans="1:4">
      <c r="A14" s="493">
        <v>4</v>
      </c>
      <c r="B14" s="492" t="s">
        <v>869</v>
      </c>
      <c r="C14" s="788">
        <v>-3812.2387024541299</v>
      </c>
      <c r="D14" s="788">
        <v>-1212.8706406417</v>
      </c>
    </row>
    <row r="15" spans="1:4">
      <c r="A15" s="491">
        <v>5</v>
      </c>
      <c r="B15" s="490" t="s">
        <v>868</v>
      </c>
      <c r="C15" s="789">
        <f>C6+C7-C10+C14</f>
        <v>2434999.9999999907</v>
      </c>
      <c r="D15" s="789">
        <f>D6+D7-D10+D14</f>
        <v>220717.23850482184</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09375" defaultRowHeight="12"/>
  <cols>
    <col min="1" max="1" width="11.88671875" style="485" bestFit="1" customWidth="1"/>
    <col min="2" max="2" width="128.88671875" style="485" bestFit="1" customWidth="1"/>
    <col min="3" max="3" width="37" style="485" customWidth="1"/>
    <col min="4" max="4" width="50.5546875" style="485" customWidth="1"/>
    <col min="5" max="16384" width="9.109375" style="485"/>
  </cols>
  <sheetData>
    <row r="1" spans="1:4" ht="13.2">
      <c r="A1" s="373" t="s">
        <v>108</v>
      </c>
      <c r="B1" s="623" t="str">
        <f>'1. key ratios'!B1</f>
        <v>სს იშბანკი საქართველო</v>
      </c>
    </row>
    <row r="2" spans="1:4" ht="13.2">
      <c r="A2" s="375" t="s">
        <v>109</v>
      </c>
      <c r="B2" s="624">
        <f>'1. key ratios'!B2</f>
        <v>45199</v>
      </c>
    </row>
    <row r="3" spans="1:4">
      <c r="A3" s="376" t="s">
        <v>543</v>
      </c>
    </row>
    <row r="4" spans="1:4">
      <c r="A4" s="376"/>
    </row>
    <row r="5" spans="1:4" ht="15" customHeight="1">
      <c r="A5" s="931" t="s">
        <v>544</v>
      </c>
      <c r="B5" s="932"/>
      <c r="C5" s="935" t="s">
        <v>545</v>
      </c>
      <c r="D5" s="935" t="s">
        <v>546</v>
      </c>
    </row>
    <row r="6" spans="1:4">
      <c r="A6" s="933"/>
      <c r="B6" s="934"/>
      <c r="C6" s="935"/>
      <c r="D6" s="935"/>
    </row>
    <row r="7" spans="1:4">
      <c r="A7" s="488">
        <v>1</v>
      </c>
      <c r="B7" s="478" t="s">
        <v>547</v>
      </c>
      <c r="C7" s="787">
        <v>1518349.1899999992</v>
      </c>
      <c r="D7" s="498"/>
    </row>
    <row r="8" spans="1:4">
      <c r="A8" s="475">
        <v>2</v>
      </c>
      <c r="B8" s="475" t="s">
        <v>548</v>
      </c>
      <c r="C8" s="787">
        <v>89172.637358870663</v>
      </c>
      <c r="D8" s="498"/>
    </row>
    <row r="9" spans="1:4">
      <c r="A9" s="475">
        <v>3</v>
      </c>
      <c r="B9" s="501" t="s">
        <v>549</v>
      </c>
      <c r="C9" s="787">
        <v>18497.566501890971</v>
      </c>
      <c r="D9" s="498"/>
    </row>
    <row r="10" spans="1:4">
      <c r="A10" s="475">
        <v>4</v>
      </c>
      <c r="B10" s="475" t="s">
        <v>550</v>
      </c>
      <c r="C10" s="787">
        <f>SUM(C11:C17)</f>
        <v>591040.0739997502</v>
      </c>
      <c r="D10" s="498"/>
    </row>
    <row r="11" spans="1:4">
      <c r="A11" s="475">
        <v>5</v>
      </c>
      <c r="B11" s="500" t="s">
        <v>879</v>
      </c>
      <c r="C11" s="788">
        <v>0</v>
      </c>
      <c r="D11" s="498"/>
    </row>
    <row r="12" spans="1:4">
      <c r="A12" s="475">
        <v>6</v>
      </c>
      <c r="B12" s="500" t="s">
        <v>551</v>
      </c>
      <c r="C12" s="788">
        <v>0</v>
      </c>
      <c r="D12" s="498"/>
    </row>
    <row r="13" spans="1:4">
      <c r="A13" s="475">
        <v>7</v>
      </c>
      <c r="B13" s="500" t="s">
        <v>554</v>
      </c>
      <c r="C13" s="788">
        <v>591040.0739997502</v>
      </c>
      <c r="D13" s="498"/>
    </row>
    <row r="14" spans="1:4">
      <c r="A14" s="475">
        <v>8</v>
      </c>
      <c r="B14" s="500" t="s">
        <v>552</v>
      </c>
      <c r="C14" s="788">
        <v>0</v>
      </c>
      <c r="D14" s="475"/>
    </row>
    <row r="15" spans="1:4">
      <c r="A15" s="475">
        <v>9</v>
      </c>
      <c r="B15" s="500" t="s">
        <v>553</v>
      </c>
      <c r="C15" s="788">
        <v>0</v>
      </c>
      <c r="D15" s="475"/>
    </row>
    <row r="16" spans="1:4">
      <c r="A16" s="475">
        <v>10</v>
      </c>
      <c r="B16" s="500" t="s">
        <v>555</v>
      </c>
      <c r="C16" s="788">
        <v>0</v>
      </c>
      <c r="D16" s="475"/>
    </row>
    <row r="17" spans="1:4">
      <c r="A17" s="475">
        <v>11</v>
      </c>
      <c r="B17" s="500" t="s">
        <v>556</v>
      </c>
      <c r="C17" s="788">
        <v>0</v>
      </c>
      <c r="D17" s="498"/>
    </row>
    <row r="18" spans="1:4">
      <c r="A18" s="488">
        <v>12</v>
      </c>
      <c r="B18" s="499" t="s">
        <v>557</v>
      </c>
      <c r="C18" s="789">
        <f>C7+C8+C9-C10</f>
        <v>1034979.3198610106</v>
      </c>
      <c r="D18" s="498"/>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09375" defaultRowHeight="12"/>
  <cols>
    <col min="1" max="1" width="11.88671875" style="485" bestFit="1" customWidth="1"/>
    <col min="2" max="2" width="63.88671875" style="485" customWidth="1"/>
    <col min="3" max="4" width="12.5546875" style="485" bestFit="1" customWidth="1"/>
    <col min="5" max="7" width="18.109375" style="485" bestFit="1" customWidth="1"/>
    <col min="8" max="8" width="9" style="485" bestFit="1" customWidth="1"/>
    <col min="9" max="11" width="18.109375" style="485" bestFit="1" customWidth="1"/>
    <col min="12" max="12" width="10.5546875" style="485" bestFit="1" customWidth="1"/>
    <col min="13" max="15" width="18.109375" style="485" bestFit="1" customWidth="1"/>
    <col min="16" max="16" width="19" style="485" bestFit="1" customWidth="1"/>
    <col min="17" max="18" width="17.33203125" style="485" bestFit="1" customWidth="1"/>
    <col min="19" max="19" width="23.33203125" style="485" bestFit="1" customWidth="1"/>
    <col min="20" max="26" width="22.33203125" style="485" customWidth="1"/>
    <col min="27" max="27" width="23.33203125" style="485" bestFit="1" customWidth="1"/>
    <col min="28" max="28" width="20" style="485" customWidth="1"/>
    <col min="29" max="16384" width="9.109375" style="485"/>
  </cols>
  <sheetData>
    <row r="1" spans="1:28" ht="13.2">
      <c r="A1" s="373" t="s">
        <v>108</v>
      </c>
      <c r="B1" s="623" t="str">
        <f>'1. key ratios'!B1</f>
        <v>სს იშბანკი საქართველო</v>
      </c>
    </row>
    <row r="2" spans="1:28" ht="13.2">
      <c r="A2" s="375" t="s">
        <v>109</v>
      </c>
      <c r="B2" s="624">
        <f>'1. key ratios'!B2</f>
        <v>45199</v>
      </c>
      <c r="C2" s="486"/>
    </row>
    <row r="3" spans="1:28">
      <c r="A3" s="376" t="s">
        <v>558</v>
      </c>
    </row>
    <row r="5" spans="1:28" ht="15" customHeight="1">
      <c r="A5" s="936" t="s">
        <v>892</v>
      </c>
      <c r="B5" s="937"/>
      <c r="C5" s="942" t="s">
        <v>891</v>
      </c>
      <c r="D5" s="943"/>
      <c r="E5" s="943"/>
      <c r="F5" s="943"/>
      <c r="G5" s="943"/>
      <c r="H5" s="943"/>
      <c r="I5" s="943"/>
      <c r="J5" s="943"/>
      <c r="K5" s="943"/>
      <c r="L5" s="943"/>
      <c r="M5" s="943"/>
      <c r="N5" s="943"/>
      <c r="O5" s="943"/>
      <c r="P5" s="943"/>
      <c r="Q5" s="943"/>
      <c r="R5" s="943"/>
      <c r="S5" s="943"/>
      <c r="T5" s="516"/>
      <c r="U5" s="516"/>
      <c r="V5" s="516"/>
      <c r="W5" s="516"/>
      <c r="X5" s="516"/>
      <c r="Y5" s="516"/>
      <c r="Z5" s="516"/>
      <c r="AA5" s="515"/>
      <c r="AB5" s="506"/>
    </row>
    <row r="6" spans="1:28">
      <c r="A6" s="938"/>
      <c r="B6" s="939"/>
      <c r="C6" s="944" t="s">
        <v>66</v>
      </c>
      <c r="D6" s="946" t="s">
        <v>890</v>
      </c>
      <c r="E6" s="946"/>
      <c r="F6" s="946"/>
      <c r="G6" s="946"/>
      <c r="H6" s="947" t="s">
        <v>889</v>
      </c>
      <c r="I6" s="948"/>
      <c r="J6" s="948"/>
      <c r="K6" s="949"/>
      <c r="L6" s="514"/>
      <c r="M6" s="950" t="s">
        <v>888</v>
      </c>
      <c r="N6" s="950"/>
      <c r="O6" s="950"/>
      <c r="P6" s="950"/>
      <c r="Q6" s="950"/>
      <c r="R6" s="950"/>
      <c r="S6" s="926"/>
      <c r="T6" s="513"/>
      <c r="U6" s="929" t="s">
        <v>887</v>
      </c>
      <c r="V6" s="929"/>
      <c r="W6" s="929"/>
      <c r="X6" s="929"/>
      <c r="Y6" s="929"/>
      <c r="Z6" s="929"/>
      <c r="AA6" s="927"/>
      <c r="AB6" s="512"/>
    </row>
    <row r="7" spans="1:28" ht="24">
      <c r="A7" s="940"/>
      <c r="B7" s="941"/>
      <c r="C7" s="945"/>
      <c r="D7" s="511"/>
      <c r="E7" s="507" t="s">
        <v>559</v>
      </c>
      <c r="F7" s="482" t="s">
        <v>885</v>
      </c>
      <c r="G7" s="482" t="s">
        <v>886</v>
      </c>
      <c r="H7" s="510"/>
      <c r="I7" s="507" t="s">
        <v>559</v>
      </c>
      <c r="J7" s="482" t="s">
        <v>885</v>
      </c>
      <c r="K7" s="482" t="s">
        <v>886</v>
      </c>
      <c r="L7" s="509"/>
      <c r="M7" s="507" t="s">
        <v>559</v>
      </c>
      <c r="N7" s="482" t="s">
        <v>885</v>
      </c>
      <c r="O7" s="482" t="s">
        <v>884</v>
      </c>
      <c r="P7" s="482" t="s">
        <v>883</v>
      </c>
      <c r="Q7" s="482" t="s">
        <v>882</v>
      </c>
      <c r="R7" s="482" t="s">
        <v>881</v>
      </c>
      <c r="S7" s="482" t="s">
        <v>880</v>
      </c>
      <c r="T7" s="508"/>
      <c r="U7" s="507" t="s">
        <v>559</v>
      </c>
      <c r="V7" s="482" t="s">
        <v>885</v>
      </c>
      <c r="W7" s="482" t="s">
        <v>884</v>
      </c>
      <c r="X7" s="482" t="s">
        <v>883</v>
      </c>
      <c r="Y7" s="482" t="s">
        <v>882</v>
      </c>
      <c r="Z7" s="482" t="s">
        <v>881</v>
      </c>
      <c r="AA7" s="482" t="s">
        <v>880</v>
      </c>
      <c r="AB7" s="506"/>
    </row>
    <row r="8" spans="1:28">
      <c r="A8" s="505">
        <v>1</v>
      </c>
      <c r="B8" s="478" t="s">
        <v>560</v>
      </c>
      <c r="C8" s="790">
        <v>239895541.49802408</v>
      </c>
      <c r="D8" s="790">
        <v>238518755.13552719</v>
      </c>
      <c r="E8" s="790">
        <v>4572965.4129878171</v>
      </c>
      <c r="F8" s="790">
        <v>14846.109612477045</v>
      </c>
      <c r="G8" s="790">
        <v>0</v>
      </c>
      <c r="H8" s="790">
        <v>341808.04263590218</v>
      </c>
      <c r="I8" s="790">
        <v>0</v>
      </c>
      <c r="J8" s="790">
        <v>81415.31</v>
      </c>
      <c r="K8" s="790">
        <v>0</v>
      </c>
      <c r="L8" s="790">
        <v>1034978.3198610105</v>
      </c>
      <c r="M8" s="790">
        <v>87535.913014513426</v>
      </c>
      <c r="N8" s="790">
        <v>0</v>
      </c>
      <c r="O8" s="790">
        <v>92269.640000000014</v>
      </c>
      <c r="P8" s="790">
        <v>0</v>
      </c>
      <c r="Q8" s="790">
        <v>13432.880000000001</v>
      </c>
      <c r="R8" s="790">
        <v>2765.8900000000003</v>
      </c>
      <c r="S8" s="790">
        <v>220944.65000000002</v>
      </c>
      <c r="T8" s="474"/>
      <c r="U8" s="474"/>
      <c r="V8" s="474"/>
      <c r="W8" s="474"/>
      <c r="X8" s="474"/>
      <c r="Y8" s="474"/>
      <c r="Z8" s="474"/>
      <c r="AA8" s="474"/>
      <c r="AB8" s="502"/>
    </row>
    <row r="9" spans="1:28">
      <c r="A9" s="474">
        <v>1.1000000000000001</v>
      </c>
      <c r="B9" s="504" t="s">
        <v>561</v>
      </c>
      <c r="C9" s="791"/>
      <c r="D9" s="783"/>
      <c r="E9" s="783"/>
      <c r="F9" s="783"/>
      <c r="G9" s="783"/>
      <c r="H9" s="783"/>
      <c r="I9" s="783"/>
      <c r="J9" s="783"/>
      <c r="K9" s="783"/>
      <c r="L9" s="783"/>
      <c r="M9" s="783"/>
      <c r="N9" s="783"/>
      <c r="O9" s="783"/>
      <c r="P9" s="783"/>
      <c r="Q9" s="783"/>
      <c r="R9" s="783"/>
      <c r="S9" s="783"/>
      <c r="T9" s="474"/>
      <c r="U9" s="474"/>
      <c r="V9" s="474"/>
      <c r="W9" s="474"/>
      <c r="X9" s="474"/>
      <c r="Y9" s="474"/>
      <c r="Z9" s="474"/>
      <c r="AA9" s="474"/>
      <c r="AB9" s="502"/>
    </row>
    <row r="10" spans="1:28">
      <c r="A10" s="474">
        <v>1.2</v>
      </c>
      <c r="B10" s="504" t="s">
        <v>562</v>
      </c>
      <c r="C10" s="791"/>
      <c r="D10" s="783"/>
      <c r="E10" s="783"/>
      <c r="F10" s="783"/>
      <c r="G10" s="783"/>
      <c r="H10" s="783"/>
      <c r="I10" s="783"/>
      <c r="J10" s="783"/>
      <c r="K10" s="783"/>
      <c r="L10" s="783"/>
      <c r="M10" s="783"/>
      <c r="N10" s="783"/>
      <c r="O10" s="783"/>
      <c r="P10" s="783"/>
      <c r="Q10" s="783"/>
      <c r="R10" s="783"/>
      <c r="S10" s="783"/>
      <c r="T10" s="474"/>
      <c r="U10" s="474"/>
      <c r="V10" s="474"/>
      <c r="W10" s="474"/>
      <c r="X10" s="474"/>
      <c r="Y10" s="474"/>
      <c r="Z10" s="474"/>
      <c r="AA10" s="474"/>
      <c r="AB10" s="502"/>
    </row>
    <row r="11" spans="1:28">
      <c r="A11" s="474">
        <v>1.3</v>
      </c>
      <c r="B11" s="504" t="s">
        <v>563</v>
      </c>
      <c r="C11" s="791">
        <v>37840641.569559753</v>
      </c>
      <c r="D11" s="783">
        <v>37840641.569559753</v>
      </c>
      <c r="E11" s="783">
        <v>0</v>
      </c>
      <c r="F11" s="783">
        <v>0</v>
      </c>
      <c r="G11" s="783">
        <v>0</v>
      </c>
      <c r="H11" s="783">
        <v>0</v>
      </c>
      <c r="I11" s="783">
        <v>0</v>
      </c>
      <c r="J11" s="783">
        <v>0</v>
      </c>
      <c r="K11" s="783">
        <v>0</v>
      </c>
      <c r="L11" s="783">
        <v>0</v>
      </c>
      <c r="M11" s="783">
        <v>0</v>
      </c>
      <c r="N11" s="783">
        <v>0</v>
      </c>
      <c r="O11" s="783">
        <v>0</v>
      </c>
      <c r="P11" s="783">
        <v>0</v>
      </c>
      <c r="Q11" s="783">
        <v>0</v>
      </c>
      <c r="R11" s="783">
        <v>0</v>
      </c>
      <c r="S11" s="783">
        <v>0</v>
      </c>
      <c r="T11" s="474"/>
      <c r="U11" s="474"/>
      <c r="V11" s="474"/>
      <c r="W11" s="474"/>
      <c r="X11" s="474"/>
      <c r="Y11" s="474"/>
      <c r="Z11" s="474"/>
      <c r="AA11" s="474"/>
      <c r="AB11" s="502"/>
    </row>
    <row r="12" spans="1:28">
      <c r="A12" s="474">
        <v>1.4</v>
      </c>
      <c r="B12" s="504" t="s">
        <v>564</v>
      </c>
      <c r="C12" s="791">
        <v>16227081.18</v>
      </c>
      <c r="D12" s="783">
        <v>16227081.18</v>
      </c>
      <c r="E12" s="783">
        <v>0</v>
      </c>
      <c r="F12" s="783">
        <v>0</v>
      </c>
      <c r="G12" s="783">
        <v>0</v>
      </c>
      <c r="H12" s="783">
        <v>0</v>
      </c>
      <c r="I12" s="783">
        <v>0</v>
      </c>
      <c r="J12" s="783">
        <v>0</v>
      </c>
      <c r="K12" s="783">
        <v>0</v>
      </c>
      <c r="L12" s="783">
        <v>0</v>
      </c>
      <c r="M12" s="783">
        <v>0</v>
      </c>
      <c r="N12" s="783">
        <v>0</v>
      </c>
      <c r="O12" s="783">
        <v>0</v>
      </c>
      <c r="P12" s="783">
        <v>0</v>
      </c>
      <c r="Q12" s="783">
        <v>0</v>
      </c>
      <c r="R12" s="783">
        <v>0</v>
      </c>
      <c r="S12" s="783">
        <v>0</v>
      </c>
      <c r="T12" s="474"/>
      <c r="U12" s="474"/>
      <c r="V12" s="474"/>
      <c r="W12" s="474"/>
      <c r="X12" s="474"/>
      <c r="Y12" s="474"/>
      <c r="Z12" s="474"/>
      <c r="AA12" s="474"/>
      <c r="AB12" s="502"/>
    </row>
    <row r="13" spans="1:28">
      <c r="A13" s="474">
        <v>1.5</v>
      </c>
      <c r="B13" s="504" t="s">
        <v>565</v>
      </c>
      <c r="C13" s="791">
        <v>176695966.82723236</v>
      </c>
      <c r="D13" s="783">
        <v>175950786.85547799</v>
      </c>
      <c r="E13" s="783">
        <v>4468413.042987817</v>
      </c>
      <c r="F13" s="783">
        <v>14846.109612477045</v>
      </c>
      <c r="G13" s="783">
        <v>0</v>
      </c>
      <c r="H13" s="783">
        <v>341808.04263590218</v>
      </c>
      <c r="I13" s="783">
        <v>0</v>
      </c>
      <c r="J13" s="783">
        <v>81415.31</v>
      </c>
      <c r="K13" s="783">
        <v>0</v>
      </c>
      <c r="L13" s="783">
        <v>403371.92911849741</v>
      </c>
      <c r="M13" s="783">
        <v>0</v>
      </c>
      <c r="N13" s="783">
        <v>0</v>
      </c>
      <c r="O13" s="783">
        <v>0</v>
      </c>
      <c r="P13" s="783">
        <v>0</v>
      </c>
      <c r="Q13" s="783">
        <v>0</v>
      </c>
      <c r="R13" s="783">
        <v>0</v>
      </c>
      <c r="S13" s="783">
        <v>103816.47</v>
      </c>
      <c r="T13" s="474"/>
      <c r="U13" s="474"/>
      <c r="V13" s="474"/>
      <c r="W13" s="474"/>
      <c r="X13" s="474"/>
      <c r="Y13" s="474"/>
      <c r="Z13" s="474"/>
      <c r="AA13" s="474"/>
      <c r="AB13" s="502"/>
    </row>
    <row r="14" spans="1:28">
      <c r="A14" s="474">
        <v>1.6</v>
      </c>
      <c r="B14" s="504" t="s">
        <v>566</v>
      </c>
      <c r="C14" s="791">
        <v>9131851.9212319665</v>
      </c>
      <c r="D14" s="783">
        <v>8500245.530489454</v>
      </c>
      <c r="E14" s="783">
        <v>104552.37000000001</v>
      </c>
      <c r="F14" s="783">
        <v>0</v>
      </c>
      <c r="G14" s="783">
        <v>0</v>
      </c>
      <c r="H14" s="783">
        <v>0</v>
      </c>
      <c r="I14" s="783">
        <v>0</v>
      </c>
      <c r="J14" s="783">
        <v>0</v>
      </c>
      <c r="K14" s="783">
        <v>0</v>
      </c>
      <c r="L14" s="783">
        <v>631606.39074251312</v>
      </c>
      <c r="M14" s="783">
        <v>87535.913014513426</v>
      </c>
      <c r="N14" s="783">
        <v>0</v>
      </c>
      <c r="O14" s="783">
        <v>92269.640000000014</v>
      </c>
      <c r="P14" s="783">
        <v>0</v>
      </c>
      <c r="Q14" s="783">
        <v>13432.880000000001</v>
      </c>
      <c r="R14" s="783">
        <v>2765.8900000000003</v>
      </c>
      <c r="S14" s="783">
        <v>117128.18000000002</v>
      </c>
      <c r="T14" s="474"/>
      <c r="U14" s="474"/>
      <c r="V14" s="474"/>
      <c r="W14" s="474"/>
      <c r="X14" s="474"/>
      <c r="Y14" s="474"/>
      <c r="Z14" s="474"/>
      <c r="AA14" s="474"/>
      <c r="AB14" s="502"/>
    </row>
    <row r="15" spans="1:28">
      <c r="A15" s="505">
        <v>2</v>
      </c>
      <c r="B15" s="488" t="s">
        <v>567</v>
      </c>
      <c r="C15" s="790">
        <v>56448554.100278199</v>
      </c>
      <c r="D15" s="790">
        <v>56448554.100278199</v>
      </c>
      <c r="E15" s="790">
        <v>0</v>
      </c>
      <c r="F15" s="790">
        <v>0</v>
      </c>
      <c r="G15" s="790">
        <v>0</v>
      </c>
      <c r="H15" s="790">
        <v>0</v>
      </c>
      <c r="I15" s="790">
        <v>0</v>
      </c>
      <c r="J15" s="790">
        <v>0</v>
      </c>
      <c r="K15" s="790">
        <v>0</v>
      </c>
      <c r="L15" s="790">
        <v>0</v>
      </c>
      <c r="M15" s="790">
        <v>0</v>
      </c>
      <c r="N15" s="790">
        <v>0</v>
      </c>
      <c r="O15" s="790">
        <v>0</v>
      </c>
      <c r="P15" s="790">
        <v>0</v>
      </c>
      <c r="Q15" s="790">
        <v>0</v>
      </c>
      <c r="R15" s="790">
        <v>0</v>
      </c>
      <c r="S15" s="790">
        <v>0</v>
      </c>
      <c r="T15" s="474"/>
      <c r="U15" s="474"/>
      <c r="V15" s="474"/>
      <c r="W15" s="474"/>
      <c r="X15" s="474"/>
      <c r="Y15" s="474"/>
      <c r="Z15" s="474"/>
      <c r="AA15" s="474"/>
      <c r="AB15" s="502"/>
    </row>
    <row r="16" spans="1:28">
      <c r="A16" s="474">
        <v>2.1</v>
      </c>
      <c r="B16" s="504" t="s">
        <v>561</v>
      </c>
      <c r="C16" s="791">
        <v>992132.07</v>
      </c>
      <c r="D16" s="783">
        <v>992132.07</v>
      </c>
      <c r="E16" s="783"/>
      <c r="F16" s="783"/>
      <c r="G16" s="783"/>
      <c r="H16" s="783">
        <v>0</v>
      </c>
      <c r="I16" s="783"/>
      <c r="J16" s="783"/>
      <c r="K16" s="783"/>
      <c r="L16" s="783">
        <v>0</v>
      </c>
      <c r="M16" s="783"/>
      <c r="N16" s="783"/>
      <c r="O16" s="783"/>
      <c r="P16" s="783"/>
      <c r="Q16" s="783"/>
      <c r="R16" s="783"/>
      <c r="S16" s="783"/>
      <c r="T16" s="474"/>
      <c r="U16" s="474"/>
      <c r="V16" s="474"/>
      <c r="W16" s="474"/>
      <c r="X16" s="474"/>
      <c r="Y16" s="474"/>
      <c r="Z16" s="474"/>
      <c r="AA16" s="474"/>
      <c r="AB16" s="502"/>
    </row>
    <row r="17" spans="1:28">
      <c r="A17" s="474">
        <v>2.2000000000000002</v>
      </c>
      <c r="B17" s="504" t="s">
        <v>562</v>
      </c>
      <c r="C17" s="791">
        <v>5563261.3200000003</v>
      </c>
      <c r="D17" s="783">
        <v>5563261.3200000003</v>
      </c>
      <c r="E17" s="783"/>
      <c r="F17" s="783"/>
      <c r="G17" s="783"/>
      <c r="H17" s="783">
        <v>0</v>
      </c>
      <c r="I17" s="783"/>
      <c r="J17" s="783"/>
      <c r="K17" s="783"/>
      <c r="L17" s="783">
        <v>0</v>
      </c>
      <c r="M17" s="783"/>
      <c r="N17" s="783"/>
      <c r="O17" s="783"/>
      <c r="P17" s="783"/>
      <c r="Q17" s="783"/>
      <c r="R17" s="783"/>
      <c r="S17" s="783"/>
      <c r="T17" s="474"/>
      <c r="U17" s="474"/>
      <c r="V17" s="474"/>
      <c r="W17" s="474"/>
      <c r="X17" s="474"/>
      <c r="Y17" s="474"/>
      <c r="Z17" s="474"/>
      <c r="AA17" s="474"/>
      <c r="AB17" s="502"/>
    </row>
    <row r="18" spans="1:28">
      <c r="A18" s="474">
        <v>2.2999999999999998</v>
      </c>
      <c r="B18" s="504" t="s">
        <v>563</v>
      </c>
      <c r="C18" s="791">
        <v>5447538.4172369931</v>
      </c>
      <c r="D18" s="783">
        <v>5447538.4172369931</v>
      </c>
      <c r="E18" s="783"/>
      <c r="F18" s="783"/>
      <c r="G18" s="783"/>
      <c r="H18" s="783"/>
      <c r="I18" s="783"/>
      <c r="J18" s="783"/>
      <c r="K18" s="783"/>
      <c r="L18" s="783"/>
      <c r="M18" s="783"/>
      <c r="N18" s="783"/>
      <c r="O18" s="783"/>
      <c r="P18" s="783"/>
      <c r="Q18" s="783"/>
      <c r="R18" s="783"/>
      <c r="S18" s="783"/>
      <c r="T18" s="474"/>
      <c r="U18" s="474"/>
      <c r="V18" s="474"/>
      <c r="W18" s="474"/>
      <c r="X18" s="474"/>
      <c r="Y18" s="474"/>
      <c r="Z18" s="474"/>
      <c r="AA18" s="474"/>
      <c r="AB18" s="502"/>
    </row>
    <row r="19" spans="1:28">
      <c r="A19" s="474">
        <v>2.4</v>
      </c>
      <c r="B19" s="504" t="s">
        <v>564</v>
      </c>
      <c r="C19" s="791">
        <v>2694214.4024577131</v>
      </c>
      <c r="D19" s="783">
        <v>2694214.4024577131</v>
      </c>
      <c r="E19" s="783"/>
      <c r="F19" s="783"/>
      <c r="G19" s="783"/>
      <c r="H19" s="783"/>
      <c r="I19" s="783"/>
      <c r="J19" s="783"/>
      <c r="K19" s="783"/>
      <c r="L19" s="783"/>
      <c r="M19" s="783"/>
      <c r="N19" s="783"/>
      <c r="O19" s="783"/>
      <c r="P19" s="783"/>
      <c r="Q19" s="783"/>
      <c r="R19" s="783"/>
      <c r="S19" s="783"/>
      <c r="T19" s="474"/>
      <c r="U19" s="474"/>
      <c r="V19" s="474"/>
      <c r="W19" s="474"/>
      <c r="X19" s="474"/>
      <c r="Y19" s="474"/>
      <c r="Z19" s="474"/>
      <c r="AA19" s="474"/>
      <c r="AB19" s="502"/>
    </row>
    <row r="20" spans="1:28">
      <c r="A20" s="474">
        <v>2.5</v>
      </c>
      <c r="B20" s="504" t="s">
        <v>565</v>
      </c>
      <c r="C20" s="791">
        <v>51306230.322234973</v>
      </c>
      <c r="D20" s="783">
        <v>51306230.322234973</v>
      </c>
      <c r="E20" s="783"/>
      <c r="F20" s="783"/>
      <c r="G20" s="783"/>
      <c r="H20" s="783">
        <v>0</v>
      </c>
      <c r="I20" s="783"/>
      <c r="J20" s="783"/>
      <c r="K20" s="783"/>
      <c r="L20" s="783">
        <v>0</v>
      </c>
      <c r="M20" s="783"/>
      <c r="N20" s="783"/>
      <c r="O20" s="783"/>
      <c r="P20" s="783"/>
      <c r="Q20" s="783"/>
      <c r="R20" s="783"/>
      <c r="S20" s="783"/>
      <c r="T20" s="474"/>
      <c r="U20" s="474"/>
      <c r="V20" s="474"/>
      <c r="W20" s="474"/>
      <c r="X20" s="474"/>
      <c r="Y20" s="474"/>
      <c r="Z20" s="474"/>
      <c r="AA20" s="474"/>
      <c r="AB20" s="502"/>
    </row>
    <row r="21" spans="1:28">
      <c r="A21" s="474">
        <v>2.6</v>
      </c>
      <c r="B21" s="504" t="s">
        <v>566</v>
      </c>
      <c r="C21" s="791"/>
      <c r="D21" s="783"/>
      <c r="E21" s="783"/>
      <c r="F21" s="783"/>
      <c r="G21" s="783"/>
      <c r="H21" s="783"/>
      <c r="I21" s="783"/>
      <c r="J21" s="783"/>
      <c r="K21" s="783"/>
      <c r="L21" s="783"/>
      <c r="M21" s="783"/>
      <c r="N21" s="783"/>
      <c r="O21" s="783"/>
      <c r="P21" s="783"/>
      <c r="Q21" s="783"/>
      <c r="R21" s="783"/>
      <c r="S21" s="783"/>
      <c r="T21" s="474"/>
      <c r="U21" s="474"/>
      <c r="V21" s="474"/>
      <c r="W21" s="474"/>
      <c r="X21" s="474"/>
      <c r="Y21" s="474"/>
      <c r="Z21" s="474"/>
      <c r="AA21" s="474"/>
      <c r="AB21" s="502"/>
    </row>
    <row r="22" spans="1:28">
      <c r="A22" s="505">
        <v>3</v>
      </c>
      <c r="B22" s="478" t="s">
        <v>568</v>
      </c>
      <c r="C22" s="786">
        <v>96755570.540000007</v>
      </c>
      <c r="D22" s="786">
        <v>96755570.540000007</v>
      </c>
      <c r="E22" s="792">
        <v>0</v>
      </c>
      <c r="F22" s="792"/>
      <c r="G22" s="792"/>
      <c r="H22" s="786">
        <v>0</v>
      </c>
      <c r="I22" s="792"/>
      <c r="J22" s="792"/>
      <c r="K22" s="792"/>
      <c r="L22" s="786">
        <v>0</v>
      </c>
      <c r="M22" s="792"/>
      <c r="N22" s="792"/>
      <c r="O22" s="792"/>
      <c r="P22" s="792"/>
      <c r="Q22" s="792"/>
      <c r="R22" s="792"/>
      <c r="S22" s="792"/>
      <c r="T22" s="478"/>
      <c r="U22" s="503"/>
      <c r="V22" s="503"/>
      <c r="W22" s="503"/>
      <c r="X22" s="503"/>
      <c r="Y22" s="503"/>
      <c r="Z22" s="503"/>
      <c r="AA22" s="503"/>
      <c r="AB22" s="502"/>
    </row>
    <row r="23" spans="1:28">
      <c r="A23" s="474">
        <v>3.1</v>
      </c>
      <c r="B23" s="504" t="s">
        <v>561</v>
      </c>
      <c r="C23" s="791"/>
      <c r="D23" s="786"/>
      <c r="E23" s="792"/>
      <c r="F23" s="792"/>
      <c r="G23" s="792"/>
      <c r="H23" s="786"/>
      <c r="I23" s="792"/>
      <c r="J23" s="792"/>
      <c r="K23" s="792"/>
      <c r="L23" s="786"/>
      <c r="M23" s="792"/>
      <c r="N23" s="792"/>
      <c r="O23" s="792"/>
      <c r="P23" s="792"/>
      <c r="Q23" s="792"/>
      <c r="R23" s="792"/>
      <c r="S23" s="792"/>
      <c r="T23" s="478"/>
      <c r="U23" s="503"/>
      <c r="V23" s="503"/>
      <c r="W23" s="503"/>
      <c r="X23" s="503"/>
      <c r="Y23" s="503"/>
      <c r="Z23" s="503"/>
      <c r="AA23" s="503"/>
      <c r="AB23" s="502"/>
    </row>
    <row r="24" spans="1:28">
      <c r="A24" s="474">
        <v>3.2</v>
      </c>
      <c r="B24" s="504" t="s">
        <v>562</v>
      </c>
      <c r="C24" s="791"/>
      <c r="D24" s="786"/>
      <c r="E24" s="792"/>
      <c r="F24" s="792"/>
      <c r="G24" s="792"/>
      <c r="H24" s="786"/>
      <c r="I24" s="792"/>
      <c r="J24" s="792"/>
      <c r="K24" s="792"/>
      <c r="L24" s="786"/>
      <c r="M24" s="792"/>
      <c r="N24" s="792"/>
      <c r="O24" s="792"/>
      <c r="P24" s="792"/>
      <c r="Q24" s="792"/>
      <c r="R24" s="792"/>
      <c r="S24" s="792"/>
      <c r="T24" s="478"/>
      <c r="U24" s="503"/>
      <c r="V24" s="503"/>
      <c r="W24" s="503"/>
      <c r="X24" s="503"/>
      <c r="Y24" s="503"/>
      <c r="Z24" s="503"/>
      <c r="AA24" s="503"/>
      <c r="AB24" s="502"/>
    </row>
    <row r="25" spans="1:28">
      <c r="A25" s="474">
        <v>3.3</v>
      </c>
      <c r="B25" s="504" t="s">
        <v>563</v>
      </c>
      <c r="C25" s="791">
        <v>73528801.879244</v>
      </c>
      <c r="D25" s="793">
        <v>73528801.879244</v>
      </c>
      <c r="E25" s="792"/>
      <c r="F25" s="792"/>
      <c r="G25" s="792"/>
      <c r="H25" s="786">
        <v>0</v>
      </c>
      <c r="I25" s="792"/>
      <c r="J25" s="792"/>
      <c r="K25" s="792"/>
      <c r="L25" s="786">
        <v>0</v>
      </c>
      <c r="M25" s="792"/>
      <c r="N25" s="792"/>
      <c r="O25" s="792"/>
      <c r="P25" s="792"/>
      <c r="Q25" s="792"/>
      <c r="R25" s="792"/>
      <c r="S25" s="792"/>
      <c r="T25" s="478"/>
      <c r="U25" s="503"/>
      <c r="V25" s="503"/>
      <c r="W25" s="503"/>
      <c r="X25" s="503"/>
      <c r="Y25" s="503"/>
      <c r="Z25" s="503"/>
      <c r="AA25" s="503"/>
      <c r="AB25" s="502"/>
    </row>
    <row r="26" spans="1:28">
      <c r="A26" s="474">
        <v>3.4</v>
      </c>
      <c r="B26" s="504" t="s">
        <v>564</v>
      </c>
      <c r="C26" s="791">
        <v>0</v>
      </c>
      <c r="D26" s="793">
        <v>0</v>
      </c>
      <c r="E26" s="792"/>
      <c r="F26" s="792"/>
      <c r="G26" s="792"/>
      <c r="H26" s="786">
        <v>0</v>
      </c>
      <c r="I26" s="792"/>
      <c r="J26" s="792"/>
      <c r="K26" s="792"/>
      <c r="L26" s="786">
        <v>0</v>
      </c>
      <c r="M26" s="792"/>
      <c r="N26" s="792"/>
      <c r="O26" s="792"/>
      <c r="P26" s="792"/>
      <c r="Q26" s="792"/>
      <c r="R26" s="792"/>
      <c r="S26" s="792"/>
      <c r="T26" s="478"/>
      <c r="U26" s="503"/>
      <c r="V26" s="503"/>
      <c r="W26" s="503"/>
      <c r="X26" s="503"/>
      <c r="Y26" s="503"/>
      <c r="Z26" s="503"/>
      <c r="AA26" s="503"/>
      <c r="AB26" s="502"/>
    </row>
    <row r="27" spans="1:28">
      <c r="A27" s="474">
        <v>3.5</v>
      </c>
      <c r="B27" s="504" t="s">
        <v>565</v>
      </c>
      <c r="C27" s="791">
        <v>25398822.304323997</v>
      </c>
      <c r="D27" s="793">
        <v>25398822.304323997</v>
      </c>
      <c r="E27" s="792"/>
      <c r="F27" s="792"/>
      <c r="G27" s="792"/>
      <c r="H27" s="786">
        <v>0</v>
      </c>
      <c r="I27" s="792"/>
      <c r="J27" s="792"/>
      <c r="K27" s="792"/>
      <c r="L27" s="786">
        <v>0</v>
      </c>
      <c r="M27" s="792"/>
      <c r="N27" s="792"/>
      <c r="O27" s="792"/>
      <c r="P27" s="792"/>
      <c r="Q27" s="792"/>
      <c r="R27" s="792"/>
      <c r="S27" s="792"/>
      <c r="T27" s="478"/>
      <c r="U27" s="503"/>
      <c r="V27" s="503"/>
      <c r="W27" s="503"/>
      <c r="X27" s="503"/>
      <c r="Y27" s="503"/>
      <c r="Z27" s="503"/>
      <c r="AA27" s="503"/>
      <c r="AB27" s="502"/>
    </row>
    <row r="28" spans="1:28">
      <c r="A28" s="474">
        <v>3.6</v>
      </c>
      <c r="B28" s="504" t="s">
        <v>566</v>
      </c>
      <c r="C28" s="791">
        <v>38364</v>
      </c>
      <c r="D28" s="793">
        <v>38364</v>
      </c>
      <c r="E28" s="792"/>
      <c r="F28" s="792"/>
      <c r="G28" s="792"/>
      <c r="H28" s="786">
        <v>0</v>
      </c>
      <c r="I28" s="792"/>
      <c r="J28" s="792"/>
      <c r="K28" s="792"/>
      <c r="L28" s="786">
        <v>0</v>
      </c>
      <c r="M28" s="792"/>
      <c r="N28" s="792"/>
      <c r="O28" s="792"/>
      <c r="P28" s="792"/>
      <c r="Q28" s="792"/>
      <c r="R28" s="792"/>
      <c r="S28" s="792"/>
      <c r="T28" s="478"/>
      <c r="U28" s="503"/>
      <c r="V28" s="503"/>
      <c r="W28" s="503"/>
      <c r="X28" s="503"/>
      <c r="Y28" s="503"/>
      <c r="Z28" s="503"/>
      <c r="AA28" s="503"/>
      <c r="AB28" s="50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09375" defaultRowHeight="12"/>
  <cols>
    <col min="1" max="1" width="11.88671875" style="485" bestFit="1" customWidth="1"/>
    <col min="2" max="2" width="90.33203125" style="485" bestFit="1" customWidth="1"/>
    <col min="3" max="3" width="14.44140625" style="485" bestFit="1" customWidth="1"/>
    <col min="4" max="4" width="12.5546875" style="485" bestFit="1" customWidth="1"/>
    <col min="5" max="7" width="15.88671875" style="485" bestFit="1" customWidth="1"/>
    <col min="8" max="8" width="9" style="485" bestFit="1" customWidth="1"/>
    <col min="9" max="10" width="15.88671875" style="485" bestFit="1" customWidth="1"/>
    <col min="11" max="11" width="18.109375" style="485" bestFit="1" customWidth="1"/>
    <col min="12" max="12" width="10.5546875" style="485" bestFit="1" customWidth="1"/>
    <col min="13" max="15" width="18.109375" style="485" bestFit="1" customWidth="1"/>
    <col min="16" max="16" width="19" style="485" bestFit="1" customWidth="1"/>
    <col min="17" max="19" width="17.33203125" style="485" bestFit="1" customWidth="1"/>
    <col min="20" max="20" width="22.33203125" style="485" customWidth="1"/>
    <col min="21" max="21" width="18.109375" style="485" bestFit="1" customWidth="1"/>
    <col min="22" max="27" width="22.33203125" style="485" customWidth="1"/>
    <col min="28" max="16384" width="9.109375" style="485"/>
  </cols>
  <sheetData>
    <row r="1" spans="1:27" ht="13.2">
      <c r="A1" s="373" t="s">
        <v>108</v>
      </c>
      <c r="B1" s="623" t="str">
        <f>'1. key ratios'!B1</f>
        <v>სს იშბანკი საქართველო</v>
      </c>
    </row>
    <row r="2" spans="1:27" ht="13.2">
      <c r="A2" s="375" t="s">
        <v>109</v>
      </c>
      <c r="B2" s="624">
        <f>'1. key ratios'!B2</f>
        <v>45199</v>
      </c>
    </row>
    <row r="3" spans="1:27">
      <c r="A3" s="376" t="s">
        <v>569</v>
      </c>
      <c r="C3" s="487"/>
    </row>
    <row r="4" spans="1:27" ht="12.6" thickBot="1">
      <c r="A4" s="376"/>
      <c r="B4" s="487"/>
      <c r="C4" s="487"/>
    </row>
    <row r="5" spans="1:27" s="517" customFormat="1" ht="13.5" customHeight="1">
      <c r="A5" s="955" t="s">
        <v>899</v>
      </c>
      <c r="B5" s="956"/>
      <c r="C5" s="952" t="s">
        <v>570</v>
      </c>
      <c r="D5" s="953"/>
      <c r="E5" s="953"/>
      <c r="F5" s="953"/>
      <c r="G5" s="953"/>
      <c r="H5" s="953"/>
      <c r="I5" s="953"/>
      <c r="J5" s="953"/>
      <c r="K5" s="953"/>
      <c r="L5" s="953"/>
      <c r="M5" s="953"/>
      <c r="N5" s="953"/>
      <c r="O5" s="953"/>
      <c r="P5" s="953"/>
      <c r="Q5" s="953"/>
      <c r="R5" s="953"/>
      <c r="S5" s="953"/>
      <c r="T5" s="953"/>
      <c r="U5" s="953"/>
      <c r="V5" s="953"/>
      <c r="W5" s="953"/>
      <c r="X5" s="953"/>
      <c r="Y5" s="953"/>
      <c r="Z5" s="953"/>
      <c r="AA5" s="954"/>
    </row>
    <row r="6" spans="1:27" s="517" customFormat="1" ht="12" customHeight="1">
      <c r="A6" s="957"/>
      <c r="B6" s="958"/>
      <c r="C6" s="962" t="s">
        <v>66</v>
      </c>
      <c r="D6" s="961" t="s">
        <v>890</v>
      </c>
      <c r="E6" s="961"/>
      <c r="F6" s="961"/>
      <c r="G6" s="961"/>
      <c r="H6" s="947" t="s">
        <v>889</v>
      </c>
      <c r="I6" s="948"/>
      <c r="J6" s="948"/>
      <c r="K6" s="948"/>
      <c r="L6" s="513"/>
      <c r="M6" s="929" t="s">
        <v>888</v>
      </c>
      <c r="N6" s="929"/>
      <c r="O6" s="929"/>
      <c r="P6" s="929"/>
      <c r="Q6" s="929"/>
      <c r="R6" s="929"/>
      <c r="S6" s="927"/>
      <c r="T6" s="513"/>
      <c r="U6" s="929" t="s">
        <v>887</v>
      </c>
      <c r="V6" s="929"/>
      <c r="W6" s="929"/>
      <c r="X6" s="929"/>
      <c r="Y6" s="929"/>
      <c r="Z6" s="929"/>
      <c r="AA6" s="951"/>
    </row>
    <row r="7" spans="1:27" s="517" customFormat="1" ht="36">
      <c r="A7" s="959"/>
      <c r="B7" s="960"/>
      <c r="C7" s="963"/>
      <c r="D7" s="511"/>
      <c r="E7" s="507" t="s">
        <v>559</v>
      </c>
      <c r="F7" s="482" t="s">
        <v>885</v>
      </c>
      <c r="G7" s="482" t="s">
        <v>886</v>
      </c>
      <c r="H7" s="546"/>
      <c r="I7" s="507" t="s">
        <v>559</v>
      </c>
      <c r="J7" s="482" t="s">
        <v>885</v>
      </c>
      <c r="K7" s="482" t="s">
        <v>886</v>
      </c>
      <c r="L7" s="508"/>
      <c r="M7" s="507" t="s">
        <v>559</v>
      </c>
      <c r="N7" s="482" t="s">
        <v>898</v>
      </c>
      <c r="O7" s="482" t="s">
        <v>897</v>
      </c>
      <c r="P7" s="482" t="s">
        <v>896</v>
      </c>
      <c r="Q7" s="482" t="s">
        <v>895</v>
      </c>
      <c r="R7" s="482" t="s">
        <v>894</v>
      </c>
      <c r="S7" s="482" t="s">
        <v>880</v>
      </c>
      <c r="T7" s="508"/>
      <c r="U7" s="507" t="s">
        <v>559</v>
      </c>
      <c r="V7" s="482" t="s">
        <v>898</v>
      </c>
      <c r="W7" s="482" t="s">
        <v>897</v>
      </c>
      <c r="X7" s="482" t="s">
        <v>896</v>
      </c>
      <c r="Y7" s="482" t="s">
        <v>895</v>
      </c>
      <c r="Z7" s="482" t="s">
        <v>894</v>
      </c>
      <c r="AA7" s="482" t="s">
        <v>880</v>
      </c>
    </row>
    <row r="8" spans="1:27">
      <c r="A8" s="545">
        <v>1</v>
      </c>
      <c r="B8" s="544" t="s">
        <v>560</v>
      </c>
      <c r="C8" s="794">
        <v>239895541.49802408</v>
      </c>
      <c r="D8" s="790">
        <v>238518755.13552719</v>
      </c>
      <c r="E8" s="790">
        <v>4572965.4129878171</v>
      </c>
      <c r="F8" s="790">
        <v>14846.109612477045</v>
      </c>
      <c r="G8" s="790">
        <v>0</v>
      </c>
      <c r="H8" s="790">
        <v>341808.04263590218</v>
      </c>
      <c r="I8" s="790">
        <v>0</v>
      </c>
      <c r="J8" s="790">
        <v>81415.31</v>
      </c>
      <c r="K8" s="790">
        <v>0</v>
      </c>
      <c r="L8" s="790">
        <v>1034978.3198610105</v>
      </c>
      <c r="M8" s="790">
        <v>87535.913014513426</v>
      </c>
      <c r="N8" s="790">
        <v>0</v>
      </c>
      <c r="O8" s="790">
        <v>92269.640000000014</v>
      </c>
      <c r="P8" s="790">
        <v>0</v>
      </c>
      <c r="Q8" s="790">
        <v>13432.880000000001</v>
      </c>
      <c r="R8" s="790">
        <v>2765.8900000000003</v>
      </c>
      <c r="S8" s="795">
        <v>220944.65000000002</v>
      </c>
      <c r="T8" s="474"/>
      <c r="U8" s="474"/>
      <c r="V8" s="474"/>
      <c r="W8" s="474"/>
      <c r="X8" s="474"/>
      <c r="Y8" s="474"/>
      <c r="Z8" s="474"/>
      <c r="AA8" s="536"/>
    </row>
    <row r="9" spans="1:27">
      <c r="A9" s="542">
        <v>1.1000000000000001</v>
      </c>
      <c r="B9" s="543" t="s">
        <v>571</v>
      </c>
      <c r="C9" s="796">
        <v>183057081.28590497</v>
      </c>
      <c r="D9" s="783">
        <v>182135531.52332103</v>
      </c>
      <c r="E9" s="783">
        <v>4416716.7858999996</v>
      </c>
      <c r="F9" s="783">
        <v>10491.945637000001</v>
      </c>
      <c r="G9" s="783">
        <v>0</v>
      </c>
      <c r="H9" s="783">
        <v>334059.50185400003</v>
      </c>
      <c r="I9" s="783">
        <v>0</v>
      </c>
      <c r="J9" s="783">
        <v>76065.88</v>
      </c>
      <c r="K9" s="783">
        <v>0</v>
      </c>
      <c r="L9" s="783">
        <v>587490.26072999998</v>
      </c>
      <c r="M9" s="783">
        <v>81293.234664999996</v>
      </c>
      <c r="N9" s="783">
        <v>0</v>
      </c>
      <c r="O9" s="783">
        <v>79264.010000000009</v>
      </c>
      <c r="P9" s="783">
        <v>0</v>
      </c>
      <c r="Q9" s="783">
        <v>4393.1400000000003</v>
      </c>
      <c r="R9" s="783">
        <v>0</v>
      </c>
      <c r="S9" s="797">
        <v>157279.01</v>
      </c>
      <c r="T9" s="474"/>
      <c r="U9" s="474"/>
      <c r="V9" s="474"/>
      <c r="W9" s="474"/>
      <c r="X9" s="474"/>
      <c r="Y9" s="474"/>
      <c r="Z9" s="474"/>
      <c r="AA9" s="536"/>
    </row>
    <row r="10" spans="1:27">
      <c r="A10" s="540" t="s">
        <v>157</v>
      </c>
      <c r="B10" s="541" t="s">
        <v>572</v>
      </c>
      <c r="C10" s="798">
        <v>110667689.16734001</v>
      </c>
      <c r="D10" s="783">
        <v>109996212.06475601</v>
      </c>
      <c r="E10" s="783">
        <v>4133600.4358999999</v>
      </c>
      <c r="F10" s="783">
        <v>10491.945637000001</v>
      </c>
      <c r="G10" s="783">
        <v>0</v>
      </c>
      <c r="H10" s="783">
        <v>334059.50185400003</v>
      </c>
      <c r="I10" s="783">
        <v>0</v>
      </c>
      <c r="J10" s="783">
        <v>76065.88</v>
      </c>
      <c r="K10" s="783">
        <v>0</v>
      </c>
      <c r="L10" s="783">
        <v>337417.60073000001</v>
      </c>
      <c r="M10" s="783">
        <v>81293.234664999996</v>
      </c>
      <c r="N10" s="783">
        <v>0</v>
      </c>
      <c r="O10" s="783">
        <v>79264.010000000009</v>
      </c>
      <c r="P10" s="783">
        <v>0</v>
      </c>
      <c r="Q10" s="783">
        <v>0</v>
      </c>
      <c r="R10" s="783">
        <v>0</v>
      </c>
      <c r="S10" s="797">
        <v>0</v>
      </c>
      <c r="T10" s="474"/>
      <c r="U10" s="474"/>
      <c r="V10" s="474"/>
      <c r="W10" s="474"/>
      <c r="X10" s="474"/>
      <c r="Y10" s="474"/>
      <c r="Z10" s="474"/>
      <c r="AA10" s="536"/>
    </row>
    <row r="11" spans="1:27">
      <c r="A11" s="539" t="s">
        <v>573</v>
      </c>
      <c r="B11" s="538" t="s">
        <v>574</v>
      </c>
      <c r="C11" s="799">
        <v>47579151.326101996</v>
      </c>
      <c r="D11" s="783">
        <v>47053637.393518001</v>
      </c>
      <c r="E11" s="783">
        <v>4030589.1958999997</v>
      </c>
      <c r="F11" s="783">
        <v>10491.945637000001</v>
      </c>
      <c r="G11" s="783">
        <v>0</v>
      </c>
      <c r="H11" s="783">
        <v>334059.50185400003</v>
      </c>
      <c r="I11" s="783">
        <v>0</v>
      </c>
      <c r="J11" s="783">
        <v>76065.88</v>
      </c>
      <c r="K11" s="783">
        <v>0</v>
      </c>
      <c r="L11" s="783">
        <v>191454.43073000002</v>
      </c>
      <c r="M11" s="783">
        <v>81293.234664999996</v>
      </c>
      <c r="N11" s="783">
        <v>0</v>
      </c>
      <c r="O11" s="783">
        <v>0</v>
      </c>
      <c r="P11" s="783">
        <v>0</v>
      </c>
      <c r="Q11" s="783">
        <v>0</v>
      </c>
      <c r="R11" s="783">
        <v>0</v>
      </c>
      <c r="S11" s="797">
        <v>0</v>
      </c>
      <c r="T11" s="474"/>
      <c r="U11" s="474"/>
      <c r="V11" s="474"/>
      <c r="W11" s="474"/>
      <c r="X11" s="474"/>
      <c r="Y11" s="474"/>
      <c r="Z11" s="474"/>
      <c r="AA11" s="536"/>
    </row>
    <row r="12" spans="1:27">
      <c r="A12" s="539" t="s">
        <v>575</v>
      </c>
      <c r="B12" s="538" t="s">
        <v>576</v>
      </c>
      <c r="C12" s="799">
        <v>10331525.271453001</v>
      </c>
      <c r="D12" s="783">
        <v>10331525.271453001</v>
      </c>
      <c r="E12" s="783">
        <v>0</v>
      </c>
      <c r="F12" s="783">
        <v>0</v>
      </c>
      <c r="G12" s="783">
        <v>0</v>
      </c>
      <c r="H12" s="783">
        <v>0</v>
      </c>
      <c r="I12" s="783">
        <v>0</v>
      </c>
      <c r="J12" s="783">
        <v>0</v>
      </c>
      <c r="K12" s="783">
        <v>0</v>
      </c>
      <c r="L12" s="783">
        <v>0</v>
      </c>
      <c r="M12" s="783">
        <v>0</v>
      </c>
      <c r="N12" s="783">
        <v>0</v>
      </c>
      <c r="O12" s="783">
        <v>0</v>
      </c>
      <c r="P12" s="783">
        <v>0</v>
      </c>
      <c r="Q12" s="783">
        <v>0</v>
      </c>
      <c r="R12" s="783">
        <v>0</v>
      </c>
      <c r="S12" s="797">
        <v>0</v>
      </c>
      <c r="T12" s="474"/>
      <c r="U12" s="474"/>
      <c r="V12" s="474"/>
      <c r="W12" s="474"/>
      <c r="X12" s="474"/>
      <c r="Y12" s="474"/>
      <c r="Z12" s="474"/>
      <c r="AA12" s="536"/>
    </row>
    <row r="13" spans="1:27">
      <c r="A13" s="539" t="s">
        <v>577</v>
      </c>
      <c r="B13" s="538" t="s">
        <v>578</v>
      </c>
      <c r="C13" s="799">
        <v>9043039.3422999997</v>
      </c>
      <c r="D13" s="783">
        <v>8897076.1722999997</v>
      </c>
      <c r="E13" s="783">
        <v>103011.24</v>
      </c>
      <c r="F13" s="783">
        <v>0</v>
      </c>
      <c r="G13" s="783">
        <v>0</v>
      </c>
      <c r="H13" s="783">
        <v>0</v>
      </c>
      <c r="I13" s="783">
        <v>0</v>
      </c>
      <c r="J13" s="783">
        <v>0</v>
      </c>
      <c r="K13" s="783">
        <v>0</v>
      </c>
      <c r="L13" s="783">
        <v>145963.17000000001</v>
      </c>
      <c r="M13" s="783">
        <v>0</v>
      </c>
      <c r="N13" s="783">
        <v>0</v>
      </c>
      <c r="O13" s="783">
        <v>79264.010000000009</v>
      </c>
      <c r="P13" s="783">
        <v>0</v>
      </c>
      <c r="Q13" s="783">
        <v>0</v>
      </c>
      <c r="R13" s="783">
        <v>0</v>
      </c>
      <c r="S13" s="797">
        <v>0</v>
      </c>
      <c r="T13" s="474"/>
      <c r="U13" s="474"/>
      <c r="V13" s="474"/>
      <c r="W13" s="474"/>
      <c r="X13" s="474"/>
      <c r="Y13" s="474"/>
      <c r="Z13" s="474"/>
      <c r="AA13" s="536"/>
    </row>
    <row r="14" spans="1:27">
      <c r="A14" s="539" t="s">
        <v>579</v>
      </c>
      <c r="B14" s="538" t="s">
        <v>580</v>
      </c>
      <c r="C14" s="799">
        <v>43713973.227485031</v>
      </c>
      <c r="D14" s="783">
        <v>43713973.227485031</v>
      </c>
      <c r="E14" s="783">
        <v>0</v>
      </c>
      <c r="F14" s="783">
        <v>0</v>
      </c>
      <c r="G14" s="783">
        <v>0</v>
      </c>
      <c r="H14" s="783">
        <v>0</v>
      </c>
      <c r="I14" s="783">
        <v>0</v>
      </c>
      <c r="J14" s="783">
        <v>0</v>
      </c>
      <c r="K14" s="783">
        <v>0</v>
      </c>
      <c r="L14" s="783">
        <v>0</v>
      </c>
      <c r="M14" s="783">
        <v>0</v>
      </c>
      <c r="N14" s="783">
        <v>0</v>
      </c>
      <c r="O14" s="783">
        <v>0</v>
      </c>
      <c r="P14" s="783">
        <v>0</v>
      </c>
      <c r="Q14" s="783">
        <v>0</v>
      </c>
      <c r="R14" s="783">
        <v>0</v>
      </c>
      <c r="S14" s="797">
        <v>0</v>
      </c>
      <c r="T14" s="474"/>
      <c r="U14" s="474"/>
      <c r="V14" s="474"/>
      <c r="W14" s="474"/>
      <c r="X14" s="474"/>
      <c r="Y14" s="474"/>
      <c r="Z14" s="474"/>
      <c r="AA14" s="536"/>
    </row>
    <row r="15" spans="1:27">
      <c r="A15" s="537">
        <v>1.2</v>
      </c>
      <c r="B15" s="534" t="s">
        <v>893</v>
      </c>
      <c r="C15" s="800">
        <v>1604674.4632188424</v>
      </c>
      <c r="D15" s="783">
        <v>1229927.1641618293</v>
      </c>
      <c r="E15" s="783">
        <v>7863.8606034687527</v>
      </c>
      <c r="F15" s="783">
        <v>5.2087647184209027E-6</v>
      </c>
      <c r="G15" s="783">
        <v>0</v>
      </c>
      <c r="H15" s="783">
        <v>2.7500515471692308E-3</v>
      </c>
      <c r="I15" s="783">
        <v>0</v>
      </c>
      <c r="J15" s="783">
        <v>6.1706584394612932E-4</v>
      </c>
      <c r="K15" s="783">
        <v>0</v>
      </c>
      <c r="L15" s="783">
        <v>374747.29630696151</v>
      </c>
      <c r="M15" s="783">
        <v>1.6183174546589193E-4</v>
      </c>
      <c r="N15" s="783">
        <v>0</v>
      </c>
      <c r="O15" s="783">
        <v>9213.1506857110016</v>
      </c>
      <c r="P15" s="783">
        <v>0</v>
      </c>
      <c r="Q15" s="783">
        <v>2360.3091081578291</v>
      </c>
      <c r="R15" s="783">
        <v>0</v>
      </c>
      <c r="S15" s="797">
        <v>157279.01</v>
      </c>
      <c r="T15" s="474"/>
      <c r="U15" s="474"/>
      <c r="V15" s="474"/>
      <c r="W15" s="474"/>
      <c r="X15" s="474"/>
      <c r="Y15" s="474"/>
      <c r="Z15" s="474"/>
      <c r="AA15" s="536"/>
    </row>
    <row r="16" spans="1:27">
      <c r="A16" s="535">
        <v>1.3</v>
      </c>
      <c r="B16" s="534" t="s">
        <v>581</v>
      </c>
      <c r="C16" s="801"/>
      <c r="D16" s="802"/>
      <c r="E16" s="802"/>
      <c r="F16" s="802"/>
      <c r="G16" s="802"/>
      <c r="H16" s="802"/>
      <c r="I16" s="802"/>
      <c r="J16" s="802"/>
      <c r="K16" s="802"/>
      <c r="L16" s="802"/>
      <c r="M16" s="802"/>
      <c r="N16" s="802"/>
      <c r="O16" s="802"/>
      <c r="P16" s="802"/>
      <c r="Q16" s="802"/>
      <c r="R16" s="802"/>
      <c r="S16" s="803"/>
      <c r="T16" s="533"/>
      <c r="U16" s="533"/>
      <c r="V16" s="533"/>
      <c r="W16" s="533"/>
      <c r="X16" s="533"/>
      <c r="Y16" s="533"/>
      <c r="Z16" s="533"/>
      <c r="AA16" s="532"/>
    </row>
    <row r="17" spans="1:27" s="517" customFormat="1" ht="24">
      <c r="A17" s="530" t="s">
        <v>582</v>
      </c>
      <c r="B17" s="531" t="s">
        <v>583</v>
      </c>
      <c r="C17" s="804">
        <v>180671199.37417406</v>
      </c>
      <c r="D17" s="784">
        <v>179749649.61159012</v>
      </c>
      <c r="E17" s="784">
        <v>4416716.7858999996</v>
      </c>
      <c r="F17" s="784">
        <v>10491.945637000001</v>
      </c>
      <c r="G17" s="784">
        <v>0</v>
      </c>
      <c r="H17" s="784">
        <v>334059.50185400003</v>
      </c>
      <c r="I17" s="784">
        <v>0</v>
      </c>
      <c r="J17" s="784">
        <v>76065.88</v>
      </c>
      <c r="K17" s="784">
        <v>0</v>
      </c>
      <c r="L17" s="784">
        <v>587490.26072999998</v>
      </c>
      <c r="M17" s="784">
        <v>81293.234664999996</v>
      </c>
      <c r="N17" s="784">
        <v>0</v>
      </c>
      <c r="O17" s="784">
        <v>79264.010000000009</v>
      </c>
      <c r="P17" s="784">
        <v>0</v>
      </c>
      <c r="Q17" s="784">
        <v>4393.1400000000003</v>
      </c>
      <c r="R17" s="784">
        <v>0</v>
      </c>
      <c r="S17" s="805">
        <v>157279.01</v>
      </c>
      <c r="T17" s="475"/>
      <c r="U17" s="475"/>
      <c r="V17" s="475"/>
      <c r="W17" s="475"/>
      <c r="X17" s="475"/>
      <c r="Y17" s="475"/>
      <c r="Z17" s="475"/>
      <c r="AA17" s="523"/>
    </row>
    <row r="18" spans="1:27" s="517" customFormat="1" ht="24">
      <c r="A18" s="527" t="s">
        <v>584</v>
      </c>
      <c r="B18" s="528" t="s">
        <v>585</v>
      </c>
      <c r="C18" s="806">
        <v>91442760.737390727</v>
      </c>
      <c r="D18" s="784">
        <v>90771283.634806722</v>
      </c>
      <c r="E18" s="784">
        <v>4133600.4358999999</v>
      </c>
      <c r="F18" s="784">
        <v>10491.945637000001</v>
      </c>
      <c r="G18" s="784">
        <v>0</v>
      </c>
      <c r="H18" s="784">
        <v>334059.50185400003</v>
      </c>
      <c r="I18" s="784">
        <v>0</v>
      </c>
      <c r="J18" s="784">
        <v>76065.88</v>
      </c>
      <c r="K18" s="784">
        <v>0</v>
      </c>
      <c r="L18" s="784">
        <v>337417.60073000001</v>
      </c>
      <c r="M18" s="784">
        <v>81293.234664999996</v>
      </c>
      <c r="N18" s="784">
        <v>0</v>
      </c>
      <c r="O18" s="784">
        <v>79264.010000000009</v>
      </c>
      <c r="P18" s="784">
        <v>0</v>
      </c>
      <c r="Q18" s="784">
        <v>0</v>
      </c>
      <c r="R18" s="784">
        <v>0</v>
      </c>
      <c r="S18" s="805">
        <v>0</v>
      </c>
      <c r="T18" s="475"/>
      <c r="U18" s="475"/>
      <c r="V18" s="475"/>
      <c r="W18" s="475"/>
      <c r="X18" s="475"/>
      <c r="Y18" s="475"/>
      <c r="Z18" s="475"/>
      <c r="AA18" s="523"/>
    </row>
    <row r="19" spans="1:27" s="517" customFormat="1">
      <c r="A19" s="530" t="s">
        <v>586</v>
      </c>
      <c r="B19" s="529" t="s">
        <v>587</v>
      </c>
      <c r="C19" s="807">
        <v>190649963.53226548</v>
      </c>
      <c r="D19" s="784">
        <v>188690641.22306353</v>
      </c>
      <c r="E19" s="784">
        <v>11617039.960000001</v>
      </c>
      <c r="F19" s="784">
        <v>279052.79999999999</v>
      </c>
      <c r="G19" s="784">
        <v>0</v>
      </c>
      <c r="H19" s="784">
        <v>1350991.2</v>
      </c>
      <c r="I19" s="784">
        <v>0</v>
      </c>
      <c r="J19" s="784">
        <v>465535.19999999995</v>
      </c>
      <c r="K19" s="784">
        <v>0</v>
      </c>
      <c r="L19" s="784">
        <v>608331.10920199996</v>
      </c>
      <c r="M19" s="784">
        <v>95797.965335000015</v>
      </c>
      <c r="N19" s="784">
        <v>0</v>
      </c>
      <c r="O19" s="784">
        <v>427.02999999998428</v>
      </c>
      <c r="P19" s="784">
        <v>0</v>
      </c>
      <c r="Q19" s="784">
        <v>0</v>
      </c>
      <c r="R19" s="784">
        <v>0</v>
      </c>
      <c r="S19" s="805">
        <v>0</v>
      </c>
      <c r="T19" s="475"/>
      <c r="U19" s="475"/>
      <c r="V19" s="475"/>
      <c r="W19" s="475"/>
      <c r="X19" s="475"/>
      <c r="Y19" s="475"/>
      <c r="Z19" s="475"/>
      <c r="AA19" s="523"/>
    </row>
    <row r="20" spans="1:27" s="517" customFormat="1">
      <c r="A20" s="527" t="s">
        <v>588</v>
      </c>
      <c r="B20" s="528" t="s">
        <v>589</v>
      </c>
      <c r="C20" s="806">
        <v>91149507.001575708</v>
      </c>
      <c r="D20" s="784">
        <v>89814033.598459721</v>
      </c>
      <c r="E20" s="784">
        <v>11126946.6241</v>
      </c>
      <c r="F20" s="784">
        <v>268560.85436299996</v>
      </c>
      <c r="G20" s="784">
        <v>0</v>
      </c>
      <c r="H20" s="784">
        <v>764710.89814599999</v>
      </c>
      <c r="I20" s="784">
        <v>0</v>
      </c>
      <c r="J20" s="784">
        <v>137248.51999999999</v>
      </c>
      <c r="K20" s="784">
        <v>0</v>
      </c>
      <c r="L20" s="784">
        <v>570762.50497000001</v>
      </c>
      <c r="M20" s="784">
        <v>95797.965335000015</v>
      </c>
      <c r="N20" s="784">
        <v>0</v>
      </c>
      <c r="O20" s="784">
        <v>427.02999999998428</v>
      </c>
      <c r="P20" s="784">
        <v>0</v>
      </c>
      <c r="Q20" s="784">
        <v>0</v>
      </c>
      <c r="R20" s="784">
        <v>0</v>
      </c>
      <c r="S20" s="805">
        <v>0</v>
      </c>
      <c r="T20" s="475"/>
      <c r="U20" s="475"/>
      <c r="V20" s="475"/>
      <c r="W20" s="475"/>
      <c r="X20" s="475"/>
      <c r="Y20" s="475"/>
      <c r="Z20" s="475"/>
      <c r="AA20" s="523"/>
    </row>
    <row r="21" spans="1:27" s="517" customFormat="1">
      <c r="A21" s="526">
        <v>1.4</v>
      </c>
      <c r="B21" s="525" t="s">
        <v>678</v>
      </c>
      <c r="C21" s="524"/>
      <c r="D21" s="475"/>
      <c r="E21" s="475"/>
      <c r="F21" s="475"/>
      <c r="G21" s="475"/>
      <c r="H21" s="475"/>
      <c r="I21" s="475"/>
      <c r="J21" s="475"/>
      <c r="K21" s="475"/>
      <c r="L21" s="475"/>
      <c r="M21" s="475"/>
      <c r="N21" s="475"/>
      <c r="O21" s="475"/>
      <c r="P21" s="475"/>
      <c r="Q21" s="475"/>
      <c r="R21" s="475"/>
      <c r="S21" s="523"/>
      <c r="T21" s="475"/>
      <c r="U21" s="475"/>
      <c r="V21" s="475"/>
      <c r="W21" s="475"/>
      <c r="X21" s="475"/>
      <c r="Y21" s="475"/>
      <c r="Z21" s="475"/>
      <c r="AA21" s="523"/>
    </row>
    <row r="22" spans="1:27" s="517" customFormat="1" ht="12.6" thickBot="1">
      <c r="A22" s="522">
        <v>1.5</v>
      </c>
      <c r="B22" s="521" t="s">
        <v>679</v>
      </c>
      <c r="C22" s="520"/>
      <c r="D22" s="519"/>
      <c r="E22" s="519"/>
      <c r="F22" s="519"/>
      <c r="G22" s="519"/>
      <c r="H22" s="519"/>
      <c r="I22" s="519"/>
      <c r="J22" s="519"/>
      <c r="K22" s="519"/>
      <c r="L22" s="519"/>
      <c r="M22" s="519"/>
      <c r="N22" s="519"/>
      <c r="O22" s="519"/>
      <c r="P22" s="519"/>
      <c r="Q22" s="519"/>
      <c r="R22" s="519"/>
      <c r="S22" s="518"/>
      <c r="T22" s="519"/>
      <c r="U22" s="519"/>
      <c r="V22" s="519"/>
      <c r="W22" s="519"/>
      <c r="X22" s="519"/>
      <c r="Y22" s="519"/>
      <c r="Z22" s="519"/>
      <c r="AA22" s="51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09375" defaultRowHeight="12"/>
  <cols>
    <col min="1" max="1" width="11.88671875" style="485" bestFit="1" customWidth="1"/>
    <col min="2" max="2" width="93.44140625" style="485" customWidth="1"/>
    <col min="3" max="3" width="12.33203125" style="485" bestFit="1" customWidth="1"/>
    <col min="4" max="5" width="15.88671875" style="485" bestFit="1" customWidth="1"/>
    <col min="6" max="6" width="15.88671875" style="547" bestFit="1" customWidth="1"/>
    <col min="7" max="7" width="24.88671875" style="547" bestFit="1" customWidth="1"/>
    <col min="8" max="8" width="10.33203125" style="485" bestFit="1" customWidth="1"/>
    <col min="9" max="11" width="15.88671875" style="547" bestFit="1" customWidth="1"/>
    <col min="12" max="12" width="24.88671875" style="547" bestFit="1" customWidth="1"/>
    <col min="13" max="16384" width="9.109375" style="485"/>
  </cols>
  <sheetData>
    <row r="1" spans="1:12" ht="13.2">
      <c r="A1" s="373" t="s">
        <v>108</v>
      </c>
      <c r="B1" s="623" t="str">
        <f>'1. key ratios'!B1</f>
        <v>სს იშბანკი საქართველო</v>
      </c>
      <c r="F1" s="485"/>
      <c r="G1" s="485"/>
      <c r="I1" s="485"/>
      <c r="J1" s="485"/>
      <c r="K1" s="485"/>
      <c r="L1" s="485"/>
    </row>
    <row r="2" spans="1:12" ht="13.2">
      <c r="A2" s="375" t="s">
        <v>109</v>
      </c>
      <c r="B2" s="624">
        <f>'1. key ratios'!B2</f>
        <v>45199</v>
      </c>
      <c r="F2" s="485"/>
      <c r="G2" s="485"/>
      <c r="I2" s="485"/>
      <c r="J2" s="485"/>
      <c r="K2" s="485"/>
      <c r="L2" s="485"/>
    </row>
    <row r="3" spans="1:12">
      <c r="A3" s="376" t="s">
        <v>592</v>
      </c>
      <c r="F3" s="485"/>
      <c r="G3" s="485"/>
      <c r="I3" s="485"/>
      <c r="J3" s="485"/>
      <c r="K3" s="485"/>
      <c r="L3" s="485"/>
    </row>
    <row r="4" spans="1:12">
      <c r="F4" s="485"/>
      <c r="G4" s="485"/>
      <c r="I4" s="485"/>
      <c r="J4" s="485"/>
      <c r="K4" s="485"/>
      <c r="L4" s="485"/>
    </row>
    <row r="5" spans="1:12" ht="37.5" customHeight="1">
      <c r="A5" s="913" t="s">
        <v>593</v>
      </c>
      <c r="B5" s="914"/>
      <c r="C5" s="964" t="s">
        <v>594</v>
      </c>
      <c r="D5" s="965"/>
      <c r="E5" s="965"/>
      <c r="F5" s="965"/>
      <c r="G5" s="965"/>
      <c r="H5" s="966" t="s">
        <v>905</v>
      </c>
      <c r="I5" s="967"/>
      <c r="J5" s="967"/>
      <c r="K5" s="967"/>
      <c r="L5" s="968"/>
    </row>
    <row r="6" spans="1:12" ht="39.6" customHeight="1">
      <c r="A6" s="917"/>
      <c r="B6" s="918"/>
      <c r="C6" s="382"/>
      <c r="D6" s="483" t="s">
        <v>890</v>
      </c>
      <c r="E6" s="483" t="s">
        <v>889</v>
      </c>
      <c r="F6" s="483" t="s">
        <v>888</v>
      </c>
      <c r="G6" s="483" t="s">
        <v>887</v>
      </c>
      <c r="H6" s="550"/>
      <c r="I6" s="483" t="s">
        <v>890</v>
      </c>
      <c r="J6" s="483" t="s">
        <v>889</v>
      </c>
      <c r="K6" s="483" t="s">
        <v>888</v>
      </c>
      <c r="L6" s="483" t="s">
        <v>887</v>
      </c>
    </row>
    <row r="7" spans="1:12">
      <c r="A7" s="474">
        <v>1</v>
      </c>
      <c r="B7" s="489" t="s">
        <v>516</v>
      </c>
      <c r="C7" s="808">
        <v>3825278.1966188215</v>
      </c>
      <c r="D7" s="808">
        <v>3818125.4066188214</v>
      </c>
      <c r="E7" s="808">
        <v>0</v>
      </c>
      <c r="F7" s="808">
        <v>7152.79</v>
      </c>
      <c r="G7" s="808">
        <v>0</v>
      </c>
      <c r="H7" s="808">
        <v>16387.544111867821</v>
      </c>
      <c r="I7" s="808">
        <v>10773.307720935492</v>
      </c>
      <c r="J7" s="808">
        <v>0</v>
      </c>
      <c r="K7" s="808">
        <v>5614.2363909323294</v>
      </c>
      <c r="L7" s="808">
        <v>0</v>
      </c>
    </row>
    <row r="8" spans="1:12">
      <c r="A8" s="474">
        <v>2</v>
      </c>
      <c r="B8" s="489" t="s">
        <v>517</v>
      </c>
      <c r="C8" s="808">
        <v>57335603.145034194</v>
      </c>
      <c r="D8" s="783">
        <v>57335603.145034194</v>
      </c>
      <c r="E8" s="783">
        <v>0</v>
      </c>
      <c r="F8" s="809">
        <v>0</v>
      </c>
      <c r="G8" s="809">
        <v>0</v>
      </c>
      <c r="H8" s="783">
        <v>429697.862384432</v>
      </c>
      <c r="I8" s="809">
        <v>429697.862384432</v>
      </c>
      <c r="J8" s="809">
        <v>0</v>
      </c>
      <c r="K8" s="809">
        <v>0</v>
      </c>
      <c r="L8" s="809">
        <v>0</v>
      </c>
    </row>
    <row r="9" spans="1:12">
      <c r="A9" s="474">
        <v>3</v>
      </c>
      <c r="B9" s="489" t="s">
        <v>866</v>
      </c>
      <c r="C9" s="808">
        <v>0</v>
      </c>
      <c r="D9" s="783">
        <v>0</v>
      </c>
      <c r="E9" s="783">
        <v>0</v>
      </c>
      <c r="F9" s="810">
        <v>0</v>
      </c>
      <c r="G9" s="810">
        <v>0</v>
      </c>
      <c r="H9" s="783">
        <v>0</v>
      </c>
      <c r="I9" s="810">
        <v>0</v>
      </c>
      <c r="J9" s="810">
        <v>0</v>
      </c>
      <c r="K9" s="810">
        <v>0</v>
      </c>
      <c r="L9" s="810">
        <v>0</v>
      </c>
    </row>
    <row r="10" spans="1:12">
      <c r="A10" s="474">
        <v>4</v>
      </c>
      <c r="B10" s="489" t="s">
        <v>518</v>
      </c>
      <c r="C10" s="808">
        <v>14774397.024019066</v>
      </c>
      <c r="D10" s="783">
        <v>14774397.024019066</v>
      </c>
      <c r="E10" s="783">
        <v>0</v>
      </c>
      <c r="F10" s="810">
        <v>0</v>
      </c>
      <c r="G10" s="810">
        <v>0</v>
      </c>
      <c r="H10" s="783">
        <v>43480.062582369806</v>
      </c>
      <c r="I10" s="810">
        <v>43480.062582369806</v>
      </c>
      <c r="J10" s="810">
        <v>0</v>
      </c>
      <c r="K10" s="810">
        <v>0</v>
      </c>
      <c r="L10" s="810">
        <v>0</v>
      </c>
    </row>
    <row r="11" spans="1:12">
      <c r="A11" s="474">
        <v>5</v>
      </c>
      <c r="B11" s="489" t="s">
        <v>519</v>
      </c>
      <c r="C11" s="808">
        <v>9585119.4654912204</v>
      </c>
      <c r="D11" s="783">
        <v>9585119.4654912204</v>
      </c>
      <c r="E11" s="783">
        <v>0</v>
      </c>
      <c r="F11" s="810">
        <v>0</v>
      </c>
      <c r="G11" s="810">
        <v>0</v>
      </c>
      <c r="H11" s="783">
        <v>3125.7217305653912</v>
      </c>
      <c r="I11" s="810">
        <v>3125.7217305653912</v>
      </c>
      <c r="J11" s="810">
        <v>0</v>
      </c>
      <c r="K11" s="810">
        <v>0</v>
      </c>
      <c r="L11" s="810">
        <v>0</v>
      </c>
    </row>
    <row r="12" spans="1:12">
      <c r="A12" s="474">
        <v>6</v>
      </c>
      <c r="B12" s="489" t="s">
        <v>520</v>
      </c>
      <c r="C12" s="808">
        <v>8080099.2321560625</v>
      </c>
      <c r="D12" s="783">
        <v>8060365.3121560616</v>
      </c>
      <c r="E12" s="783">
        <v>0</v>
      </c>
      <c r="F12" s="810">
        <v>19733.919999999998</v>
      </c>
      <c r="G12" s="810">
        <v>0</v>
      </c>
      <c r="H12" s="783">
        <v>55418.798818458483</v>
      </c>
      <c r="I12" s="810">
        <v>46778.639710300646</v>
      </c>
      <c r="J12" s="810">
        <v>0</v>
      </c>
      <c r="K12" s="810">
        <v>8640.1591081578299</v>
      </c>
      <c r="L12" s="810">
        <v>0</v>
      </c>
    </row>
    <row r="13" spans="1:12">
      <c r="A13" s="474">
        <v>7</v>
      </c>
      <c r="B13" s="489" t="s">
        <v>521</v>
      </c>
      <c r="C13" s="808">
        <v>27497523.735791732</v>
      </c>
      <c r="D13" s="783">
        <v>27497523.735791732</v>
      </c>
      <c r="E13" s="783">
        <v>0</v>
      </c>
      <c r="F13" s="810">
        <v>0</v>
      </c>
      <c r="G13" s="810">
        <v>0</v>
      </c>
      <c r="H13" s="783">
        <v>232926.91829881736</v>
      </c>
      <c r="I13" s="810">
        <v>232926.91829881736</v>
      </c>
      <c r="J13" s="810">
        <v>0</v>
      </c>
      <c r="K13" s="810">
        <v>0</v>
      </c>
      <c r="L13" s="810">
        <v>0</v>
      </c>
    </row>
    <row r="14" spans="1:12">
      <c r="A14" s="474">
        <v>8</v>
      </c>
      <c r="B14" s="489" t="s">
        <v>522</v>
      </c>
      <c r="C14" s="808">
        <v>3237285.7442772244</v>
      </c>
      <c r="D14" s="783">
        <v>2972915.2193907266</v>
      </c>
      <c r="E14" s="783">
        <v>0</v>
      </c>
      <c r="F14" s="810">
        <v>264370.52488649735</v>
      </c>
      <c r="G14" s="810">
        <v>0</v>
      </c>
      <c r="H14" s="783">
        <v>265592.92392315622</v>
      </c>
      <c r="I14" s="810">
        <v>956.52392315621307</v>
      </c>
      <c r="J14" s="810">
        <v>0</v>
      </c>
      <c r="K14" s="810">
        <v>264636.40000000002</v>
      </c>
      <c r="L14" s="810">
        <v>0</v>
      </c>
    </row>
    <row r="15" spans="1:12">
      <c r="A15" s="474">
        <v>9</v>
      </c>
      <c r="B15" s="489" t="s">
        <v>523</v>
      </c>
      <c r="C15" s="808">
        <v>3002014.4499999997</v>
      </c>
      <c r="D15" s="783">
        <v>3002014.4499999997</v>
      </c>
      <c r="E15" s="783">
        <v>0</v>
      </c>
      <c r="F15" s="810">
        <v>0</v>
      </c>
      <c r="G15" s="810">
        <v>0</v>
      </c>
      <c r="H15" s="783">
        <v>1.4723113171984377E-3</v>
      </c>
      <c r="I15" s="810">
        <v>1.4723113171984377E-3</v>
      </c>
      <c r="J15" s="810">
        <v>0</v>
      </c>
      <c r="K15" s="810">
        <v>0</v>
      </c>
      <c r="L15" s="810">
        <v>0</v>
      </c>
    </row>
    <row r="16" spans="1:12">
      <c r="A16" s="474">
        <v>10</v>
      </c>
      <c r="B16" s="489" t="s">
        <v>524</v>
      </c>
      <c r="C16" s="808">
        <v>13677449.271734089</v>
      </c>
      <c r="D16" s="783">
        <v>13673267.831734089</v>
      </c>
      <c r="E16" s="783">
        <v>0</v>
      </c>
      <c r="F16" s="810">
        <v>4181.4399999999996</v>
      </c>
      <c r="G16" s="810">
        <v>0</v>
      </c>
      <c r="H16" s="783">
        <v>66767.297762053218</v>
      </c>
      <c r="I16" s="810">
        <v>64520.729039632475</v>
      </c>
      <c r="J16" s="810">
        <v>0</v>
      </c>
      <c r="K16" s="810">
        <v>2246.568722420745</v>
      </c>
      <c r="L16" s="810">
        <v>0</v>
      </c>
    </row>
    <row r="17" spans="1:12">
      <c r="A17" s="474">
        <v>11</v>
      </c>
      <c r="B17" s="489" t="s">
        <v>525</v>
      </c>
      <c r="C17" s="808">
        <v>15804789.307109708</v>
      </c>
      <c r="D17" s="783">
        <v>15777975.947109709</v>
      </c>
      <c r="E17" s="783">
        <v>0</v>
      </c>
      <c r="F17" s="810">
        <v>26813.360000000001</v>
      </c>
      <c r="G17" s="810">
        <v>0</v>
      </c>
      <c r="H17" s="783">
        <v>122814.31096015846</v>
      </c>
      <c r="I17" s="810">
        <v>98902.307372014257</v>
      </c>
      <c r="J17" s="810">
        <v>0</v>
      </c>
      <c r="K17" s="810">
        <v>23912.003588144202</v>
      </c>
      <c r="L17" s="810">
        <v>0</v>
      </c>
    </row>
    <row r="18" spans="1:12">
      <c r="A18" s="474">
        <v>12</v>
      </c>
      <c r="B18" s="489" t="s">
        <v>526</v>
      </c>
      <c r="C18" s="808">
        <v>15224570.56093047</v>
      </c>
      <c r="D18" s="783">
        <v>15012808.393683957</v>
      </c>
      <c r="E18" s="783">
        <v>0</v>
      </c>
      <c r="F18" s="810">
        <v>211762.16724651339</v>
      </c>
      <c r="G18" s="810">
        <v>0</v>
      </c>
      <c r="H18" s="783">
        <v>243904.42186731601</v>
      </c>
      <c r="I18" s="810">
        <v>150555.00105178179</v>
      </c>
      <c r="J18" s="810">
        <v>0</v>
      </c>
      <c r="K18" s="810">
        <v>93349.420815534206</v>
      </c>
      <c r="L18" s="810">
        <v>0</v>
      </c>
    </row>
    <row r="19" spans="1:12">
      <c r="A19" s="474">
        <v>13</v>
      </c>
      <c r="B19" s="489" t="s">
        <v>527</v>
      </c>
      <c r="C19" s="808">
        <v>1476838.3729878166</v>
      </c>
      <c r="D19" s="783">
        <v>1437314.362987817</v>
      </c>
      <c r="E19" s="783">
        <v>0</v>
      </c>
      <c r="F19" s="810">
        <v>39524.01</v>
      </c>
      <c r="G19" s="810">
        <v>0</v>
      </c>
      <c r="H19" s="783">
        <v>57543.147696879976</v>
      </c>
      <c r="I19" s="810">
        <v>33868.626041873751</v>
      </c>
      <c r="J19" s="810">
        <v>0</v>
      </c>
      <c r="K19" s="810">
        <v>23674.521655006214</v>
      </c>
      <c r="L19" s="810">
        <v>0</v>
      </c>
    </row>
    <row r="20" spans="1:12">
      <c r="A20" s="474">
        <v>14</v>
      </c>
      <c r="B20" s="489" t="s">
        <v>528</v>
      </c>
      <c r="C20" s="808">
        <v>8691998.6702372413</v>
      </c>
      <c r="D20" s="783">
        <v>8579632.8243422415</v>
      </c>
      <c r="E20" s="783">
        <v>0</v>
      </c>
      <c r="F20" s="810">
        <v>112365.84589499998</v>
      </c>
      <c r="G20" s="810">
        <v>0</v>
      </c>
      <c r="H20" s="783">
        <v>138636.84397547808</v>
      </c>
      <c r="I20" s="810">
        <v>38642.559084676861</v>
      </c>
      <c r="J20" s="810">
        <v>0</v>
      </c>
      <c r="K20" s="810">
        <v>99994.284890801238</v>
      </c>
      <c r="L20" s="810">
        <v>0</v>
      </c>
    </row>
    <row r="21" spans="1:12">
      <c r="A21" s="474">
        <v>15</v>
      </c>
      <c r="B21" s="489" t="s">
        <v>529</v>
      </c>
      <c r="C21" s="808">
        <v>27380.740000000005</v>
      </c>
      <c r="D21" s="783">
        <v>27380.740000000005</v>
      </c>
      <c r="E21" s="783">
        <v>0</v>
      </c>
      <c r="F21" s="810">
        <v>0</v>
      </c>
      <c r="G21" s="810">
        <v>0</v>
      </c>
      <c r="H21" s="783">
        <v>1255.4266871338832</v>
      </c>
      <c r="I21" s="810">
        <v>1255.4266871338832</v>
      </c>
      <c r="J21" s="810">
        <v>0</v>
      </c>
      <c r="K21" s="810">
        <v>0</v>
      </c>
      <c r="L21" s="810">
        <v>0</v>
      </c>
    </row>
    <row r="22" spans="1:12">
      <c r="A22" s="474">
        <v>16</v>
      </c>
      <c r="B22" s="489" t="s">
        <v>530</v>
      </c>
      <c r="C22" s="808">
        <v>1377025.8454315742</v>
      </c>
      <c r="D22" s="783">
        <v>1377025.8454315742</v>
      </c>
      <c r="E22" s="783">
        <v>0</v>
      </c>
      <c r="F22" s="810">
        <v>0</v>
      </c>
      <c r="G22" s="810">
        <v>0</v>
      </c>
      <c r="H22" s="783">
        <v>6.8144660949138894E-4</v>
      </c>
      <c r="I22" s="810">
        <v>6.8144660949138894E-4</v>
      </c>
      <c r="J22" s="810">
        <v>0</v>
      </c>
      <c r="K22" s="810">
        <v>0</v>
      </c>
      <c r="L22" s="810">
        <v>0</v>
      </c>
    </row>
    <row r="23" spans="1:12">
      <c r="A23" s="474">
        <v>17</v>
      </c>
      <c r="B23" s="489" t="s">
        <v>531</v>
      </c>
      <c r="C23" s="808">
        <v>0</v>
      </c>
      <c r="D23" s="783">
        <v>0</v>
      </c>
      <c r="E23" s="783">
        <v>0</v>
      </c>
      <c r="F23" s="810">
        <v>0</v>
      </c>
      <c r="G23" s="810">
        <v>0</v>
      </c>
      <c r="H23" s="783">
        <v>0</v>
      </c>
      <c r="I23" s="810">
        <v>0</v>
      </c>
      <c r="J23" s="810">
        <v>0</v>
      </c>
      <c r="K23" s="810">
        <v>0</v>
      </c>
      <c r="L23" s="810">
        <v>0</v>
      </c>
    </row>
    <row r="24" spans="1:12">
      <c r="A24" s="474">
        <v>18</v>
      </c>
      <c r="B24" s="489" t="s">
        <v>532</v>
      </c>
      <c r="C24" s="808">
        <v>11725213.013785776</v>
      </c>
      <c r="D24" s="783">
        <v>11725213.013785776</v>
      </c>
      <c r="E24" s="783">
        <v>0</v>
      </c>
      <c r="F24" s="810">
        <v>0</v>
      </c>
      <c r="G24" s="810">
        <v>0</v>
      </c>
      <c r="H24" s="783">
        <v>21015.580914044564</v>
      </c>
      <c r="I24" s="810">
        <v>21015.580914044564</v>
      </c>
      <c r="J24" s="810">
        <v>0</v>
      </c>
      <c r="K24" s="810">
        <v>0</v>
      </c>
      <c r="L24" s="810">
        <v>0</v>
      </c>
    </row>
    <row r="25" spans="1:12">
      <c r="A25" s="474">
        <v>19</v>
      </c>
      <c r="B25" s="489" t="s">
        <v>533</v>
      </c>
      <c r="C25" s="808">
        <v>13002225.196442593</v>
      </c>
      <c r="D25" s="783">
        <v>13002225.196442593</v>
      </c>
      <c r="E25" s="783">
        <v>0</v>
      </c>
      <c r="F25" s="810">
        <v>0</v>
      </c>
      <c r="G25" s="810">
        <v>0</v>
      </c>
      <c r="H25" s="783">
        <v>196587.46248548938</v>
      </c>
      <c r="I25" s="810">
        <v>196587.46248548938</v>
      </c>
      <c r="J25" s="810">
        <v>0</v>
      </c>
      <c r="K25" s="810">
        <v>0</v>
      </c>
      <c r="L25" s="810">
        <v>0</v>
      </c>
    </row>
    <row r="26" spans="1:12">
      <c r="A26" s="474">
        <v>20</v>
      </c>
      <c r="B26" s="489" t="s">
        <v>534</v>
      </c>
      <c r="C26" s="808">
        <v>13219736.399999999</v>
      </c>
      <c r="D26" s="783">
        <v>13175477.950000001</v>
      </c>
      <c r="E26" s="783">
        <v>0</v>
      </c>
      <c r="F26" s="810">
        <v>44258.450000000012</v>
      </c>
      <c r="G26" s="810">
        <v>0</v>
      </c>
      <c r="H26" s="783">
        <v>167906.32801876005</v>
      </c>
      <c r="I26" s="810">
        <v>130084.98619318902</v>
      </c>
      <c r="J26" s="810">
        <v>0</v>
      </c>
      <c r="K26" s="810">
        <v>37821.34182557102</v>
      </c>
      <c r="L26" s="810">
        <v>0</v>
      </c>
    </row>
    <row r="27" spans="1:12">
      <c r="A27" s="474">
        <v>21</v>
      </c>
      <c r="B27" s="489" t="s">
        <v>535</v>
      </c>
      <c r="C27" s="808">
        <v>92269.640000000014</v>
      </c>
      <c r="D27" s="783">
        <v>0</v>
      </c>
      <c r="E27" s="783">
        <v>0</v>
      </c>
      <c r="F27" s="810">
        <v>92269.640000000014</v>
      </c>
      <c r="G27" s="810">
        <v>0</v>
      </c>
      <c r="H27" s="783">
        <v>9213.1506857110016</v>
      </c>
      <c r="I27" s="810">
        <v>0</v>
      </c>
      <c r="J27" s="810">
        <v>0</v>
      </c>
      <c r="K27" s="810">
        <v>9213.1506857110016</v>
      </c>
      <c r="L27" s="810">
        <v>0</v>
      </c>
    </row>
    <row r="28" spans="1:12">
      <c r="A28" s="474">
        <v>22</v>
      </c>
      <c r="B28" s="489" t="s">
        <v>536</v>
      </c>
      <c r="C28" s="808">
        <v>0</v>
      </c>
      <c r="D28" s="783">
        <v>0</v>
      </c>
      <c r="E28" s="783">
        <v>0</v>
      </c>
      <c r="F28" s="810">
        <v>0</v>
      </c>
      <c r="G28" s="810">
        <v>0</v>
      </c>
      <c r="H28" s="783">
        <v>0</v>
      </c>
      <c r="I28" s="810">
        <v>0</v>
      </c>
      <c r="J28" s="810">
        <v>0</v>
      </c>
      <c r="K28" s="810">
        <v>0</v>
      </c>
      <c r="L28" s="810">
        <v>0</v>
      </c>
    </row>
    <row r="29" spans="1:12">
      <c r="A29" s="474">
        <v>23</v>
      </c>
      <c r="B29" s="489" t="s">
        <v>537</v>
      </c>
      <c r="C29" s="808">
        <v>12828432.445922323</v>
      </c>
      <c r="D29" s="783">
        <v>12463922.963286422</v>
      </c>
      <c r="E29" s="783">
        <v>341808.04263590218</v>
      </c>
      <c r="F29" s="810">
        <v>22701.440000000002</v>
      </c>
      <c r="G29" s="810">
        <v>0</v>
      </c>
      <c r="H29" s="783">
        <v>95162.920425794378</v>
      </c>
      <c r="I29" s="810">
        <v>72737.187465138762</v>
      </c>
      <c r="J29" s="810">
        <v>2.7500515471692308E-3</v>
      </c>
      <c r="K29" s="810">
        <v>22425.730210604062</v>
      </c>
      <c r="L29" s="810">
        <v>0</v>
      </c>
    </row>
    <row r="30" spans="1:12">
      <c r="A30" s="474">
        <v>24</v>
      </c>
      <c r="B30" s="489" t="s">
        <v>538</v>
      </c>
      <c r="C30" s="808">
        <v>5119400.7282211725</v>
      </c>
      <c r="D30" s="783">
        <v>5119400.7282211725</v>
      </c>
      <c r="E30" s="783">
        <v>0</v>
      </c>
      <c r="F30" s="810">
        <v>0</v>
      </c>
      <c r="G30" s="810">
        <v>0</v>
      </c>
      <c r="H30" s="783">
        <v>77747.629144326871</v>
      </c>
      <c r="I30" s="810">
        <v>77747.629144326871</v>
      </c>
      <c r="J30" s="810">
        <v>0</v>
      </c>
      <c r="K30" s="810">
        <v>0</v>
      </c>
      <c r="L30" s="810">
        <v>0</v>
      </c>
    </row>
    <row r="31" spans="1:12">
      <c r="A31" s="474">
        <v>25</v>
      </c>
      <c r="B31" s="489" t="s">
        <v>539</v>
      </c>
      <c r="C31" s="808">
        <v>290890.31183300004</v>
      </c>
      <c r="D31" s="783">
        <v>101045.58</v>
      </c>
      <c r="E31" s="783">
        <v>0</v>
      </c>
      <c r="F31" s="810">
        <v>189844.731833</v>
      </c>
      <c r="G31" s="810">
        <v>0</v>
      </c>
      <c r="H31" s="783">
        <v>189815.20056761714</v>
      </c>
      <c r="I31" s="810">
        <v>12.929104598125035</v>
      </c>
      <c r="J31" s="810">
        <v>0</v>
      </c>
      <c r="K31" s="810">
        <v>189802.27146301902</v>
      </c>
      <c r="L31" s="810">
        <v>0</v>
      </c>
    </row>
    <row r="32" spans="1:12">
      <c r="A32" s="474">
        <v>26</v>
      </c>
      <c r="B32" s="489" t="s">
        <v>595</v>
      </c>
      <c r="C32" s="808">
        <v>0</v>
      </c>
      <c r="D32" s="783">
        <v>0</v>
      </c>
      <c r="E32" s="783">
        <v>0</v>
      </c>
      <c r="F32" s="810">
        <v>0</v>
      </c>
      <c r="G32" s="810">
        <v>0</v>
      </c>
      <c r="H32" s="783">
        <v>0</v>
      </c>
      <c r="I32" s="810">
        <v>0</v>
      </c>
      <c r="J32" s="810">
        <v>0</v>
      </c>
      <c r="K32" s="810">
        <v>0</v>
      </c>
      <c r="L32" s="810">
        <v>0</v>
      </c>
    </row>
    <row r="33" spans="1:12">
      <c r="A33" s="474">
        <v>27</v>
      </c>
      <c r="B33" s="549" t="s">
        <v>66</v>
      </c>
      <c r="C33" s="811">
        <f>SUM(C7:C32)</f>
        <v>239895541.49802408</v>
      </c>
      <c r="D33" s="811">
        <f t="shared" ref="D33:L33" si="0">SUM(D7:D32)</f>
        <v>238518755.13552719</v>
      </c>
      <c r="E33" s="811">
        <f t="shared" si="0"/>
        <v>341808.04263590218</v>
      </c>
      <c r="F33" s="811">
        <f t="shared" si="0"/>
        <v>1034978.3198610106</v>
      </c>
      <c r="G33" s="811">
        <f t="shared" si="0"/>
        <v>0</v>
      </c>
      <c r="H33" s="811">
        <f t="shared" si="0"/>
        <v>2434999.5551941884</v>
      </c>
      <c r="I33" s="811">
        <f t="shared" si="0"/>
        <v>1653669.4630882347</v>
      </c>
      <c r="J33" s="811">
        <f t="shared" si="0"/>
        <v>2.7500515471692308E-3</v>
      </c>
      <c r="K33" s="811">
        <f t="shared" si="0"/>
        <v>781330.08935590181</v>
      </c>
      <c r="L33" s="811">
        <f t="shared" si="0"/>
        <v>0</v>
      </c>
    </row>
    <row r="34" spans="1:12">
      <c r="A34" s="502"/>
      <c r="B34" s="502"/>
      <c r="C34" s="502"/>
      <c r="D34" s="502"/>
      <c r="E34" s="502"/>
      <c r="H34" s="502"/>
    </row>
    <row r="35" spans="1:12">
      <c r="A35" s="502"/>
      <c r="B35" s="548"/>
      <c r="C35" s="548"/>
      <c r="D35" s="502"/>
      <c r="E35" s="502"/>
      <c r="H35" s="502"/>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6640625" defaultRowHeight="12"/>
  <cols>
    <col min="1" max="1" width="11.88671875" style="383" bestFit="1" customWidth="1"/>
    <col min="2" max="2" width="70.33203125" style="383" customWidth="1"/>
    <col min="3" max="3" width="19.5546875" style="383" bestFit="1" customWidth="1"/>
    <col min="4" max="4" width="27.33203125" style="383" bestFit="1" customWidth="1"/>
    <col min="5" max="5" width="24.5546875" style="383" bestFit="1" customWidth="1"/>
    <col min="6" max="6" width="26.5546875" style="383" bestFit="1" customWidth="1"/>
    <col min="7" max="7" width="19.5546875" style="383" bestFit="1" customWidth="1"/>
    <col min="8" max="8" width="27" style="383" bestFit="1" customWidth="1"/>
    <col min="9" max="9" width="24.109375" style="383" bestFit="1" customWidth="1"/>
    <col min="10" max="10" width="19.5546875" style="383" bestFit="1" customWidth="1"/>
    <col min="11" max="11" width="22.88671875" style="383" bestFit="1" customWidth="1"/>
    <col min="12" max="16384" width="8.6640625" style="383"/>
  </cols>
  <sheetData>
    <row r="1" spans="1:11" s="374" customFormat="1" ht="13.2">
      <c r="A1" s="373" t="s">
        <v>108</v>
      </c>
      <c r="B1" s="623" t="str">
        <f>'1. key ratios'!B1</f>
        <v>სს იშბანკი საქართველო</v>
      </c>
      <c r="C1" s="485"/>
      <c r="D1" s="485"/>
      <c r="E1" s="485"/>
      <c r="F1" s="485"/>
      <c r="G1" s="485"/>
      <c r="H1" s="485"/>
      <c r="I1" s="485"/>
      <c r="J1" s="485"/>
      <c r="K1" s="485"/>
    </row>
    <row r="2" spans="1:11" s="374" customFormat="1" ht="13.2">
      <c r="A2" s="375" t="s">
        <v>109</v>
      </c>
      <c r="B2" s="624">
        <f>'1. key ratios'!B2</f>
        <v>45199</v>
      </c>
      <c r="C2" s="485"/>
      <c r="D2" s="485"/>
      <c r="E2" s="485"/>
      <c r="F2" s="485"/>
      <c r="G2" s="485"/>
      <c r="H2" s="485"/>
      <c r="I2" s="485"/>
      <c r="J2" s="485"/>
      <c r="K2" s="485"/>
    </row>
    <row r="3" spans="1:11" s="374" customFormat="1">
      <c r="A3" s="376" t="s">
        <v>596</v>
      </c>
      <c r="B3" s="485"/>
      <c r="C3" s="485"/>
      <c r="D3" s="485"/>
      <c r="E3" s="485"/>
      <c r="F3" s="485"/>
      <c r="G3" s="485"/>
      <c r="H3" s="485"/>
      <c r="I3" s="485"/>
      <c r="J3" s="485"/>
      <c r="K3" s="485"/>
    </row>
    <row r="4" spans="1:11">
      <c r="A4" s="555"/>
      <c r="B4" s="555"/>
      <c r="C4" s="554" t="s">
        <v>500</v>
      </c>
      <c r="D4" s="554" t="s">
        <v>501</v>
      </c>
      <c r="E4" s="554" t="s">
        <v>502</v>
      </c>
      <c r="F4" s="554" t="s">
        <v>503</v>
      </c>
      <c r="G4" s="554" t="s">
        <v>504</v>
      </c>
      <c r="H4" s="554" t="s">
        <v>505</v>
      </c>
      <c r="I4" s="554" t="s">
        <v>506</v>
      </c>
      <c r="J4" s="554" t="s">
        <v>507</v>
      </c>
      <c r="K4" s="554" t="s">
        <v>508</v>
      </c>
    </row>
    <row r="5" spans="1:11" ht="104.1" customHeight="1">
      <c r="A5" s="969" t="s">
        <v>904</v>
      </c>
      <c r="B5" s="970"/>
      <c r="C5" s="553" t="s">
        <v>597</v>
      </c>
      <c r="D5" s="553" t="s">
        <v>590</v>
      </c>
      <c r="E5" s="553" t="s">
        <v>591</v>
      </c>
      <c r="F5" s="553" t="s">
        <v>903</v>
      </c>
      <c r="G5" s="553" t="s">
        <v>598</v>
      </c>
      <c r="H5" s="553" t="s">
        <v>599</v>
      </c>
      <c r="I5" s="553" t="s">
        <v>600</v>
      </c>
      <c r="J5" s="553" t="s">
        <v>601</v>
      </c>
      <c r="K5" s="553" t="s">
        <v>602</v>
      </c>
    </row>
    <row r="6" spans="1:11">
      <c r="A6" s="474">
        <v>1</v>
      </c>
      <c r="B6" s="474" t="s">
        <v>603</v>
      </c>
      <c r="C6" s="783">
        <v>18661682.180000003</v>
      </c>
      <c r="D6" s="783">
        <v>0</v>
      </c>
      <c r="E6" s="783">
        <v>0</v>
      </c>
      <c r="F6" s="783">
        <v>0</v>
      </c>
      <c r="G6" s="783">
        <v>83314912.798162684</v>
      </c>
      <c r="H6" s="783">
        <v>0</v>
      </c>
      <c r="I6" s="783">
        <v>5519738.192431001</v>
      </c>
      <c r="J6" s="783">
        <v>73174866.203580394</v>
      </c>
      <c r="K6" s="783">
        <v>57464108.483232915</v>
      </c>
    </row>
    <row r="7" spans="1:11">
      <c r="A7" s="474">
        <v>2</v>
      </c>
      <c r="B7" s="475" t="s">
        <v>604</v>
      </c>
      <c r="C7" s="783">
        <v>0</v>
      </c>
      <c r="D7" s="783">
        <v>0</v>
      </c>
      <c r="E7" s="783">
        <v>0</v>
      </c>
      <c r="F7" s="783">
        <v>0</v>
      </c>
      <c r="G7" s="783">
        <v>0</v>
      </c>
      <c r="H7" s="783">
        <v>0</v>
      </c>
      <c r="I7" s="783">
        <v>0</v>
      </c>
      <c r="J7" s="783">
        <v>0</v>
      </c>
      <c r="K7" s="783">
        <v>65437580.66131147</v>
      </c>
    </row>
    <row r="8" spans="1:11">
      <c r="A8" s="474">
        <v>3</v>
      </c>
      <c r="B8" s="475" t="s">
        <v>568</v>
      </c>
      <c r="C8" s="783">
        <v>2642271.2081499994</v>
      </c>
      <c r="D8" s="783"/>
      <c r="E8" s="783">
        <v>0</v>
      </c>
      <c r="F8" s="783">
        <v>0</v>
      </c>
      <c r="G8" s="783">
        <v>14755483.828009263</v>
      </c>
      <c r="H8" s="783">
        <v>0</v>
      </c>
      <c r="I8" s="783">
        <v>0</v>
      </c>
      <c r="J8" s="783">
        <v>5736110.9986180002</v>
      </c>
      <c r="K8" s="783">
        <v>75793758.148790732</v>
      </c>
    </row>
    <row r="9" spans="1:11">
      <c r="A9" s="474">
        <v>4</v>
      </c>
      <c r="B9" s="504" t="s">
        <v>902</v>
      </c>
      <c r="C9" s="812">
        <v>0</v>
      </c>
      <c r="D9" s="812"/>
      <c r="E9" s="812">
        <v>0</v>
      </c>
      <c r="F9" s="812">
        <v>0</v>
      </c>
      <c r="G9" s="812">
        <v>337417.60073000001</v>
      </c>
      <c r="H9" s="812">
        <v>0</v>
      </c>
      <c r="I9" s="812">
        <v>0</v>
      </c>
      <c r="J9" s="812">
        <v>250072.66</v>
      </c>
      <c r="K9" s="812">
        <v>420827.16852299991</v>
      </c>
    </row>
    <row r="10" spans="1:11">
      <c r="A10" s="474">
        <v>5</v>
      </c>
      <c r="B10" s="493" t="s">
        <v>901</v>
      </c>
      <c r="C10" s="812"/>
      <c r="D10" s="812"/>
      <c r="E10" s="812"/>
      <c r="F10" s="812"/>
      <c r="G10" s="812"/>
      <c r="H10" s="812"/>
      <c r="I10" s="812"/>
      <c r="J10" s="812"/>
      <c r="K10" s="812"/>
    </row>
    <row r="11" spans="1:11">
      <c r="A11" s="474">
        <v>6</v>
      </c>
      <c r="B11" s="493" t="s">
        <v>900</v>
      </c>
      <c r="C11" s="812"/>
      <c r="D11" s="812"/>
      <c r="E11" s="812"/>
      <c r="F11" s="812"/>
      <c r="G11" s="812"/>
      <c r="H11" s="812"/>
      <c r="I11" s="812"/>
      <c r="J11" s="812"/>
      <c r="K11" s="812"/>
    </row>
    <row r="13" spans="1:11" ht="13.8">
      <c r="B13" s="551"/>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6640625" defaultRowHeight="14.4"/>
  <cols>
    <col min="1" max="1" width="10" style="556" bestFit="1" customWidth="1"/>
    <col min="2" max="2" width="71.6640625" style="556" customWidth="1"/>
    <col min="3" max="3" width="9" style="556" bestFit="1" customWidth="1"/>
    <col min="4" max="6" width="15.88671875" style="556" bestFit="1" customWidth="1"/>
    <col min="7" max="7" width="37.44140625" style="556" bestFit="1" customWidth="1"/>
    <col min="8" max="8" width="10.5546875" style="556" bestFit="1" customWidth="1"/>
    <col min="9" max="10" width="15.109375" style="556" bestFit="1" customWidth="1"/>
    <col min="11" max="11" width="20" style="556" bestFit="1" customWidth="1"/>
    <col min="12" max="12" width="37.5546875" style="556" bestFit="1" customWidth="1"/>
    <col min="13" max="13" width="10.5546875" style="556" bestFit="1" customWidth="1"/>
    <col min="14" max="15" width="15.109375" style="556" bestFit="1" customWidth="1"/>
    <col min="16" max="16" width="20" style="556" bestFit="1" customWidth="1"/>
    <col min="17" max="17" width="37.5546875" style="556" bestFit="1" customWidth="1"/>
    <col min="18" max="18" width="17.33203125" style="556" bestFit="1" customWidth="1"/>
    <col min="19" max="19" width="40.6640625" style="556" customWidth="1"/>
    <col min="20" max="20" width="45.88671875" style="556" bestFit="1" customWidth="1"/>
    <col min="21" max="21" width="48" style="556" bestFit="1" customWidth="1"/>
    <col min="22" max="22" width="44.44140625" style="556" bestFit="1" customWidth="1"/>
    <col min="23" max="16384" width="8.6640625" style="556"/>
  </cols>
  <sheetData>
    <row r="1" spans="1:22">
      <c r="A1" s="373" t="s">
        <v>108</v>
      </c>
      <c r="B1" s="623" t="str">
        <f>'1. key ratios'!B1</f>
        <v>სს იშბანკი საქართველო</v>
      </c>
    </row>
    <row r="2" spans="1:22">
      <c r="A2" s="375" t="s">
        <v>109</v>
      </c>
      <c r="B2" s="624">
        <f>'1. key ratios'!B2</f>
        <v>45199</v>
      </c>
    </row>
    <row r="3" spans="1:22">
      <c r="A3" s="376" t="s">
        <v>687</v>
      </c>
      <c r="B3" s="485"/>
    </row>
    <row r="4" spans="1:22">
      <c r="A4" s="376"/>
      <c r="B4" s="485"/>
    </row>
    <row r="5" spans="1:22" ht="24" customHeight="1">
      <c r="A5" s="971" t="s">
        <v>714</v>
      </c>
      <c r="B5" s="971"/>
      <c r="C5" s="973" t="s">
        <v>906</v>
      </c>
      <c r="D5" s="973"/>
      <c r="E5" s="973"/>
      <c r="F5" s="973"/>
      <c r="G5" s="973"/>
      <c r="H5" s="973" t="s">
        <v>594</v>
      </c>
      <c r="I5" s="973"/>
      <c r="J5" s="973"/>
      <c r="K5" s="973"/>
      <c r="L5" s="973"/>
      <c r="M5" s="973" t="s">
        <v>905</v>
      </c>
      <c r="N5" s="973"/>
      <c r="O5" s="973"/>
      <c r="P5" s="973"/>
      <c r="Q5" s="973"/>
      <c r="R5" s="972" t="s">
        <v>713</v>
      </c>
      <c r="S5" s="972" t="s">
        <v>717</v>
      </c>
      <c r="T5" s="972" t="s">
        <v>716</v>
      </c>
      <c r="U5" s="972" t="s">
        <v>953</v>
      </c>
      <c r="V5" s="972" t="s">
        <v>954</v>
      </c>
    </row>
    <row r="6" spans="1:22" ht="36" customHeight="1">
      <c r="A6" s="971"/>
      <c r="B6" s="971"/>
      <c r="C6" s="566"/>
      <c r="D6" s="483" t="s">
        <v>890</v>
      </c>
      <c r="E6" s="483" t="s">
        <v>889</v>
      </c>
      <c r="F6" s="483" t="s">
        <v>888</v>
      </c>
      <c r="G6" s="483" t="s">
        <v>887</v>
      </c>
      <c r="H6" s="566"/>
      <c r="I6" s="483" t="s">
        <v>890</v>
      </c>
      <c r="J6" s="483" t="s">
        <v>889</v>
      </c>
      <c r="K6" s="483" t="s">
        <v>888</v>
      </c>
      <c r="L6" s="483" t="s">
        <v>887</v>
      </c>
      <c r="M6" s="566"/>
      <c r="N6" s="483" t="s">
        <v>890</v>
      </c>
      <c r="O6" s="483" t="s">
        <v>889</v>
      </c>
      <c r="P6" s="483" t="s">
        <v>888</v>
      </c>
      <c r="Q6" s="483" t="s">
        <v>887</v>
      </c>
      <c r="R6" s="972"/>
      <c r="S6" s="972"/>
      <c r="T6" s="972"/>
      <c r="U6" s="972"/>
      <c r="V6" s="972"/>
    </row>
    <row r="7" spans="1:22">
      <c r="A7" s="564">
        <v>1</v>
      </c>
      <c r="B7" s="565" t="s">
        <v>688</v>
      </c>
      <c r="C7" s="812">
        <v>101948.96</v>
      </c>
      <c r="D7" s="812">
        <v>101948.96</v>
      </c>
      <c r="E7" s="812">
        <v>0</v>
      </c>
      <c r="F7" s="812">
        <v>0</v>
      </c>
      <c r="G7" s="812">
        <v>0</v>
      </c>
      <c r="H7" s="812">
        <v>103038.28000000001</v>
      </c>
      <c r="I7" s="812">
        <v>103038.28000000001</v>
      </c>
      <c r="J7" s="812">
        <v>0</v>
      </c>
      <c r="K7" s="812">
        <v>0</v>
      </c>
      <c r="L7" s="812">
        <v>0</v>
      </c>
      <c r="M7" s="812">
        <v>1549.9508944009146</v>
      </c>
      <c r="N7" s="812">
        <v>1549.9508944009146</v>
      </c>
      <c r="O7" s="812">
        <v>0</v>
      </c>
      <c r="P7" s="812">
        <v>0</v>
      </c>
      <c r="Q7" s="812">
        <v>0</v>
      </c>
      <c r="R7" s="812">
        <v>1</v>
      </c>
      <c r="S7" s="813">
        <v>0.12821917999999999</v>
      </c>
      <c r="T7" s="813">
        <v>0.2261</v>
      </c>
      <c r="U7" s="813">
        <v>0.12821917999999999</v>
      </c>
      <c r="V7" s="812">
        <v>17.899999999999999</v>
      </c>
    </row>
    <row r="8" spans="1:22">
      <c r="A8" s="564">
        <v>2</v>
      </c>
      <c r="B8" s="563" t="s">
        <v>689</v>
      </c>
      <c r="C8" s="812">
        <v>4671641.3463410009</v>
      </c>
      <c r="D8" s="812">
        <v>4371515.5704460014</v>
      </c>
      <c r="E8" s="812">
        <v>0</v>
      </c>
      <c r="F8" s="812">
        <v>300125.77589500009</v>
      </c>
      <c r="G8" s="812">
        <v>0</v>
      </c>
      <c r="H8" s="812">
        <v>4700948.6027237214</v>
      </c>
      <c r="I8" s="812">
        <v>4389500.0668287221</v>
      </c>
      <c r="J8" s="812">
        <v>0</v>
      </c>
      <c r="K8" s="812">
        <v>311448.5358950001</v>
      </c>
      <c r="L8" s="812">
        <v>0</v>
      </c>
      <c r="M8" s="812">
        <v>427247.83368450287</v>
      </c>
      <c r="N8" s="812">
        <v>152486.34626554316</v>
      </c>
      <c r="O8" s="812">
        <v>0</v>
      </c>
      <c r="P8" s="812">
        <v>274761.48741895996</v>
      </c>
      <c r="Q8" s="812">
        <v>0</v>
      </c>
      <c r="R8" s="812">
        <v>137</v>
      </c>
      <c r="S8" s="813">
        <v>0.11501409697049919</v>
      </c>
      <c r="T8" s="813">
        <v>0.12832562089049918</v>
      </c>
      <c r="U8" s="813">
        <v>0.12544157792158661</v>
      </c>
      <c r="V8" s="812">
        <v>42.182680475148594</v>
      </c>
    </row>
    <row r="9" spans="1:22">
      <c r="A9" s="564">
        <v>3</v>
      </c>
      <c r="B9" s="563" t="s">
        <v>690</v>
      </c>
      <c r="C9" s="812">
        <v>0</v>
      </c>
      <c r="D9" s="812">
        <v>0</v>
      </c>
      <c r="E9" s="812">
        <v>0</v>
      </c>
      <c r="F9" s="812">
        <v>0</v>
      </c>
      <c r="G9" s="812">
        <v>0</v>
      </c>
      <c r="H9" s="812">
        <v>0</v>
      </c>
      <c r="I9" s="812">
        <v>0</v>
      </c>
      <c r="J9" s="812">
        <v>0</v>
      </c>
      <c r="K9" s="812">
        <v>0</v>
      </c>
      <c r="L9" s="812">
        <v>0</v>
      </c>
      <c r="M9" s="812">
        <v>0</v>
      </c>
      <c r="N9" s="812">
        <v>0</v>
      </c>
      <c r="O9" s="812">
        <v>0</v>
      </c>
      <c r="P9" s="812">
        <v>0</v>
      </c>
      <c r="Q9" s="812">
        <v>0</v>
      </c>
      <c r="R9" s="812"/>
      <c r="S9" s="813"/>
      <c r="T9" s="813"/>
      <c r="U9" s="813"/>
      <c r="V9" s="812"/>
    </row>
    <row r="10" spans="1:22">
      <c r="A10" s="564">
        <v>4</v>
      </c>
      <c r="B10" s="563" t="s">
        <v>691</v>
      </c>
      <c r="C10" s="812">
        <v>0</v>
      </c>
      <c r="D10" s="812">
        <v>0</v>
      </c>
      <c r="E10" s="812">
        <v>0</v>
      </c>
      <c r="F10" s="812">
        <v>0</v>
      </c>
      <c r="G10" s="812">
        <v>0</v>
      </c>
      <c r="H10" s="812">
        <v>0</v>
      </c>
      <c r="I10" s="812">
        <v>0</v>
      </c>
      <c r="J10" s="812">
        <v>0</v>
      </c>
      <c r="K10" s="812">
        <v>0</v>
      </c>
      <c r="L10" s="812">
        <v>0</v>
      </c>
      <c r="M10" s="812">
        <v>0</v>
      </c>
      <c r="N10" s="812">
        <v>0</v>
      </c>
      <c r="O10" s="812">
        <v>0</v>
      </c>
      <c r="P10" s="812">
        <v>0</v>
      </c>
      <c r="Q10" s="812">
        <v>0</v>
      </c>
      <c r="R10" s="812"/>
      <c r="S10" s="813"/>
      <c r="T10" s="813"/>
      <c r="U10" s="813"/>
      <c r="V10" s="812"/>
    </row>
    <row r="11" spans="1:22">
      <c r="A11" s="564">
        <v>5</v>
      </c>
      <c r="B11" s="563" t="s">
        <v>692</v>
      </c>
      <c r="C11" s="812">
        <v>36786</v>
      </c>
      <c r="D11" s="812">
        <v>24080.39</v>
      </c>
      <c r="E11" s="812">
        <v>0</v>
      </c>
      <c r="F11" s="812">
        <v>12705.61</v>
      </c>
      <c r="G11" s="812">
        <v>0</v>
      </c>
      <c r="H11" s="812">
        <v>37173.910000000003</v>
      </c>
      <c r="I11" s="812">
        <v>24381</v>
      </c>
      <c r="J11" s="812">
        <v>0</v>
      </c>
      <c r="K11" s="812">
        <v>12792.91</v>
      </c>
      <c r="L11" s="812">
        <v>0</v>
      </c>
      <c r="M11" s="812">
        <v>10180.284748186308</v>
      </c>
      <c r="N11" s="812">
        <v>1924.0911227854558</v>
      </c>
      <c r="O11" s="812">
        <v>0</v>
      </c>
      <c r="P11" s="812">
        <v>8256.1936254008542</v>
      </c>
      <c r="Q11" s="812">
        <v>0</v>
      </c>
      <c r="R11" s="812">
        <v>31</v>
      </c>
      <c r="S11" s="813">
        <v>0.1470889876583483</v>
      </c>
      <c r="T11" s="813">
        <v>0</v>
      </c>
      <c r="U11" s="813">
        <v>0.1470889876583483</v>
      </c>
      <c r="V11" s="812">
        <v>24</v>
      </c>
    </row>
    <row r="12" spans="1:22">
      <c r="A12" s="564">
        <v>6</v>
      </c>
      <c r="B12" s="563" t="s">
        <v>693</v>
      </c>
      <c r="C12" s="812">
        <v>0</v>
      </c>
      <c r="D12" s="812">
        <v>0</v>
      </c>
      <c r="E12" s="812">
        <v>0</v>
      </c>
      <c r="F12" s="812">
        <v>0</v>
      </c>
      <c r="G12" s="812">
        <v>0</v>
      </c>
      <c r="H12" s="812">
        <v>0</v>
      </c>
      <c r="I12" s="812">
        <v>0</v>
      </c>
      <c r="J12" s="812">
        <v>0</v>
      </c>
      <c r="K12" s="812">
        <v>0</v>
      </c>
      <c r="L12" s="812">
        <v>0</v>
      </c>
      <c r="M12" s="812">
        <v>0</v>
      </c>
      <c r="N12" s="812">
        <v>0</v>
      </c>
      <c r="O12" s="812">
        <v>0</v>
      </c>
      <c r="P12" s="812">
        <v>0</v>
      </c>
      <c r="Q12" s="812">
        <v>0</v>
      </c>
      <c r="R12" s="812"/>
      <c r="S12" s="813"/>
      <c r="T12" s="813"/>
      <c r="U12" s="813"/>
      <c r="V12" s="812"/>
    </row>
    <row r="13" spans="1:22">
      <c r="A13" s="564">
        <v>7</v>
      </c>
      <c r="B13" s="563" t="s">
        <v>694</v>
      </c>
      <c r="C13" s="814">
        <f>SUM(C14:C16)</f>
        <v>4255578.7163309995</v>
      </c>
      <c r="D13" s="814">
        <f t="shared" ref="D13:R13" si="0">SUM(D14:D16)</f>
        <v>3963247.1998330005</v>
      </c>
      <c r="E13" s="814">
        <f t="shared" si="0"/>
        <v>0</v>
      </c>
      <c r="F13" s="814">
        <f t="shared" si="0"/>
        <v>292331.51649800001</v>
      </c>
      <c r="G13" s="814">
        <f t="shared" si="0"/>
        <v>0</v>
      </c>
      <c r="H13" s="814">
        <f t="shared" si="0"/>
        <v>4290691.1285082446</v>
      </c>
      <c r="I13" s="814">
        <f t="shared" si="0"/>
        <v>3983326.1836607326</v>
      </c>
      <c r="J13" s="814">
        <f t="shared" si="0"/>
        <v>0</v>
      </c>
      <c r="K13" s="814">
        <f t="shared" si="0"/>
        <v>307364.94484751346</v>
      </c>
      <c r="L13" s="814">
        <f t="shared" si="0"/>
        <v>0</v>
      </c>
      <c r="M13" s="814">
        <f t="shared" si="0"/>
        <v>193688.45162367489</v>
      </c>
      <c r="N13" s="814">
        <f t="shared" si="0"/>
        <v>63828.913965836196</v>
      </c>
      <c r="O13" s="814">
        <f t="shared" si="0"/>
        <v>0</v>
      </c>
      <c r="P13" s="814">
        <f t="shared" si="0"/>
        <v>129859.53765783869</v>
      </c>
      <c r="Q13" s="814">
        <f t="shared" si="0"/>
        <v>0</v>
      </c>
      <c r="R13" s="814">
        <f t="shared" si="0"/>
        <v>32</v>
      </c>
      <c r="S13" s="813"/>
      <c r="T13" s="813"/>
      <c r="U13" s="813">
        <v>0.12649927660613172</v>
      </c>
      <c r="V13" s="812">
        <v>192.58735935587237</v>
      </c>
    </row>
    <row r="14" spans="1:22">
      <c r="A14" s="558">
        <v>7.1</v>
      </c>
      <c r="B14" s="557" t="s">
        <v>695</v>
      </c>
      <c r="C14" s="812">
        <v>3368040.2053569993</v>
      </c>
      <c r="D14" s="812">
        <v>3129471.5706920004</v>
      </c>
      <c r="E14" s="812">
        <v>0</v>
      </c>
      <c r="F14" s="812">
        <v>238568.63466500002</v>
      </c>
      <c r="G14" s="812">
        <v>0</v>
      </c>
      <c r="H14" s="812">
        <v>3399249.2945996886</v>
      </c>
      <c r="I14" s="812">
        <v>3145647.2315851767</v>
      </c>
      <c r="J14" s="812">
        <v>0</v>
      </c>
      <c r="K14" s="812">
        <v>253602.06301451343</v>
      </c>
      <c r="L14" s="812">
        <v>0</v>
      </c>
      <c r="M14" s="812">
        <v>128591.29143754955</v>
      </c>
      <c r="N14" s="812">
        <v>52592.993779710851</v>
      </c>
      <c r="O14" s="812">
        <v>0</v>
      </c>
      <c r="P14" s="812">
        <v>75998.297657838688</v>
      </c>
      <c r="Q14" s="812">
        <v>0</v>
      </c>
      <c r="R14" s="812">
        <v>24</v>
      </c>
      <c r="S14" s="813">
        <v>0.11825474803412787</v>
      </c>
      <c r="T14" s="813">
        <v>0.13074277044690369</v>
      </c>
      <c r="U14" s="813">
        <v>0.12706244283923565</v>
      </c>
      <c r="V14" s="812">
        <v>82.847411090626238</v>
      </c>
    </row>
    <row r="15" spans="1:22" ht="24">
      <c r="A15" s="558">
        <v>7.2</v>
      </c>
      <c r="B15" s="557" t="s">
        <v>696</v>
      </c>
      <c r="C15" s="812">
        <v>887538.51097399998</v>
      </c>
      <c r="D15" s="812">
        <v>833775.6291410001</v>
      </c>
      <c r="E15" s="812">
        <v>0</v>
      </c>
      <c r="F15" s="812">
        <v>53762.881832999999</v>
      </c>
      <c r="G15" s="812">
        <v>0</v>
      </c>
      <c r="H15" s="812">
        <v>891441.83390855568</v>
      </c>
      <c r="I15" s="812">
        <v>837678.9520755558</v>
      </c>
      <c r="J15" s="812">
        <v>0</v>
      </c>
      <c r="K15" s="812">
        <v>53762.881832999999</v>
      </c>
      <c r="L15" s="812">
        <v>0</v>
      </c>
      <c r="M15" s="812">
        <v>65097.160186125344</v>
      </c>
      <c r="N15" s="812">
        <v>11235.920186125346</v>
      </c>
      <c r="O15" s="812">
        <v>0</v>
      </c>
      <c r="P15" s="812">
        <v>53861.24</v>
      </c>
      <c r="Q15" s="812">
        <v>0</v>
      </c>
      <c r="R15" s="812">
        <v>8</v>
      </c>
      <c r="S15" s="813">
        <v>0.14064657999999999</v>
      </c>
      <c r="T15" s="813">
        <v>0.16420000000000001</v>
      </c>
      <c r="U15" s="813">
        <v>0.12436216763346118</v>
      </c>
      <c r="V15" s="812">
        <v>109.73994826524613</v>
      </c>
    </row>
    <row r="16" spans="1:22">
      <c r="A16" s="558">
        <v>7.3</v>
      </c>
      <c r="B16" s="557" t="s">
        <v>697</v>
      </c>
      <c r="C16" s="812">
        <v>0</v>
      </c>
      <c r="D16" s="812">
        <v>0</v>
      </c>
      <c r="E16" s="812">
        <v>0</v>
      </c>
      <c r="F16" s="812">
        <v>0</v>
      </c>
      <c r="G16" s="812">
        <v>0</v>
      </c>
      <c r="H16" s="812">
        <v>0</v>
      </c>
      <c r="I16" s="812">
        <v>0</v>
      </c>
      <c r="J16" s="812">
        <v>0</v>
      </c>
      <c r="K16" s="812">
        <v>0</v>
      </c>
      <c r="L16" s="812">
        <v>0</v>
      </c>
      <c r="M16" s="812">
        <v>0</v>
      </c>
      <c r="N16" s="812">
        <v>0</v>
      </c>
      <c r="O16" s="812">
        <v>0</v>
      </c>
      <c r="P16" s="812">
        <v>0</v>
      </c>
      <c r="Q16" s="812">
        <v>0</v>
      </c>
      <c r="R16" s="812"/>
      <c r="S16" s="813"/>
      <c r="T16" s="813"/>
      <c r="U16" s="813"/>
      <c r="V16" s="812"/>
    </row>
    <row r="17" spans="1:22">
      <c r="A17" s="564">
        <v>8</v>
      </c>
      <c r="B17" s="563" t="s">
        <v>698</v>
      </c>
      <c r="C17" s="812">
        <v>0</v>
      </c>
      <c r="D17" s="812">
        <v>0</v>
      </c>
      <c r="E17" s="812">
        <v>0</v>
      </c>
      <c r="F17" s="812">
        <v>0</v>
      </c>
      <c r="G17" s="812">
        <v>0</v>
      </c>
      <c r="H17" s="812">
        <v>0</v>
      </c>
      <c r="I17" s="812">
        <v>0</v>
      </c>
      <c r="J17" s="812">
        <v>0</v>
      </c>
      <c r="K17" s="812">
        <v>0</v>
      </c>
      <c r="L17" s="812">
        <v>0</v>
      </c>
      <c r="M17" s="812">
        <v>0</v>
      </c>
      <c r="N17" s="812">
        <v>0</v>
      </c>
      <c r="O17" s="812">
        <v>0</v>
      </c>
      <c r="P17" s="812">
        <v>0</v>
      </c>
      <c r="Q17" s="812">
        <v>0</v>
      </c>
      <c r="R17" s="812"/>
      <c r="S17" s="813"/>
      <c r="T17" s="813"/>
      <c r="U17" s="813"/>
      <c r="V17" s="812"/>
    </row>
    <row r="18" spans="1:22">
      <c r="A18" s="562">
        <v>9</v>
      </c>
      <c r="B18" s="561" t="s">
        <v>699</v>
      </c>
      <c r="C18" s="815">
        <v>0</v>
      </c>
      <c r="D18" s="815">
        <v>0</v>
      </c>
      <c r="E18" s="815">
        <v>0</v>
      </c>
      <c r="F18" s="815">
        <v>0</v>
      </c>
      <c r="G18" s="815">
        <v>0</v>
      </c>
      <c r="H18" s="815">
        <v>0</v>
      </c>
      <c r="I18" s="815">
        <v>0</v>
      </c>
      <c r="J18" s="815">
        <v>0</v>
      </c>
      <c r="K18" s="815">
        <v>0</v>
      </c>
      <c r="L18" s="815">
        <v>0</v>
      </c>
      <c r="M18" s="815">
        <v>0</v>
      </c>
      <c r="N18" s="815">
        <v>0</v>
      </c>
      <c r="O18" s="815">
        <v>0</v>
      </c>
      <c r="P18" s="815">
        <v>0</v>
      </c>
      <c r="Q18" s="815">
        <v>0</v>
      </c>
      <c r="R18" s="815"/>
      <c r="S18" s="816"/>
      <c r="T18" s="816"/>
      <c r="U18" s="816"/>
      <c r="V18" s="815"/>
    </row>
    <row r="19" spans="1:22">
      <c r="A19" s="560">
        <v>10</v>
      </c>
      <c r="B19" s="559" t="s">
        <v>715</v>
      </c>
      <c r="C19" s="814">
        <f>SUM(C7:C13)</f>
        <v>9065955.0226720013</v>
      </c>
      <c r="D19" s="814">
        <f t="shared" ref="D19:R19" si="1">SUM(D7:D13)</f>
        <v>8460792.1202790011</v>
      </c>
      <c r="E19" s="814">
        <f t="shared" si="1"/>
        <v>0</v>
      </c>
      <c r="F19" s="814">
        <f t="shared" si="1"/>
        <v>605162.90239300008</v>
      </c>
      <c r="G19" s="814">
        <f t="shared" si="1"/>
        <v>0</v>
      </c>
      <c r="H19" s="814">
        <f t="shared" si="1"/>
        <v>9131851.9212319665</v>
      </c>
      <c r="I19" s="814">
        <f t="shared" si="1"/>
        <v>8500245.5304894559</v>
      </c>
      <c r="J19" s="814">
        <f t="shared" si="1"/>
        <v>0</v>
      </c>
      <c r="K19" s="814">
        <f t="shared" si="1"/>
        <v>631606.39074251358</v>
      </c>
      <c r="L19" s="814">
        <f t="shared" si="1"/>
        <v>0</v>
      </c>
      <c r="M19" s="814">
        <f t="shared" si="1"/>
        <v>632666.520950765</v>
      </c>
      <c r="N19" s="814">
        <f t="shared" si="1"/>
        <v>219789.30224856574</v>
      </c>
      <c r="O19" s="814">
        <f t="shared" si="1"/>
        <v>0</v>
      </c>
      <c r="P19" s="814">
        <f t="shared" si="1"/>
        <v>412877.21870219952</v>
      </c>
      <c r="Q19" s="814">
        <f t="shared" si="1"/>
        <v>0</v>
      </c>
      <c r="R19" s="814">
        <f t="shared" si="1"/>
        <v>201</v>
      </c>
      <c r="S19" s="813">
        <v>0.12532872538189146</v>
      </c>
      <c r="T19" s="813">
        <v>0.14144920184095558</v>
      </c>
      <c r="U19" s="813">
        <v>0.12605713527368598</v>
      </c>
      <c r="V19" s="812">
        <v>112.23482613490224</v>
      </c>
    </row>
    <row r="20" spans="1:22" ht="24">
      <c r="A20" s="558">
        <v>10.1</v>
      </c>
      <c r="B20" s="557" t="s">
        <v>718</v>
      </c>
      <c r="C20" s="552"/>
      <c r="D20" s="552"/>
      <c r="E20" s="552"/>
      <c r="F20" s="552"/>
      <c r="G20" s="552"/>
      <c r="H20" s="552"/>
      <c r="I20" s="552"/>
      <c r="J20" s="552"/>
      <c r="K20" s="552"/>
      <c r="L20" s="552"/>
      <c r="M20" s="552"/>
      <c r="N20" s="552"/>
      <c r="O20" s="552"/>
      <c r="P20" s="552"/>
      <c r="Q20" s="552"/>
      <c r="R20" s="552"/>
      <c r="S20" s="813"/>
      <c r="T20" s="813"/>
      <c r="U20" s="813"/>
      <c r="V20" s="55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4.4"/>
  <cols>
    <col min="1" max="1" width="8.6640625" style="453"/>
    <col min="2" max="2" width="69.33203125" style="426" customWidth="1"/>
    <col min="3" max="3" width="16.109375" bestFit="1" customWidth="1"/>
    <col min="4" max="5" width="16.33203125" bestFit="1" customWidth="1"/>
    <col min="6" max="6" width="6.109375" bestFit="1" customWidth="1"/>
    <col min="7" max="7" width="13" bestFit="1" customWidth="1"/>
    <col min="8" max="8" width="5.88671875" bestFit="1" customWidth="1"/>
  </cols>
  <sheetData>
    <row r="1" spans="1:8">
      <c r="A1" s="17" t="s">
        <v>108</v>
      </c>
      <c r="B1" s="623" t="str">
        <f>'1. key ratios'!B1</f>
        <v>სს იშბანკი საქართველო</v>
      </c>
      <c r="C1" s="16"/>
      <c r="D1" s="218"/>
      <c r="E1" s="218"/>
      <c r="F1" s="218"/>
      <c r="G1" s="218"/>
    </row>
    <row r="2" spans="1:8">
      <c r="A2" s="17" t="s">
        <v>109</v>
      </c>
      <c r="B2" s="624">
        <f>'1. key ratios'!B2</f>
        <v>45199</v>
      </c>
      <c r="C2" s="29"/>
      <c r="D2" s="18"/>
      <c r="E2" s="18"/>
      <c r="F2" s="18"/>
      <c r="G2" s="18"/>
      <c r="H2" s="1"/>
    </row>
    <row r="3" spans="1:8">
      <c r="A3" s="17"/>
      <c r="B3" s="16"/>
      <c r="C3" s="29"/>
      <c r="D3" s="18"/>
      <c r="E3" s="18"/>
      <c r="F3" s="18"/>
      <c r="G3" s="18"/>
      <c r="H3" s="1"/>
    </row>
    <row r="4" spans="1:8" ht="21" customHeight="1">
      <c r="A4" s="860" t="s">
        <v>25</v>
      </c>
      <c r="B4" s="861" t="s">
        <v>727</v>
      </c>
      <c r="C4" s="863" t="s">
        <v>114</v>
      </c>
      <c r="D4" s="863"/>
      <c r="E4" s="863"/>
      <c r="F4" s="863" t="s">
        <v>115</v>
      </c>
      <c r="G4" s="863"/>
      <c r="H4" s="864"/>
    </row>
    <row r="5" spans="1:8" ht="21" customHeight="1">
      <c r="A5" s="860"/>
      <c r="B5" s="862"/>
      <c r="C5" s="395" t="s">
        <v>26</v>
      </c>
      <c r="D5" s="395" t="s">
        <v>88</v>
      </c>
      <c r="E5" s="395" t="s">
        <v>66</v>
      </c>
      <c r="F5" s="395" t="s">
        <v>26</v>
      </c>
      <c r="G5" s="395" t="s">
        <v>88</v>
      </c>
      <c r="H5" s="395" t="s">
        <v>66</v>
      </c>
    </row>
    <row r="6" spans="1:8" ht="26.4" customHeight="1">
      <c r="A6" s="860"/>
      <c r="B6" s="396" t="s">
        <v>95</v>
      </c>
      <c r="C6" s="865"/>
      <c r="D6" s="866"/>
      <c r="E6" s="866"/>
      <c r="F6" s="866"/>
      <c r="G6" s="866"/>
      <c r="H6" s="867"/>
    </row>
    <row r="7" spans="1:8" ht="23.1" customHeight="1">
      <c r="A7" s="443">
        <v>1</v>
      </c>
      <c r="B7" s="397" t="s">
        <v>841</v>
      </c>
      <c r="C7" s="829">
        <f>SUM(C8:C10)</f>
        <v>33374866.579123966</v>
      </c>
      <c r="D7" s="829">
        <f>SUM(D8:D10)</f>
        <v>93000728.727618158</v>
      </c>
      <c r="E7" s="830">
        <f>C7+D7</f>
        <v>126375595.30674213</v>
      </c>
      <c r="F7" s="663">
        <f>SUM(F8:F10)</f>
        <v>0</v>
      </c>
      <c r="G7" s="663">
        <f>SUM(G8:G10)</f>
        <v>0</v>
      </c>
      <c r="H7" s="664">
        <f>F7+G7</f>
        <v>0</v>
      </c>
    </row>
    <row r="8" spans="1:8">
      <c r="A8" s="443">
        <v>1.1000000000000001</v>
      </c>
      <c r="B8" s="398" t="s">
        <v>96</v>
      </c>
      <c r="C8" s="663">
        <v>463719.85</v>
      </c>
      <c r="D8" s="663">
        <v>1806750.9291000001</v>
      </c>
      <c r="E8" s="664">
        <f t="shared" ref="E8:E36" si="0">C8+D8</f>
        <v>2270470.7790999999</v>
      </c>
      <c r="F8" s="663"/>
      <c r="G8" s="663"/>
      <c r="H8" s="664">
        <f t="shared" ref="H8:H36" si="1">F8+G8</f>
        <v>0</v>
      </c>
    </row>
    <row r="9" spans="1:8">
      <c r="A9" s="443">
        <v>1.2</v>
      </c>
      <c r="B9" s="398" t="s">
        <v>97</v>
      </c>
      <c r="C9" s="663">
        <v>2966871.4445510888</v>
      </c>
      <c r="D9" s="663">
        <v>76434919.223775208</v>
      </c>
      <c r="E9" s="664">
        <f t="shared" si="0"/>
        <v>79401790.668326303</v>
      </c>
      <c r="F9" s="663"/>
      <c r="G9" s="663"/>
      <c r="H9" s="664">
        <f t="shared" si="1"/>
        <v>0</v>
      </c>
    </row>
    <row r="10" spans="1:8">
      <c r="A10" s="443">
        <v>1.3</v>
      </c>
      <c r="B10" s="398" t="s">
        <v>98</v>
      </c>
      <c r="C10" s="663">
        <v>29944275.284572877</v>
      </c>
      <c r="D10" s="663">
        <v>14759058.574742936</v>
      </c>
      <c r="E10" s="664">
        <f t="shared" si="0"/>
        <v>44703333.859315813</v>
      </c>
      <c r="F10" s="663"/>
      <c r="G10" s="663"/>
      <c r="H10" s="664">
        <f t="shared" si="1"/>
        <v>0</v>
      </c>
    </row>
    <row r="11" spans="1:8">
      <c r="A11" s="443">
        <v>2</v>
      </c>
      <c r="B11" s="399" t="s">
        <v>728</v>
      </c>
      <c r="C11" s="663"/>
      <c r="D11" s="663"/>
      <c r="E11" s="664">
        <f t="shared" si="0"/>
        <v>0</v>
      </c>
      <c r="F11" s="663"/>
      <c r="G11" s="663"/>
      <c r="H11" s="664">
        <f t="shared" si="1"/>
        <v>0</v>
      </c>
    </row>
    <row r="12" spans="1:8">
      <c r="A12" s="443">
        <v>2.1</v>
      </c>
      <c r="B12" s="400" t="s">
        <v>729</v>
      </c>
      <c r="C12" s="663"/>
      <c r="D12" s="663"/>
      <c r="E12" s="664">
        <f t="shared" si="0"/>
        <v>0</v>
      </c>
      <c r="F12" s="663"/>
      <c r="G12" s="663"/>
      <c r="H12" s="664">
        <f t="shared" si="1"/>
        <v>0</v>
      </c>
    </row>
    <row r="13" spans="1:8" ht="26.4" customHeight="1">
      <c r="A13" s="443">
        <v>3</v>
      </c>
      <c r="B13" s="401" t="s">
        <v>730</v>
      </c>
      <c r="C13" s="663"/>
      <c r="D13" s="663"/>
      <c r="E13" s="664">
        <f t="shared" si="0"/>
        <v>0</v>
      </c>
      <c r="F13" s="663"/>
      <c r="G13" s="663"/>
      <c r="H13" s="664">
        <f t="shared" si="1"/>
        <v>0</v>
      </c>
    </row>
    <row r="14" spans="1:8" ht="26.4" customHeight="1">
      <c r="A14" s="443">
        <v>4</v>
      </c>
      <c r="B14" s="402" t="s">
        <v>731</v>
      </c>
      <c r="C14" s="663"/>
      <c r="D14" s="663"/>
      <c r="E14" s="664">
        <f t="shared" si="0"/>
        <v>0</v>
      </c>
      <c r="F14" s="663"/>
      <c r="G14" s="663"/>
      <c r="H14" s="664">
        <f t="shared" si="1"/>
        <v>0</v>
      </c>
    </row>
    <row r="15" spans="1:8" ht="24.6" customHeight="1">
      <c r="A15" s="443">
        <v>5</v>
      </c>
      <c r="B15" s="402" t="s">
        <v>732</v>
      </c>
      <c r="C15" s="831">
        <f>SUM(C16:C18)</f>
        <v>0</v>
      </c>
      <c r="D15" s="831">
        <f>SUM(D16:D18)</f>
        <v>0</v>
      </c>
      <c r="E15" s="832">
        <f t="shared" si="0"/>
        <v>0</v>
      </c>
      <c r="F15" s="665">
        <f>SUM(F16:F18)</f>
        <v>0</v>
      </c>
      <c r="G15" s="665">
        <f>SUM(G16:G18)</f>
        <v>0</v>
      </c>
      <c r="H15" s="666">
        <f t="shared" si="1"/>
        <v>0</v>
      </c>
    </row>
    <row r="16" spans="1:8">
      <c r="A16" s="443">
        <v>5.0999999999999996</v>
      </c>
      <c r="B16" s="403" t="s">
        <v>733</v>
      </c>
      <c r="C16" s="663"/>
      <c r="D16" s="663"/>
      <c r="E16" s="664">
        <f t="shared" si="0"/>
        <v>0</v>
      </c>
      <c r="F16" s="663"/>
      <c r="G16" s="663"/>
      <c r="H16" s="664">
        <f t="shared" si="1"/>
        <v>0</v>
      </c>
    </row>
    <row r="17" spans="1:8">
      <c r="A17" s="443">
        <v>5.2</v>
      </c>
      <c r="B17" s="403" t="s">
        <v>567</v>
      </c>
      <c r="C17" s="663"/>
      <c r="D17" s="663"/>
      <c r="E17" s="664">
        <f t="shared" si="0"/>
        <v>0</v>
      </c>
      <c r="F17" s="663"/>
      <c r="G17" s="663"/>
      <c r="H17" s="664">
        <f t="shared" si="1"/>
        <v>0</v>
      </c>
    </row>
    <row r="18" spans="1:8">
      <c r="A18" s="443">
        <v>5.3</v>
      </c>
      <c r="B18" s="403" t="s">
        <v>734</v>
      </c>
      <c r="C18" s="663"/>
      <c r="D18" s="663"/>
      <c r="E18" s="664">
        <f t="shared" si="0"/>
        <v>0</v>
      </c>
      <c r="F18" s="663"/>
      <c r="G18" s="663"/>
      <c r="H18" s="664">
        <f t="shared" si="1"/>
        <v>0</v>
      </c>
    </row>
    <row r="19" spans="1:8">
      <c r="A19" s="443">
        <v>6</v>
      </c>
      <c r="B19" s="401" t="s">
        <v>735</v>
      </c>
      <c r="C19" s="829">
        <f>SUM(C20:C21)</f>
        <v>146977673.25189826</v>
      </c>
      <c r="D19" s="829">
        <f>SUM(D20:D21)</f>
        <v>156235443.07816321</v>
      </c>
      <c r="E19" s="830">
        <f t="shared" si="0"/>
        <v>303213116.33006144</v>
      </c>
      <c r="F19" s="663">
        <f>SUM(F20:F21)</f>
        <v>0</v>
      </c>
      <c r="G19" s="663">
        <f>SUM(G20:G21)</f>
        <v>0</v>
      </c>
      <c r="H19" s="664">
        <f t="shared" si="1"/>
        <v>0</v>
      </c>
    </row>
    <row r="20" spans="1:8">
      <c r="A20" s="443">
        <v>6.1</v>
      </c>
      <c r="B20" s="403" t="s">
        <v>567</v>
      </c>
      <c r="C20" s="663">
        <v>52211146.693507619</v>
      </c>
      <c r="D20" s="663">
        <v>13541427.693723947</v>
      </c>
      <c r="E20" s="664">
        <f t="shared" si="0"/>
        <v>65752574.387231566</v>
      </c>
      <c r="F20" s="663"/>
      <c r="G20" s="663"/>
      <c r="H20" s="664">
        <f t="shared" si="1"/>
        <v>0</v>
      </c>
    </row>
    <row r="21" spans="1:8">
      <c r="A21" s="443">
        <v>6.2</v>
      </c>
      <c r="B21" s="403" t="s">
        <v>734</v>
      </c>
      <c r="C21" s="661">
        <v>94766526.558390647</v>
      </c>
      <c r="D21" s="662">
        <v>142694015.38443926</v>
      </c>
      <c r="E21" s="664">
        <f t="shared" si="0"/>
        <v>237460541.94282991</v>
      </c>
      <c r="F21" s="663"/>
      <c r="G21" s="663"/>
      <c r="H21" s="664">
        <f t="shared" si="1"/>
        <v>0</v>
      </c>
    </row>
    <row r="22" spans="1:8">
      <c r="A22" s="443">
        <v>7</v>
      </c>
      <c r="B22" s="404" t="s">
        <v>736</v>
      </c>
      <c r="C22" s="663"/>
      <c r="D22" s="663"/>
      <c r="E22" s="664">
        <f t="shared" si="0"/>
        <v>0</v>
      </c>
      <c r="F22" s="663"/>
      <c r="G22" s="663"/>
      <c r="H22" s="664">
        <f t="shared" si="1"/>
        <v>0</v>
      </c>
    </row>
    <row r="23" spans="1:8">
      <c r="A23" s="443">
        <v>8</v>
      </c>
      <c r="B23" s="405" t="s">
        <v>737</v>
      </c>
      <c r="C23" s="663"/>
      <c r="D23" s="663"/>
      <c r="E23" s="664">
        <f t="shared" si="0"/>
        <v>0</v>
      </c>
      <c r="F23" s="663"/>
      <c r="G23" s="663"/>
      <c r="H23" s="664">
        <f t="shared" si="1"/>
        <v>0</v>
      </c>
    </row>
    <row r="24" spans="1:8">
      <c r="A24" s="443">
        <v>9</v>
      </c>
      <c r="B24" s="402" t="s">
        <v>738</v>
      </c>
      <c r="C24" s="829">
        <f>SUM(C25:C26)</f>
        <v>6073902.7700000005</v>
      </c>
      <c r="D24" s="829">
        <f>SUM(D25:D26)</f>
        <v>0</v>
      </c>
      <c r="E24" s="830">
        <f t="shared" si="0"/>
        <v>6073902.7700000005</v>
      </c>
      <c r="F24" s="663">
        <f>SUM(F25:F26)</f>
        <v>0</v>
      </c>
      <c r="G24" s="663">
        <f>SUM(G25:G26)</f>
        <v>0</v>
      </c>
      <c r="H24" s="664">
        <f t="shared" si="1"/>
        <v>0</v>
      </c>
    </row>
    <row r="25" spans="1:8">
      <c r="A25" s="443">
        <v>9.1</v>
      </c>
      <c r="B25" s="406" t="s">
        <v>739</v>
      </c>
      <c r="C25" s="663">
        <v>6073902.7700000005</v>
      </c>
      <c r="D25" s="663"/>
      <c r="E25" s="664">
        <f t="shared" si="0"/>
        <v>6073902.7700000005</v>
      </c>
      <c r="F25" s="663"/>
      <c r="G25" s="663"/>
      <c r="H25" s="664">
        <f t="shared" si="1"/>
        <v>0</v>
      </c>
    </row>
    <row r="26" spans="1:8">
      <c r="A26" s="443">
        <v>9.1999999999999993</v>
      </c>
      <c r="B26" s="406" t="s">
        <v>740</v>
      </c>
      <c r="C26" s="663"/>
      <c r="D26" s="663"/>
      <c r="E26" s="664">
        <f t="shared" si="0"/>
        <v>0</v>
      </c>
      <c r="F26" s="663"/>
      <c r="G26" s="663"/>
      <c r="H26" s="664">
        <f t="shared" si="1"/>
        <v>0</v>
      </c>
    </row>
    <row r="27" spans="1:8">
      <c r="A27" s="443">
        <v>10</v>
      </c>
      <c r="B27" s="402" t="s">
        <v>36</v>
      </c>
      <c r="C27" s="829">
        <f>SUM(C28:C29)</f>
        <v>177648.31928219183</v>
      </c>
      <c r="D27" s="829">
        <f>SUM(D28:D29)</f>
        <v>0</v>
      </c>
      <c r="E27" s="830">
        <f t="shared" si="0"/>
        <v>177648.31928219183</v>
      </c>
      <c r="F27" s="829">
        <f>SUM(F28:F29)</f>
        <v>0</v>
      </c>
      <c r="G27" s="829">
        <f>SUM(G28:G29)</f>
        <v>0</v>
      </c>
      <c r="H27" s="830">
        <f t="shared" si="1"/>
        <v>0</v>
      </c>
    </row>
    <row r="28" spans="1:8">
      <c r="A28" s="443">
        <v>10.1</v>
      </c>
      <c r="B28" s="406" t="s">
        <v>741</v>
      </c>
      <c r="C28" s="663"/>
      <c r="D28" s="663"/>
      <c r="E28" s="664">
        <f t="shared" si="0"/>
        <v>0</v>
      </c>
      <c r="F28" s="663"/>
      <c r="G28" s="663"/>
      <c r="H28" s="664">
        <f t="shared" si="1"/>
        <v>0</v>
      </c>
    </row>
    <row r="29" spans="1:8">
      <c r="A29" s="443">
        <v>10.199999999999999</v>
      </c>
      <c r="B29" s="406" t="s">
        <v>742</v>
      </c>
      <c r="C29" s="663">
        <v>177648.31928219183</v>
      </c>
      <c r="D29" s="663"/>
      <c r="E29" s="664">
        <f t="shared" si="0"/>
        <v>177648.31928219183</v>
      </c>
      <c r="F29" s="663"/>
      <c r="G29" s="663"/>
      <c r="H29" s="664">
        <f t="shared" si="1"/>
        <v>0</v>
      </c>
    </row>
    <row r="30" spans="1:8">
      <c r="A30" s="443">
        <v>11</v>
      </c>
      <c r="B30" s="402" t="s">
        <v>743</v>
      </c>
      <c r="C30" s="829">
        <f>SUM(C31:C32)</f>
        <v>4126977.25</v>
      </c>
      <c r="D30" s="829">
        <f>SUM(D31:D32)</f>
        <v>0</v>
      </c>
      <c r="E30" s="830">
        <f t="shared" si="0"/>
        <v>4126977.25</v>
      </c>
      <c r="F30" s="663">
        <f>SUM(F31:F32)</f>
        <v>0</v>
      </c>
      <c r="G30" s="663">
        <f>SUM(G31:G32)</f>
        <v>0</v>
      </c>
      <c r="H30" s="664">
        <f t="shared" si="1"/>
        <v>0</v>
      </c>
    </row>
    <row r="31" spans="1:8">
      <c r="A31" s="443">
        <v>11.1</v>
      </c>
      <c r="B31" s="406" t="s">
        <v>744</v>
      </c>
      <c r="C31" s="663">
        <v>4126977.25</v>
      </c>
      <c r="D31" s="663"/>
      <c r="E31" s="664">
        <f t="shared" si="0"/>
        <v>4126977.25</v>
      </c>
      <c r="F31" s="663"/>
      <c r="G31" s="663"/>
      <c r="H31" s="664">
        <f t="shared" si="1"/>
        <v>0</v>
      </c>
    </row>
    <row r="32" spans="1:8">
      <c r="A32" s="443">
        <v>11.2</v>
      </c>
      <c r="B32" s="406" t="s">
        <v>745</v>
      </c>
      <c r="C32" s="663"/>
      <c r="D32" s="663"/>
      <c r="E32" s="664">
        <f t="shared" si="0"/>
        <v>0</v>
      </c>
      <c r="F32" s="663"/>
      <c r="G32" s="663"/>
      <c r="H32" s="664">
        <f t="shared" si="1"/>
        <v>0</v>
      </c>
    </row>
    <row r="33" spans="1:8">
      <c r="A33" s="443">
        <v>13</v>
      </c>
      <c r="B33" s="402" t="s">
        <v>99</v>
      </c>
      <c r="C33" s="829">
        <v>3487593.6708287075</v>
      </c>
      <c r="D33" s="829">
        <v>186585.195595</v>
      </c>
      <c r="E33" s="830">
        <f t="shared" si="0"/>
        <v>3674178.8664237075</v>
      </c>
      <c r="F33" s="663"/>
      <c r="G33" s="663"/>
      <c r="H33" s="664">
        <f t="shared" si="1"/>
        <v>0</v>
      </c>
    </row>
    <row r="34" spans="1:8">
      <c r="A34" s="443">
        <v>13.1</v>
      </c>
      <c r="B34" s="407" t="s">
        <v>746</v>
      </c>
      <c r="C34" s="663">
        <v>1349093.18</v>
      </c>
      <c r="D34" s="663"/>
      <c r="E34" s="664">
        <f t="shared" si="0"/>
        <v>1349093.18</v>
      </c>
      <c r="F34" s="663"/>
      <c r="G34" s="663"/>
      <c r="H34" s="664">
        <f t="shared" si="1"/>
        <v>0</v>
      </c>
    </row>
    <row r="35" spans="1:8">
      <c r="A35" s="443">
        <v>13.2</v>
      </c>
      <c r="B35" s="407" t="s">
        <v>747</v>
      </c>
      <c r="C35" s="663"/>
      <c r="D35" s="663"/>
      <c r="E35" s="664">
        <f t="shared" si="0"/>
        <v>0</v>
      </c>
      <c r="F35" s="663"/>
      <c r="G35" s="663"/>
      <c r="H35" s="664">
        <f t="shared" si="1"/>
        <v>0</v>
      </c>
    </row>
    <row r="36" spans="1:8">
      <c r="A36" s="443">
        <v>14</v>
      </c>
      <c r="B36" s="408" t="s">
        <v>748</v>
      </c>
      <c r="C36" s="829">
        <f>SUM(C7,C11,C13,C14,C15,C19,C22,C23,C24,C27,C30,C33)</f>
        <v>194218661.84113315</v>
      </c>
      <c r="D36" s="829">
        <f>SUM(D7,D11,D13,D14,D15,D19,D22,D23,D24,D27,D30,D33)</f>
        <v>249422757.00137636</v>
      </c>
      <c r="E36" s="830">
        <f t="shared" si="0"/>
        <v>443641418.84250951</v>
      </c>
      <c r="F36" s="663">
        <f>SUM(F7,F11,F13,F14,F15,F19,F22,F23,F24,F27,F30,F33)</f>
        <v>0</v>
      </c>
      <c r="G36" s="663">
        <f>SUM(G7,G11,G13,G14,G15,G19,G22,G23,G24,G27,G30,G33)</f>
        <v>0</v>
      </c>
      <c r="H36" s="664">
        <f t="shared" si="1"/>
        <v>0</v>
      </c>
    </row>
    <row r="37" spans="1:8" ht="22.5" customHeight="1">
      <c r="A37" s="443"/>
      <c r="B37" s="409" t="s">
        <v>104</v>
      </c>
      <c r="C37" s="854"/>
      <c r="D37" s="855"/>
      <c r="E37" s="855"/>
      <c r="F37" s="855"/>
      <c r="G37" s="855"/>
      <c r="H37" s="856"/>
    </row>
    <row r="38" spans="1:8">
      <c r="A38" s="443">
        <v>15</v>
      </c>
      <c r="B38" s="410" t="s">
        <v>749</v>
      </c>
      <c r="C38" s="667"/>
      <c r="D38" s="667"/>
      <c r="E38" s="668">
        <f>C38+D38</f>
        <v>0</v>
      </c>
      <c r="F38" s="667"/>
      <c r="G38" s="667"/>
      <c r="H38" s="668">
        <f>F38+G38</f>
        <v>0</v>
      </c>
    </row>
    <row r="39" spans="1:8">
      <c r="A39" s="443">
        <v>15.1</v>
      </c>
      <c r="B39" s="413" t="s">
        <v>729</v>
      </c>
      <c r="C39" s="667"/>
      <c r="D39" s="667"/>
      <c r="E39" s="668">
        <f t="shared" ref="E39:E53" si="2">C39+D39</f>
        <v>0</v>
      </c>
      <c r="F39" s="667"/>
      <c r="G39" s="667"/>
      <c r="H39" s="668">
        <f t="shared" ref="H39:H53" si="3">F39+G39</f>
        <v>0</v>
      </c>
    </row>
    <row r="40" spans="1:8" ht="24" customHeight="1">
      <c r="A40" s="443">
        <v>16</v>
      </c>
      <c r="B40" s="404" t="s">
        <v>750</v>
      </c>
      <c r="C40" s="667"/>
      <c r="D40" s="667"/>
      <c r="E40" s="668">
        <f t="shared" si="2"/>
        <v>0</v>
      </c>
      <c r="F40" s="667"/>
      <c r="G40" s="667"/>
      <c r="H40" s="668">
        <f t="shared" si="3"/>
        <v>0</v>
      </c>
    </row>
    <row r="41" spans="1:8">
      <c r="A41" s="443">
        <v>17</v>
      </c>
      <c r="B41" s="404" t="s">
        <v>751</v>
      </c>
      <c r="C41" s="833">
        <f>SUM(C42:C45)</f>
        <v>56660780.410000004</v>
      </c>
      <c r="D41" s="833">
        <f>SUM(D42:D45)</f>
        <v>248339594.43109405</v>
      </c>
      <c r="E41" s="834">
        <f t="shared" si="2"/>
        <v>305000374.84109408</v>
      </c>
      <c r="F41" s="667">
        <f>SUM(F42:F45)</f>
        <v>0</v>
      </c>
      <c r="G41" s="667">
        <f>SUM(G42:G45)</f>
        <v>0</v>
      </c>
      <c r="H41" s="668">
        <f t="shared" si="3"/>
        <v>0</v>
      </c>
    </row>
    <row r="42" spans="1:8">
      <c r="A42" s="443">
        <v>17.100000000000001</v>
      </c>
      <c r="B42" s="414" t="s">
        <v>752</v>
      </c>
      <c r="C42" s="667">
        <v>56660780.410000004</v>
      </c>
      <c r="D42" s="667">
        <v>198550780.8145757</v>
      </c>
      <c r="E42" s="668">
        <f t="shared" si="2"/>
        <v>255211561.2245757</v>
      </c>
      <c r="F42" s="667"/>
      <c r="G42" s="667"/>
      <c r="H42" s="668">
        <f t="shared" si="3"/>
        <v>0</v>
      </c>
    </row>
    <row r="43" spans="1:8">
      <c r="A43" s="443">
        <v>17.2</v>
      </c>
      <c r="B43" s="415" t="s">
        <v>100</v>
      </c>
      <c r="C43" s="667">
        <v>0</v>
      </c>
      <c r="D43" s="667">
        <v>44963468.295112357</v>
      </c>
      <c r="E43" s="668">
        <f t="shared" si="2"/>
        <v>44963468.295112357</v>
      </c>
      <c r="F43" s="667"/>
      <c r="G43" s="667"/>
      <c r="H43" s="668">
        <f t="shared" si="3"/>
        <v>0</v>
      </c>
    </row>
    <row r="44" spans="1:8">
      <c r="A44" s="443">
        <v>17.3</v>
      </c>
      <c r="B44" s="414" t="s">
        <v>753</v>
      </c>
      <c r="C44" s="667"/>
      <c r="D44" s="667"/>
      <c r="E44" s="668">
        <f t="shared" si="2"/>
        <v>0</v>
      </c>
      <c r="F44" s="667"/>
      <c r="G44" s="667"/>
      <c r="H44" s="668">
        <f t="shared" si="3"/>
        <v>0</v>
      </c>
    </row>
    <row r="45" spans="1:8">
      <c r="A45" s="443">
        <v>17.399999999999999</v>
      </c>
      <c r="B45" s="414" t="s">
        <v>754</v>
      </c>
      <c r="C45" s="667">
        <v>0</v>
      </c>
      <c r="D45" s="667">
        <v>4825345.3214060003</v>
      </c>
      <c r="E45" s="668">
        <f t="shared" si="2"/>
        <v>4825345.3214060003</v>
      </c>
      <c r="F45" s="667"/>
      <c r="G45" s="667"/>
      <c r="H45" s="668">
        <f t="shared" si="3"/>
        <v>0</v>
      </c>
    </row>
    <row r="46" spans="1:8">
      <c r="A46" s="443">
        <v>18</v>
      </c>
      <c r="B46" s="416" t="s">
        <v>755</v>
      </c>
      <c r="C46" s="1048">
        <v>159433.62946566884</v>
      </c>
      <c r="D46" s="1049">
        <v>250762.8418285072</v>
      </c>
      <c r="E46" s="834">
        <f t="shared" si="2"/>
        <v>410196.47129417607</v>
      </c>
      <c r="F46" s="667"/>
      <c r="G46" s="667"/>
      <c r="H46" s="668">
        <f t="shared" si="3"/>
        <v>0</v>
      </c>
    </row>
    <row r="47" spans="1:8">
      <c r="A47" s="443">
        <v>19</v>
      </c>
      <c r="B47" s="416" t="s">
        <v>756</v>
      </c>
      <c r="C47" s="833">
        <f>SUM(C48:C49)</f>
        <v>4422961.04</v>
      </c>
      <c r="D47" s="833">
        <f>SUM(D48:D49)</f>
        <v>0</v>
      </c>
      <c r="E47" s="834">
        <f t="shared" si="2"/>
        <v>4422961.04</v>
      </c>
      <c r="F47" s="667">
        <f>SUM(F48:F49)</f>
        <v>0</v>
      </c>
      <c r="G47" s="667">
        <f>SUM(G48:G49)</f>
        <v>0</v>
      </c>
      <c r="H47" s="668">
        <f t="shared" si="3"/>
        <v>0</v>
      </c>
    </row>
    <row r="48" spans="1:8">
      <c r="A48" s="443">
        <v>19.100000000000001</v>
      </c>
      <c r="B48" s="417" t="s">
        <v>757</v>
      </c>
      <c r="C48" s="661">
        <v>4422961.04</v>
      </c>
      <c r="D48" s="667">
        <v>0</v>
      </c>
      <c r="E48" s="668">
        <f t="shared" si="2"/>
        <v>4422961.04</v>
      </c>
      <c r="F48" s="667"/>
      <c r="G48" s="667"/>
      <c r="H48" s="668">
        <f t="shared" si="3"/>
        <v>0</v>
      </c>
    </row>
    <row r="49" spans="1:8">
      <c r="A49" s="443">
        <v>19.2</v>
      </c>
      <c r="B49" s="418" t="s">
        <v>758</v>
      </c>
      <c r="C49" s="667"/>
      <c r="D49" s="667"/>
      <c r="E49" s="668">
        <f t="shared" si="2"/>
        <v>0</v>
      </c>
      <c r="F49" s="667"/>
      <c r="G49" s="667"/>
      <c r="H49" s="668">
        <f t="shared" si="3"/>
        <v>0</v>
      </c>
    </row>
    <row r="50" spans="1:8">
      <c r="A50" s="443">
        <v>20</v>
      </c>
      <c r="B50" s="419" t="s">
        <v>101</v>
      </c>
      <c r="C50" s="667"/>
      <c r="D50" s="667"/>
      <c r="E50" s="668">
        <f t="shared" si="2"/>
        <v>0</v>
      </c>
      <c r="F50" s="667"/>
      <c r="G50" s="667"/>
      <c r="H50" s="668">
        <f t="shared" si="3"/>
        <v>0</v>
      </c>
    </row>
    <row r="51" spans="1:8">
      <c r="A51" s="443">
        <v>21</v>
      </c>
      <c r="B51" s="420" t="s">
        <v>89</v>
      </c>
      <c r="C51" s="1048">
        <v>1653968.2749769171</v>
      </c>
      <c r="D51" s="1049">
        <v>1187855.2065330001</v>
      </c>
      <c r="E51" s="834">
        <f t="shared" si="2"/>
        <v>2841823.4815099174</v>
      </c>
      <c r="F51" s="667"/>
      <c r="G51" s="667"/>
      <c r="H51" s="668">
        <f t="shared" si="3"/>
        <v>0</v>
      </c>
    </row>
    <row r="52" spans="1:8">
      <c r="A52" s="443">
        <v>21.1</v>
      </c>
      <c r="B52" s="415" t="s">
        <v>759</v>
      </c>
      <c r="C52" s="667"/>
      <c r="D52" s="667"/>
      <c r="E52" s="668">
        <f t="shared" si="2"/>
        <v>0</v>
      </c>
      <c r="F52" s="667"/>
      <c r="G52" s="667"/>
      <c r="H52" s="668">
        <f t="shared" si="3"/>
        <v>0</v>
      </c>
    </row>
    <row r="53" spans="1:8">
      <c r="A53" s="443">
        <v>22</v>
      </c>
      <c r="B53" s="419" t="s">
        <v>760</v>
      </c>
      <c r="C53" s="833">
        <f>SUM(C38,C40,C41,C46,C47,C50,C51)</f>
        <v>62897143.354442589</v>
      </c>
      <c r="D53" s="833">
        <f>SUM(D38,D40,D41,D46,D47,D50,D51)</f>
        <v>249778212.47945556</v>
      </c>
      <c r="E53" s="834">
        <f t="shared" si="2"/>
        <v>312675355.83389813</v>
      </c>
      <c r="F53" s="667">
        <f>SUM(F38,F40,F41,F46,F47,F50,F51)</f>
        <v>0</v>
      </c>
      <c r="G53" s="667">
        <f>SUM(G38,G40,G41,G46,G47,G50,G51)</f>
        <v>0</v>
      </c>
      <c r="H53" s="668">
        <f t="shared" si="3"/>
        <v>0</v>
      </c>
    </row>
    <row r="54" spans="1:8" ht="24" customHeight="1">
      <c r="A54" s="443"/>
      <c r="B54" s="421" t="s">
        <v>761</v>
      </c>
      <c r="C54" s="857"/>
      <c r="D54" s="858"/>
      <c r="E54" s="858"/>
      <c r="F54" s="858"/>
      <c r="G54" s="858"/>
      <c r="H54" s="859"/>
    </row>
    <row r="55" spans="1:8">
      <c r="A55" s="443">
        <v>23</v>
      </c>
      <c r="B55" s="419" t="s">
        <v>105</v>
      </c>
      <c r="C55" s="667">
        <v>69161600</v>
      </c>
      <c r="D55" s="667"/>
      <c r="E55" s="668">
        <f>C55+D55</f>
        <v>69161600</v>
      </c>
      <c r="F55" s="667"/>
      <c r="G55" s="667"/>
      <c r="H55" s="668">
        <f>F55+G55</f>
        <v>0</v>
      </c>
    </row>
    <row r="56" spans="1:8">
      <c r="A56" s="443">
        <v>24</v>
      </c>
      <c r="B56" s="419" t="s">
        <v>762</v>
      </c>
      <c r="C56" s="667"/>
      <c r="D56" s="667"/>
      <c r="E56" s="668">
        <f t="shared" ref="E56:E69" si="4">C56+D56</f>
        <v>0</v>
      </c>
      <c r="F56" s="667"/>
      <c r="G56" s="667"/>
      <c r="H56" s="668">
        <f t="shared" ref="H56:H69" si="5">F56+G56</f>
        <v>0</v>
      </c>
    </row>
    <row r="57" spans="1:8">
      <c r="A57" s="443">
        <v>25</v>
      </c>
      <c r="B57" s="422" t="s">
        <v>102</v>
      </c>
      <c r="C57" s="667"/>
      <c r="D57" s="667"/>
      <c r="E57" s="668">
        <f t="shared" si="4"/>
        <v>0</v>
      </c>
      <c r="F57" s="667"/>
      <c r="G57" s="667"/>
      <c r="H57" s="668">
        <f t="shared" si="5"/>
        <v>0</v>
      </c>
    </row>
    <row r="58" spans="1:8">
      <c r="A58" s="443">
        <v>26</v>
      </c>
      <c r="B58" s="416" t="s">
        <v>763</v>
      </c>
      <c r="C58" s="667"/>
      <c r="D58" s="667"/>
      <c r="E58" s="668">
        <f t="shared" si="4"/>
        <v>0</v>
      </c>
      <c r="F58" s="667"/>
      <c r="G58" s="667"/>
      <c r="H58" s="668">
        <f t="shared" si="5"/>
        <v>0</v>
      </c>
    </row>
    <row r="59" spans="1:8">
      <c r="A59" s="443">
        <v>27</v>
      </c>
      <c r="B59" s="416" t="s">
        <v>764</v>
      </c>
      <c r="C59" s="667">
        <f>SUM(C60:C61)</f>
        <v>0</v>
      </c>
      <c r="D59" s="667">
        <f>SUM(D60:D61)</f>
        <v>0</v>
      </c>
      <c r="E59" s="668">
        <f t="shared" si="4"/>
        <v>0</v>
      </c>
      <c r="F59" s="667"/>
      <c r="G59" s="667"/>
      <c r="H59" s="668">
        <f t="shared" si="5"/>
        <v>0</v>
      </c>
    </row>
    <row r="60" spans="1:8">
      <c r="A60" s="443">
        <v>27.1</v>
      </c>
      <c r="B60" s="423" t="s">
        <v>765</v>
      </c>
      <c r="C60" s="667"/>
      <c r="D60" s="667"/>
      <c r="E60" s="668">
        <f t="shared" si="4"/>
        <v>0</v>
      </c>
      <c r="F60" s="667"/>
      <c r="G60" s="667"/>
      <c r="H60" s="668">
        <f t="shared" si="5"/>
        <v>0</v>
      </c>
    </row>
    <row r="61" spans="1:8">
      <c r="A61" s="443">
        <v>27.2</v>
      </c>
      <c r="B61" s="414" t="s">
        <v>766</v>
      </c>
      <c r="C61" s="667"/>
      <c r="D61" s="667"/>
      <c r="E61" s="668">
        <f t="shared" si="4"/>
        <v>0</v>
      </c>
      <c r="F61" s="667"/>
      <c r="G61" s="667"/>
      <c r="H61" s="668">
        <f t="shared" si="5"/>
        <v>0</v>
      </c>
    </row>
    <row r="62" spans="1:8">
      <c r="A62" s="443">
        <v>28</v>
      </c>
      <c r="B62" s="420" t="s">
        <v>767</v>
      </c>
      <c r="C62" s="667"/>
      <c r="D62" s="667"/>
      <c r="E62" s="668">
        <f t="shared" si="4"/>
        <v>0</v>
      </c>
      <c r="F62" s="667"/>
      <c r="G62" s="667"/>
      <c r="H62" s="668">
        <f t="shared" si="5"/>
        <v>0</v>
      </c>
    </row>
    <row r="63" spans="1:8">
      <c r="A63" s="443">
        <v>29</v>
      </c>
      <c r="B63" s="416" t="s">
        <v>768</v>
      </c>
      <c r="C63" s="667">
        <f>SUM(C64:C66)</f>
        <v>0</v>
      </c>
      <c r="D63" s="667">
        <f>SUM(D64:D66)</f>
        <v>0</v>
      </c>
      <c r="E63" s="668">
        <f t="shared" si="4"/>
        <v>0</v>
      </c>
      <c r="F63" s="667"/>
      <c r="G63" s="667"/>
      <c r="H63" s="668">
        <f t="shared" si="5"/>
        <v>0</v>
      </c>
    </row>
    <row r="64" spans="1:8">
      <c r="A64" s="443">
        <v>29.1</v>
      </c>
      <c r="B64" s="403" t="s">
        <v>769</v>
      </c>
      <c r="C64" s="667"/>
      <c r="D64" s="667"/>
      <c r="E64" s="668">
        <f t="shared" si="4"/>
        <v>0</v>
      </c>
      <c r="F64" s="667"/>
      <c r="G64" s="667"/>
      <c r="H64" s="668">
        <f t="shared" si="5"/>
        <v>0</v>
      </c>
    </row>
    <row r="65" spans="1:8" ht="24.9" customHeight="1">
      <c r="A65" s="443">
        <v>29.2</v>
      </c>
      <c r="B65" s="423" t="s">
        <v>770</v>
      </c>
      <c r="C65" s="667"/>
      <c r="D65" s="667"/>
      <c r="E65" s="668">
        <f t="shared" si="4"/>
        <v>0</v>
      </c>
      <c r="F65" s="667"/>
      <c r="G65" s="667"/>
      <c r="H65" s="668">
        <f t="shared" si="5"/>
        <v>0</v>
      </c>
    </row>
    <row r="66" spans="1:8" ht="22.5" customHeight="1">
      <c r="A66" s="443">
        <v>29.3</v>
      </c>
      <c r="B66" s="406" t="s">
        <v>771</v>
      </c>
      <c r="C66" s="667"/>
      <c r="D66" s="667"/>
      <c r="E66" s="668">
        <f t="shared" si="4"/>
        <v>0</v>
      </c>
      <c r="F66" s="667"/>
      <c r="G66" s="667"/>
      <c r="H66" s="668">
        <f t="shared" si="5"/>
        <v>0</v>
      </c>
    </row>
    <row r="67" spans="1:8">
      <c r="A67" s="443">
        <v>30</v>
      </c>
      <c r="B67" s="402" t="s">
        <v>103</v>
      </c>
      <c r="C67" s="661">
        <v>61804463.008611336</v>
      </c>
      <c r="D67" s="667"/>
      <c r="E67" s="668">
        <f t="shared" si="4"/>
        <v>61804463.008611336</v>
      </c>
      <c r="F67" s="667"/>
      <c r="G67" s="667"/>
      <c r="H67" s="668">
        <f t="shared" si="5"/>
        <v>0</v>
      </c>
    </row>
    <row r="68" spans="1:8">
      <c r="A68" s="443">
        <v>31</v>
      </c>
      <c r="B68" s="424" t="s">
        <v>772</v>
      </c>
      <c r="C68" s="833">
        <f>SUM(C55,C56,C57,C58,C59,C62,C63,C67)</f>
        <v>130966063.00861134</v>
      </c>
      <c r="D68" s="833">
        <f>SUM(D55,D56,D57,D58,D59,D62,D63,D67)</f>
        <v>0</v>
      </c>
      <c r="E68" s="834">
        <f t="shared" si="4"/>
        <v>130966063.00861134</v>
      </c>
      <c r="F68" s="667">
        <f>SUM(F55,F56,F57,F58,F59,F62,F63,F67)</f>
        <v>0</v>
      </c>
      <c r="G68" s="667">
        <f>SUM(G55,G56,G57,G58,G59,G62,G63,G67)</f>
        <v>0</v>
      </c>
      <c r="H68" s="668">
        <f t="shared" si="5"/>
        <v>0</v>
      </c>
    </row>
    <row r="69" spans="1:8">
      <c r="A69" s="443">
        <v>32</v>
      </c>
      <c r="B69" s="425" t="s">
        <v>773</v>
      </c>
      <c r="C69" s="833">
        <f>SUM(C53,C68)</f>
        <v>193863206.36305392</v>
      </c>
      <c r="D69" s="833">
        <f>SUM(D53,D68)</f>
        <v>249778212.47945556</v>
      </c>
      <c r="E69" s="834">
        <f t="shared" si="4"/>
        <v>443641418.84250951</v>
      </c>
      <c r="F69" s="667">
        <f>SUM(F68)</f>
        <v>0</v>
      </c>
      <c r="G69" s="667">
        <f>SUM(G68)</f>
        <v>0</v>
      </c>
      <c r="H69" s="668">
        <f t="shared" si="5"/>
        <v>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546875" defaultRowHeight="12"/>
  <cols>
    <col min="1" max="1" width="8" style="162" customWidth="1"/>
    <col min="2" max="2" width="66.109375" style="163" customWidth="1"/>
    <col min="3" max="3" width="131.44140625" style="164" customWidth="1"/>
    <col min="4" max="5" width="10.33203125" style="155" customWidth="1"/>
    <col min="6" max="6" width="67.5546875" style="155" customWidth="1"/>
    <col min="7" max="16384" width="43.5546875" style="155"/>
  </cols>
  <sheetData>
    <row r="1" spans="1:3" ht="13.2" thickTop="1" thickBot="1">
      <c r="A1" s="974" t="s">
        <v>187</v>
      </c>
      <c r="B1" s="975"/>
      <c r="C1" s="976"/>
    </row>
    <row r="2" spans="1:3" ht="26.25" customHeight="1">
      <c r="A2" s="384"/>
      <c r="B2" s="977" t="s">
        <v>188</v>
      </c>
      <c r="C2" s="977"/>
    </row>
    <row r="3" spans="1:3" s="160" customFormat="1" ht="11.25" customHeight="1">
      <c r="A3" s="159"/>
      <c r="B3" s="977" t="s">
        <v>263</v>
      </c>
      <c r="C3" s="977"/>
    </row>
    <row r="4" spans="1:3" ht="12" customHeight="1" thickBot="1">
      <c r="A4" s="978" t="s">
        <v>267</v>
      </c>
      <c r="B4" s="979"/>
      <c r="C4" s="980"/>
    </row>
    <row r="5" spans="1:3" ht="12.6" thickTop="1">
      <c r="A5" s="156"/>
      <c r="B5" s="981" t="s">
        <v>189</v>
      </c>
      <c r="C5" s="982"/>
    </row>
    <row r="6" spans="1:3">
      <c r="A6" s="384"/>
      <c r="B6" s="983" t="s">
        <v>264</v>
      </c>
      <c r="C6" s="984"/>
    </row>
    <row r="7" spans="1:3">
      <c r="A7" s="384"/>
      <c r="B7" s="983" t="s">
        <v>190</v>
      </c>
      <c r="C7" s="984"/>
    </row>
    <row r="8" spans="1:3">
      <c r="A8" s="384"/>
      <c r="B8" s="983" t="s">
        <v>265</v>
      </c>
      <c r="C8" s="984"/>
    </row>
    <row r="9" spans="1:3">
      <c r="A9" s="384"/>
      <c r="B9" s="989" t="s">
        <v>266</v>
      </c>
      <c r="C9" s="990"/>
    </row>
    <row r="10" spans="1:3">
      <c r="A10" s="384"/>
      <c r="B10" s="985" t="s">
        <v>191</v>
      </c>
      <c r="C10" s="986" t="s">
        <v>191</v>
      </c>
    </row>
    <row r="11" spans="1:3">
      <c r="A11" s="384"/>
      <c r="B11" s="985" t="s">
        <v>192</v>
      </c>
      <c r="C11" s="986" t="s">
        <v>192</v>
      </c>
    </row>
    <row r="12" spans="1:3">
      <c r="A12" s="384"/>
      <c r="B12" s="985" t="s">
        <v>193</v>
      </c>
      <c r="C12" s="986" t="s">
        <v>193</v>
      </c>
    </row>
    <row r="13" spans="1:3">
      <c r="A13" s="384"/>
      <c r="B13" s="985" t="s">
        <v>194</v>
      </c>
      <c r="C13" s="986" t="s">
        <v>194</v>
      </c>
    </row>
    <row r="14" spans="1:3">
      <c r="A14" s="384"/>
      <c r="B14" s="985" t="s">
        <v>195</v>
      </c>
      <c r="C14" s="986" t="s">
        <v>195</v>
      </c>
    </row>
    <row r="15" spans="1:3" ht="21.75" customHeight="1">
      <c r="A15" s="384"/>
      <c r="B15" s="985" t="s">
        <v>196</v>
      </c>
      <c r="C15" s="986" t="s">
        <v>196</v>
      </c>
    </row>
    <row r="16" spans="1:3">
      <c r="A16" s="384"/>
      <c r="B16" s="985" t="s">
        <v>197</v>
      </c>
      <c r="C16" s="986" t="s">
        <v>198</v>
      </c>
    </row>
    <row r="17" spans="1:6">
      <c r="A17" s="384"/>
      <c r="B17" s="985" t="s">
        <v>199</v>
      </c>
      <c r="C17" s="986" t="s">
        <v>200</v>
      </c>
    </row>
    <row r="18" spans="1:6">
      <c r="A18" s="384"/>
      <c r="B18" s="985" t="s">
        <v>201</v>
      </c>
      <c r="C18" s="986" t="s">
        <v>202</v>
      </c>
    </row>
    <row r="19" spans="1:6">
      <c r="A19" s="384"/>
      <c r="B19" s="985" t="s">
        <v>203</v>
      </c>
      <c r="C19" s="986" t="s">
        <v>203</v>
      </c>
    </row>
    <row r="20" spans="1:6">
      <c r="A20" s="384"/>
      <c r="B20" s="987" t="s">
        <v>956</v>
      </c>
      <c r="C20" s="988" t="s">
        <v>204</v>
      </c>
    </row>
    <row r="21" spans="1:6">
      <c r="A21" s="384"/>
      <c r="B21" s="985" t="s">
        <v>945</v>
      </c>
      <c r="C21" s="986" t="s">
        <v>205</v>
      </c>
    </row>
    <row r="22" spans="1:6" ht="23.25" customHeight="1">
      <c r="A22" s="384"/>
      <c r="B22" s="985" t="s">
        <v>206</v>
      </c>
      <c r="C22" s="986" t="s">
        <v>207</v>
      </c>
      <c r="F22" s="620"/>
    </row>
    <row r="23" spans="1:6">
      <c r="A23" s="384"/>
      <c r="B23" s="985" t="s">
        <v>208</v>
      </c>
      <c r="C23" s="986" t="s">
        <v>208</v>
      </c>
    </row>
    <row r="24" spans="1:6">
      <c r="A24" s="384"/>
      <c r="B24" s="985" t="s">
        <v>209</v>
      </c>
      <c r="C24" s="986" t="s">
        <v>210</v>
      </c>
    </row>
    <row r="25" spans="1:6" ht="12.6" thickBot="1">
      <c r="A25" s="157"/>
      <c r="B25" s="996" t="s">
        <v>211</v>
      </c>
      <c r="C25" s="997"/>
    </row>
    <row r="26" spans="1:6" ht="13.2" thickTop="1" thickBot="1">
      <c r="A26" s="978" t="s">
        <v>842</v>
      </c>
      <c r="B26" s="979"/>
      <c r="C26" s="980"/>
    </row>
    <row r="27" spans="1:6" ht="13.2" thickTop="1" thickBot="1">
      <c r="A27" s="158"/>
      <c r="B27" s="998" t="s">
        <v>843</v>
      </c>
      <c r="C27" s="999"/>
    </row>
    <row r="28" spans="1:6" ht="13.2" thickTop="1" thickBot="1">
      <c r="A28" s="978" t="s">
        <v>268</v>
      </c>
      <c r="B28" s="979"/>
      <c r="C28" s="980"/>
    </row>
    <row r="29" spans="1:6" ht="12.6" thickTop="1">
      <c r="A29" s="156"/>
      <c r="B29" s="1000" t="s">
        <v>846</v>
      </c>
      <c r="C29" s="1001" t="s">
        <v>212</v>
      </c>
    </row>
    <row r="30" spans="1:6">
      <c r="A30" s="384"/>
      <c r="B30" s="991" t="s">
        <v>216</v>
      </c>
      <c r="C30" s="992" t="s">
        <v>213</v>
      </c>
    </row>
    <row r="31" spans="1:6">
      <c r="A31" s="384"/>
      <c r="B31" s="991" t="s">
        <v>844</v>
      </c>
      <c r="C31" s="992" t="s">
        <v>214</v>
      </c>
    </row>
    <row r="32" spans="1:6">
      <c r="A32" s="384"/>
      <c r="B32" s="991" t="s">
        <v>845</v>
      </c>
      <c r="C32" s="992" t="s">
        <v>215</v>
      </c>
    </row>
    <row r="33" spans="1:3">
      <c r="A33" s="384"/>
      <c r="B33" s="991" t="s">
        <v>219</v>
      </c>
      <c r="C33" s="992" t="s">
        <v>220</v>
      </c>
    </row>
    <row r="34" spans="1:3">
      <c r="A34" s="384"/>
      <c r="B34" s="991" t="s">
        <v>847</v>
      </c>
      <c r="C34" s="992" t="s">
        <v>217</v>
      </c>
    </row>
    <row r="35" spans="1:3">
      <c r="A35" s="384"/>
      <c r="B35" s="991" t="s">
        <v>848</v>
      </c>
      <c r="C35" s="992" t="s">
        <v>218</v>
      </c>
    </row>
    <row r="36" spans="1:3">
      <c r="A36" s="384"/>
      <c r="B36" s="993" t="s">
        <v>849</v>
      </c>
      <c r="C36" s="994"/>
    </row>
    <row r="37" spans="1:3" ht="24.75" customHeight="1">
      <c r="A37" s="384"/>
      <c r="B37" s="991" t="s">
        <v>850</v>
      </c>
      <c r="C37" s="992" t="s">
        <v>221</v>
      </c>
    </row>
    <row r="38" spans="1:3" ht="23.25" customHeight="1">
      <c r="A38" s="384"/>
      <c r="B38" s="991" t="s">
        <v>851</v>
      </c>
      <c r="C38" s="992" t="s">
        <v>222</v>
      </c>
    </row>
    <row r="39" spans="1:3" ht="23.25" customHeight="1">
      <c r="A39" s="455"/>
      <c r="B39" s="993" t="s">
        <v>852</v>
      </c>
      <c r="C39" s="995"/>
    </row>
    <row r="40" spans="1:3" ht="12" customHeight="1">
      <c r="A40" s="384"/>
      <c r="B40" s="991" t="s">
        <v>853</v>
      </c>
      <c r="C40" s="992"/>
    </row>
    <row r="41" spans="1:3" ht="12.6" thickBot="1">
      <c r="A41" s="978" t="s">
        <v>269</v>
      </c>
      <c r="B41" s="979"/>
      <c r="C41" s="980"/>
    </row>
    <row r="42" spans="1:3" ht="12.6" thickTop="1">
      <c r="A42" s="156"/>
      <c r="B42" s="981" t="s">
        <v>299</v>
      </c>
      <c r="C42" s="982" t="s">
        <v>223</v>
      </c>
    </row>
    <row r="43" spans="1:3">
      <c r="A43" s="384"/>
      <c r="B43" s="983" t="s">
        <v>298</v>
      </c>
      <c r="C43" s="984"/>
    </row>
    <row r="44" spans="1:3" ht="23.25" customHeight="1" thickBot="1">
      <c r="A44" s="157"/>
      <c r="B44" s="1002" t="s">
        <v>224</v>
      </c>
      <c r="C44" s="1003" t="s">
        <v>225</v>
      </c>
    </row>
    <row r="45" spans="1:3" ht="11.25" customHeight="1" thickTop="1" thickBot="1">
      <c r="A45" s="978" t="s">
        <v>270</v>
      </c>
      <c r="B45" s="979"/>
      <c r="C45" s="980"/>
    </row>
    <row r="46" spans="1:3" ht="26.25" customHeight="1" thickTop="1">
      <c r="A46" s="384"/>
      <c r="B46" s="983" t="s">
        <v>271</v>
      </c>
      <c r="C46" s="984"/>
    </row>
    <row r="47" spans="1:3" ht="12.6" thickBot="1">
      <c r="A47" s="978" t="s">
        <v>272</v>
      </c>
      <c r="B47" s="979"/>
      <c r="C47" s="980"/>
    </row>
    <row r="48" spans="1:3" ht="12.6" thickTop="1">
      <c r="A48" s="156"/>
      <c r="B48" s="981" t="s">
        <v>226</v>
      </c>
      <c r="C48" s="982" t="s">
        <v>226</v>
      </c>
    </row>
    <row r="49" spans="1:3" ht="11.25" customHeight="1">
      <c r="A49" s="384"/>
      <c r="B49" s="983" t="s">
        <v>227</v>
      </c>
      <c r="C49" s="984" t="s">
        <v>227</v>
      </c>
    </row>
    <row r="50" spans="1:3">
      <c r="A50" s="384"/>
      <c r="B50" s="983" t="s">
        <v>228</v>
      </c>
      <c r="C50" s="984" t="s">
        <v>228</v>
      </c>
    </row>
    <row r="51" spans="1:3" ht="11.25" customHeight="1">
      <c r="A51" s="384"/>
      <c r="B51" s="983" t="s">
        <v>855</v>
      </c>
      <c r="C51" s="984" t="s">
        <v>229</v>
      </c>
    </row>
    <row r="52" spans="1:3" ht="33.6" customHeight="1">
      <c r="A52" s="384"/>
      <c r="B52" s="983" t="s">
        <v>230</v>
      </c>
      <c r="C52" s="984" t="s">
        <v>230</v>
      </c>
    </row>
    <row r="53" spans="1:3" ht="11.25" customHeight="1">
      <c r="A53" s="384"/>
      <c r="B53" s="983" t="s">
        <v>319</v>
      </c>
      <c r="C53" s="984" t="s">
        <v>231</v>
      </c>
    </row>
    <row r="54" spans="1:3" ht="11.25" customHeight="1" thickBot="1">
      <c r="A54" s="978" t="s">
        <v>273</v>
      </c>
      <c r="B54" s="979"/>
      <c r="C54" s="980"/>
    </row>
    <row r="55" spans="1:3" ht="12.6" thickTop="1">
      <c r="A55" s="156"/>
      <c r="B55" s="981" t="s">
        <v>226</v>
      </c>
      <c r="C55" s="982" t="s">
        <v>226</v>
      </c>
    </row>
    <row r="56" spans="1:3">
      <c r="A56" s="384"/>
      <c r="B56" s="983" t="s">
        <v>232</v>
      </c>
      <c r="C56" s="984" t="s">
        <v>232</v>
      </c>
    </row>
    <row r="57" spans="1:3">
      <c r="A57" s="384"/>
      <c r="B57" s="983" t="s">
        <v>276</v>
      </c>
      <c r="C57" s="984" t="s">
        <v>233</v>
      </c>
    </row>
    <row r="58" spans="1:3">
      <c r="A58" s="384"/>
      <c r="B58" s="983" t="s">
        <v>234</v>
      </c>
      <c r="C58" s="984" t="s">
        <v>234</v>
      </c>
    </row>
    <row r="59" spans="1:3">
      <c r="A59" s="384"/>
      <c r="B59" s="983" t="s">
        <v>235</v>
      </c>
      <c r="C59" s="984" t="s">
        <v>235</v>
      </c>
    </row>
    <row r="60" spans="1:3">
      <c r="A60" s="384"/>
      <c r="B60" s="983" t="s">
        <v>236</v>
      </c>
      <c r="C60" s="984" t="s">
        <v>236</v>
      </c>
    </row>
    <row r="61" spans="1:3">
      <c r="A61" s="384"/>
      <c r="B61" s="983" t="s">
        <v>277</v>
      </c>
      <c r="C61" s="984" t="s">
        <v>237</v>
      </c>
    </row>
    <row r="62" spans="1:3">
      <c r="A62" s="384"/>
      <c r="B62" s="983" t="s">
        <v>238</v>
      </c>
      <c r="C62" s="984" t="s">
        <v>238</v>
      </c>
    </row>
    <row r="63" spans="1:3" ht="12.6" thickBot="1">
      <c r="A63" s="157"/>
      <c r="B63" s="1002" t="s">
        <v>239</v>
      </c>
      <c r="C63" s="1003" t="s">
        <v>239</v>
      </c>
    </row>
    <row r="64" spans="1:3" ht="11.25" customHeight="1" thickTop="1">
      <c r="A64" s="1006" t="s">
        <v>274</v>
      </c>
      <c r="B64" s="1007"/>
      <c r="C64" s="1008"/>
    </row>
    <row r="65" spans="1:3" ht="12.6" thickBot="1">
      <c r="A65" s="157"/>
      <c r="B65" s="1002" t="s">
        <v>240</v>
      </c>
      <c r="C65" s="1003" t="s">
        <v>240</v>
      </c>
    </row>
    <row r="66" spans="1:3" ht="11.25" customHeight="1" thickTop="1" thickBot="1">
      <c r="A66" s="978" t="s">
        <v>275</v>
      </c>
      <c r="B66" s="979"/>
      <c r="C66" s="980"/>
    </row>
    <row r="67" spans="1:3" ht="12.6" thickTop="1">
      <c r="A67" s="156"/>
      <c r="B67" s="981" t="s">
        <v>241</v>
      </c>
      <c r="C67" s="982" t="s">
        <v>241</v>
      </c>
    </row>
    <row r="68" spans="1:3">
      <c r="A68" s="384"/>
      <c r="B68" s="983" t="s">
        <v>857</v>
      </c>
      <c r="C68" s="984" t="s">
        <v>242</v>
      </c>
    </row>
    <row r="69" spans="1:3">
      <c r="A69" s="384"/>
      <c r="B69" s="983" t="s">
        <v>243</v>
      </c>
      <c r="C69" s="984" t="s">
        <v>243</v>
      </c>
    </row>
    <row r="70" spans="1:3" ht="54.9" customHeight="1">
      <c r="A70" s="384"/>
      <c r="B70" s="1004" t="s">
        <v>686</v>
      </c>
      <c r="C70" s="1005" t="s">
        <v>244</v>
      </c>
    </row>
    <row r="71" spans="1:3" ht="33.75" customHeight="1">
      <c r="A71" s="384"/>
      <c r="B71" s="1004" t="s">
        <v>278</v>
      </c>
      <c r="C71" s="1005" t="s">
        <v>245</v>
      </c>
    </row>
    <row r="72" spans="1:3" ht="15.75" customHeight="1">
      <c r="A72" s="384"/>
      <c r="B72" s="1004" t="s">
        <v>858</v>
      </c>
      <c r="C72" s="1005" t="s">
        <v>246</v>
      </c>
    </row>
    <row r="73" spans="1:3">
      <c r="A73" s="384"/>
      <c r="B73" s="983" t="s">
        <v>247</v>
      </c>
      <c r="C73" s="984" t="s">
        <v>247</v>
      </c>
    </row>
    <row r="74" spans="1:3" ht="12.6" thickBot="1">
      <c r="A74" s="157"/>
      <c r="B74" s="1002" t="s">
        <v>248</v>
      </c>
      <c r="C74" s="1003" t="s">
        <v>248</v>
      </c>
    </row>
    <row r="75" spans="1:3" ht="12.6" thickTop="1">
      <c r="A75" s="1006" t="s">
        <v>302</v>
      </c>
      <c r="B75" s="1007"/>
      <c r="C75" s="1008"/>
    </row>
    <row r="76" spans="1:3">
      <c r="A76" s="384"/>
      <c r="B76" s="983" t="s">
        <v>240</v>
      </c>
      <c r="C76" s="984"/>
    </row>
    <row r="77" spans="1:3">
      <c r="A77" s="384"/>
      <c r="B77" s="983" t="s">
        <v>300</v>
      </c>
      <c r="C77" s="984"/>
    </row>
    <row r="78" spans="1:3">
      <c r="A78" s="384"/>
      <c r="B78" s="983" t="s">
        <v>301</v>
      </c>
      <c r="C78" s="984"/>
    </row>
    <row r="79" spans="1:3">
      <c r="A79" s="1006" t="s">
        <v>303</v>
      </c>
      <c r="B79" s="1007"/>
      <c r="C79" s="1008"/>
    </row>
    <row r="80" spans="1:3">
      <c r="A80" s="384"/>
      <c r="B80" s="983" t="s">
        <v>240</v>
      </c>
      <c r="C80" s="984"/>
    </row>
    <row r="81" spans="1:3">
      <c r="A81" s="384"/>
      <c r="B81" s="983" t="s">
        <v>304</v>
      </c>
      <c r="C81" s="984"/>
    </row>
    <row r="82" spans="1:3" ht="79.5" customHeight="1">
      <c r="A82" s="384"/>
      <c r="B82" s="983" t="s">
        <v>318</v>
      </c>
      <c r="C82" s="984"/>
    </row>
    <row r="83" spans="1:3" ht="53.25" customHeight="1">
      <c r="A83" s="384"/>
      <c r="B83" s="983" t="s">
        <v>317</v>
      </c>
      <c r="C83" s="984"/>
    </row>
    <row r="84" spans="1:3">
      <c r="A84" s="384"/>
      <c r="B84" s="983" t="s">
        <v>305</v>
      </c>
      <c r="C84" s="984"/>
    </row>
    <row r="85" spans="1:3">
      <c r="A85" s="384"/>
      <c r="B85" s="983" t="s">
        <v>306</v>
      </c>
      <c r="C85" s="984"/>
    </row>
    <row r="86" spans="1:3">
      <c r="A86" s="384"/>
      <c r="B86" s="983" t="s">
        <v>307</v>
      </c>
      <c r="C86" s="984"/>
    </row>
    <row r="87" spans="1:3">
      <c r="A87" s="1006" t="s">
        <v>308</v>
      </c>
      <c r="B87" s="1007"/>
      <c r="C87" s="1008"/>
    </row>
    <row r="88" spans="1:3">
      <c r="A88" s="384"/>
      <c r="B88" s="983" t="s">
        <v>240</v>
      </c>
      <c r="C88" s="984"/>
    </row>
    <row r="89" spans="1:3">
      <c r="A89" s="384"/>
      <c r="B89" s="983" t="s">
        <v>310</v>
      </c>
      <c r="C89" s="984"/>
    </row>
    <row r="90" spans="1:3" ht="12" customHeight="1">
      <c r="A90" s="384"/>
      <c r="B90" s="983" t="s">
        <v>311</v>
      </c>
      <c r="C90" s="984"/>
    </row>
    <row r="91" spans="1:3">
      <c r="A91" s="384"/>
      <c r="B91" s="983" t="s">
        <v>312</v>
      </c>
      <c r="C91" s="984"/>
    </row>
    <row r="92" spans="1:3" ht="24.75" customHeight="1">
      <c r="A92" s="384"/>
      <c r="B92" s="1009" t="s">
        <v>348</v>
      </c>
      <c r="C92" s="1010"/>
    </row>
    <row r="93" spans="1:3" ht="24" customHeight="1">
      <c r="A93" s="384"/>
      <c r="B93" s="1009" t="s">
        <v>349</v>
      </c>
      <c r="C93" s="1010"/>
    </row>
    <row r="94" spans="1:3" ht="13.5" customHeight="1">
      <c r="A94" s="384"/>
      <c r="B94" s="1011" t="s">
        <v>313</v>
      </c>
      <c r="C94" s="1012"/>
    </row>
    <row r="95" spans="1:3" ht="11.25" customHeight="1" thickBot="1">
      <c r="A95" s="1013" t="s">
        <v>344</v>
      </c>
      <c r="B95" s="1014"/>
      <c r="C95" s="1015"/>
    </row>
    <row r="96" spans="1:3" ht="13.2" thickTop="1" thickBot="1">
      <c r="A96" s="1022" t="s">
        <v>249</v>
      </c>
      <c r="B96" s="1022"/>
      <c r="C96" s="1022"/>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1006" t="s">
        <v>314</v>
      </c>
      <c r="B104" s="1007"/>
      <c r="C104" s="1008"/>
    </row>
    <row r="105" spans="1:3" ht="12" customHeight="1">
      <c r="A105" s="384"/>
      <c r="B105" s="983" t="s">
        <v>240</v>
      </c>
      <c r="C105" s="984"/>
    </row>
    <row r="106" spans="1:3">
      <c r="A106" s="1006" t="s">
        <v>487</v>
      </c>
      <c r="B106" s="1007"/>
      <c r="C106" s="1008"/>
    </row>
    <row r="107" spans="1:3" ht="12" customHeight="1">
      <c r="A107" s="384"/>
      <c r="B107" s="983" t="s">
        <v>489</v>
      </c>
      <c r="C107" s="984"/>
    </row>
    <row r="108" spans="1:3">
      <c r="A108" s="384"/>
      <c r="B108" s="983" t="s">
        <v>490</v>
      </c>
      <c r="C108" s="984"/>
    </row>
    <row r="109" spans="1:3">
      <c r="A109" s="384"/>
      <c r="B109" s="983" t="s">
        <v>488</v>
      </c>
      <c r="C109" s="984"/>
    </row>
    <row r="110" spans="1:3">
      <c r="A110" s="1016" t="s">
        <v>722</v>
      </c>
      <c r="B110" s="1016"/>
      <c r="C110" s="1016"/>
    </row>
    <row r="111" spans="1:3">
      <c r="A111" s="1017" t="s">
        <v>187</v>
      </c>
      <c r="B111" s="1017"/>
      <c r="C111" s="1017"/>
    </row>
    <row r="112" spans="1:3">
      <c r="A112" s="599">
        <v>1</v>
      </c>
      <c r="B112" s="1018" t="s">
        <v>605</v>
      </c>
      <c r="C112" s="1019"/>
    </row>
    <row r="113" spans="1:3">
      <c r="A113" s="599">
        <v>2</v>
      </c>
      <c r="B113" s="1020" t="s">
        <v>606</v>
      </c>
      <c r="C113" s="1021"/>
    </row>
    <row r="114" spans="1:3">
      <c r="A114" s="599">
        <v>3</v>
      </c>
      <c r="B114" s="1018" t="s">
        <v>932</v>
      </c>
      <c r="C114" s="1019"/>
    </row>
    <row r="115" spans="1:3">
      <c r="A115" s="599">
        <v>4</v>
      </c>
      <c r="B115" s="1018" t="s">
        <v>931</v>
      </c>
      <c r="C115" s="1019"/>
    </row>
    <row r="116" spans="1:3">
      <c r="A116" s="599">
        <v>5</v>
      </c>
      <c r="B116" s="603" t="s">
        <v>930</v>
      </c>
      <c r="C116" s="602"/>
    </row>
    <row r="117" spans="1:3">
      <c r="A117" s="599">
        <v>6</v>
      </c>
      <c r="B117" s="1018" t="s">
        <v>943</v>
      </c>
      <c r="C117" s="1019"/>
    </row>
    <row r="118" spans="1:3" ht="48.6" customHeight="1">
      <c r="A118" s="599">
        <v>7</v>
      </c>
      <c r="B118" s="1018" t="s">
        <v>944</v>
      </c>
      <c r="C118" s="1019"/>
    </row>
    <row r="119" spans="1:3">
      <c r="A119" s="573">
        <v>8</v>
      </c>
      <c r="B119" s="570" t="s">
        <v>632</v>
      </c>
      <c r="C119" s="596" t="s">
        <v>929</v>
      </c>
    </row>
    <row r="120" spans="1:3" ht="24">
      <c r="A120" s="599">
        <v>9.01</v>
      </c>
      <c r="B120" s="570" t="s">
        <v>516</v>
      </c>
      <c r="C120" s="583" t="s">
        <v>681</v>
      </c>
    </row>
    <row r="121" spans="1:3" ht="36">
      <c r="A121" s="599">
        <v>9.02</v>
      </c>
      <c r="B121" s="570" t="s">
        <v>517</v>
      </c>
      <c r="C121" s="583" t="s">
        <v>684</v>
      </c>
    </row>
    <row r="122" spans="1:3">
      <c r="A122" s="599">
        <v>9.0299999999999994</v>
      </c>
      <c r="B122" s="586" t="s">
        <v>866</v>
      </c>
      <c r="C122" s="586" t="s">
        <v>607</v>
      </c>
    </row>
    <row r="123" spans="1:3">
      <c r="A123" s="599">
        <v>9.0399999999999991</v>
      </c>
      <c r="B123" s="570" t="s">
        <v>518</v>
      </c>
      <c r="C123" s="586" t="s">
        <v>608</v>
      </c>
    </row>
    <row r="124" spans="1:3">
      <c r="A124" s="599">
        <v>9.0500000000000007</v>
      </c>
      <c r="B124" s="570" t="s">
        <v>519</v>
      </c>
      <c r="C124" s="586" t="s">
        <v>609</v>
      </c>
    </row>
    <row r="125" spans="1:3" ht="24">
      <c r="A125" s="599">
        <v>9.06</v>
      </c>
      <c r="B125" s="570" t="s">
        <v>520</v>
      </c>
      <c r="C125" s="586" t="s">
        <v>610</v>
      </c>
    </row>
    <row r="126" spans="1:3">
      <c r="A126" s="599">
        <v>9.07</v>
      </c>
      <c r="B126" s="601" t="s">
        <v>521</v>
      </c>
      <c r="C126" s="586" t="s">
        <v>611</v>
      </c>
    </row>
    <row r="127" spans="1:3" ht="24">
      <c r="A127" s="599">
        <v>9.08</v>
      </c>
      <c r="B127" s="570" t="s">
        <v>522</v>
      </c>
      <c r="C127" s="586" t="s">
        <v>612</v>
      </c>
    </row>
    <row r="128" spans="1:3" ht="24">
      <c r="A128" s="599">
        <v>9.09</v>
      </c>
      <c r="B128" s="570" t="s">
        <v>523</v>
      </c>
      <c r="C128" s="586" t="s">
        <v>613</v>
      </c>
    </row>
    <row r="129" spans="1:3">
      <c r="A129" s="600">
        <v>9.1</v>
      </c>
      <c r="B129" s="570" t="s">
        <v>524</v>
      </c>
      <c r="C129" s="586" t="s">
        <v>614</v>
      </c>
    </row>
    <row r="130" spans="1:3">
      <c r="A130" s="599">
        <v>9.11</v>
      </c>
      <c r="B130" s="570" t="s">
        <v>525</v>
      </c>
      <c r="C130" s="586" t="s">
        <v>615</v>
      </c>
    </row>
    <row r="131" spans="1:3">
      <c r="A131" s="599">
        <v>9.1199999999999992</v>
      </c>
      <c r="B131" s="570" t="s">
        <v>526</v>
      </c>
      <c r="C131" s="586" t="s">
        <v>616</v>
      </c>
    </row>
    <row r="132" spans="1:3">
      <c r="A132" s="599">
        <v>9.1300000000000008</v>
      </c>
      <c r="B132" s="570" t="s">
        <v>527</v>
      </c>
      <c r="C132" s="586" t="s">
        <v>617</v>
      </c>
    </row>
    <row r="133" spans="1:3">
      <c r="A133" s="599">
        <v>9.14</v>
      </c>
      <c r="B133" s="570" t="s">
        <v>528</v>
      </c>
      <c r="C133" s="586" t="s">
        <v>618</v>
      </c>
    </row>
    <row r="134" spans="1:3">
      <c r="A134" s="599">
        <v>9.15</v>
      </c>
      <c r="B134" s="570" t="s">
        <v>529</v>
      </c>
      <c r="C134" s="586" t="s">
        <v>619</v>
      </c>
    </row>
    <row r="135" spans="1:3">
      <c r="A135" s="599">
        <v>9.16</v>
      </c>
      <c r="B135" s="570" t="s">
        <v>530</v>
      </c>
      <c r="C135" s="586" t="s">
        <v>620</v>
      </c>
    </row>
    <row r="136" spans="1:3">
      <c r="A136" s="599">
        <v>9.17</v>
      </c>
      <c r="B136" s="586" t="s">
        <v>531</v>
      </c>
      <c r="C136" s="586" t="s">
        <v>621</v>
      </c>
    </row>
    <row r="137" spans="1:3" ht="24">
      <c r="A137" s="599">
        <v>9.18</v>
      </c>
      <c r="B137" s="570" t="s">
        <v>532</v>
      </c>
      <c r="C137" s="586" t="s">
        <v>622</v>
      </c>
    </row>
    <row r="138" spans="1:3">
      <c r="A138" s="599">
        <v>9.19</v>
      </c>
      <c r="B138" s="570" t="s">
        <v>533</v>
      </c>
      <c r="C138" s="586" t="s">
        <v>623</v>
      </c>
    </row>
    <row r="139" spans="1:3">
      <c r="A139" s="600">
        <v>9.1999999999999993</v>
      </c>
      <c r="B139" s="570" t="s">
        <v>534</v>
      </c>
      <c r="C139" s="586" t="s">
        <v>624</v>
      </c>
    </row>
    <row r="140" spans="1:3">
      <c r="A140" s="599">
        <v>9.2100000000000009</v>
      </c>
      <c r="B140" s="570" t="s">
        <v>535</v>
      </c>
      <c r="C140" s="586" t="s">
        <v>625</v>
      </c>
    </row>
    <row r="141" spans="1:3">
      <c r="A141" s="599">
        <v>9.2200000000000006</v>
      </c>
      <c r="B141" s="570" t="s">
        <v>536</v>
      </c>
      <c r="C141" s="586" t="s">
        <v>626</v>
      </c>
    </row>
    <row r="142" spans="1:3" ht="24">
      <c r="A142" s="599">
        <v>9.23</v>
      </c>
      <c r="B142" s="570" t="s">
        <v>537</v>
      </c>
      <c r="C142" s="586" t="s">
        <v>627</v>
      </c>
    </row>
    <row r="143" spans="1:3" ht="24">
      <c r="A143" s="599">
        <v>9.24</v>
      </c>
      <c r="B143" s="570" t="s">
        <v>538</v>
      </c>
      <c r="C143" s="586" t="s">
        <v>628</v>
      </c>
    </row>
    <row r="144" spans="1:3">
      <c r="A144" s="599">
        <v>9.2500000000000107</v>
      </c>
      <c r="B144" s="570" t="s">
        <v>539</v>
      </c>
      <c r="C144" s="586" t="s">
        <v>629</v>
      </c>
    </row>
    <row r="145" spans="1:3" ht="24">
      <c r="A145" s="599">
        <v>9.2600000000000193</v>
      </c>
      <c r="B145" s="570" t="s">
        <v>630</v>
      </c>
      <c r="C145" s="598" t="s">
        <v>631</v>
      </c>
    </row>
    <row r="146" spans="1:3" s="385" customFormat="1" ht="24">
      <c r="A146" s="599">
        <v>9.2700000000000298</v>
      </c>
      <c r="B146" s="570" t="s">
        <v>99</v>
      </c>
      <c r="C146" s="598" t="s">
        <v>682</v>
      </c>
    </row>
    <row r="147" spans="1:3" s="385" customFormat="1">
      <c r="A147" s="574"/>
      <c r="B147" s="1024" t="s">
        <v>633</v>
      </c>
      <c r="C147" s="1025"/>
    </row>
    <row r="148" spans="1:3" s="385" customFormat="1">
      <c r="A148" s="573">
        <v>1</v>
      </c>
      <c r="B148" s="1026" t="s">
        <v>928</v>
      </c>
      <c r="C148" s="1027"/>
    </row>
    <row r="149" spans="1:3" s="385" customFormat="1">
      <c r="A149" s="573">
        <v>2</v>
      </c>
      <c r="B149" s="1026" t="s">
        <v>683</v>
      </c>
      <c r="C149" s="1027"/>
    </row>
    <row r="150" spans="1:3" s="385" customFormat="1">
      <c r="A150" s="573">
        <v>3</v>
      </c>
      <c r="B150" s="1026" t="s">
        <v>680</v>
      </c>
      <c r="C150" s="1027"/>
    </row>
    <row r="151" spans="1:3" s="385" customFormat="1">
      <c r="A151" s="574"/>
      <c r="B151" s="1024" t="s">
        <v>634</v>
      </c>
      <c r="C151" s="1025"/>
    </row>
    <row r="152" spans="1:3" s="385" customFormat="1">
      <c r="A152" s="573">
        <v>1</v>
      </c>
      <c r="B152" s="1035" t="s">
        <v>927</v>
      </c>
      <c r="C152" s="1036"/>
    </row>
    <row r="153" spans="1:3" s="385" customFormat="1">
      <c r="A153" s="573">
        <v>2</v>
      </c>
      <c r="B153" s="570" t="s">
        <v>864</v>
      </c>
      <c r="C153" s="596" t="s">
        <v>948</v>
      </c>
    </row>
    <row r="154" spans="1:3" ht="24">
      <c r="A154" s="573">
        <v>3</v>
      </c>
      <c r="B154" s="570" t="s">
        <v>863</v>
      </c>
      <c r="C154" s="596" t="s">
        <v>926</v>
      </c>
    </row>
    <row r="155" spans="1:3">
      <c r="A155" s="573">
        <v>4</v>
      </c>
      <c r="B155" s="570" t="s">
        <v>509</v>
      </c>
      <c r="C155" s="570" t="s">
        <v>949</v>
      </c>
    </row>
    <row r="156" spans="1:3" ht="24.9" customHeight="1">
      <c r="A156" s="574"/>
      <c r="B156" s="1024" t="s">
        <v>635</v>
      </c>
      <c r="C156" s="1025"/>
    </row>
    <row r="157" spans="1:3" ht="36">
      <c r="A157" s="573"/>
      <c r="B157" s="570" t="s">
        <v>915</v>
      </c>
      <c r="C157" s="575" t="s">
        <v>950</v>
      </c>
    </row>
    <row r="158" spans="1:3">
      <c r="A158" s="574"/>
      <c r="B158" s="1024" t="s">
        <v>636</v>
      </c>
      <c r="C158" s="1025"/>
    </row>
    <row r="159" spans="1:3" ht="39" customHeight="1">
      <c r="A159" s="574"/>
      <c r="B159" s="1033" t="s">
        <v>925</v>
      </c>
      <c r="C159" s="1034"/>
    </row>
    <row r="160" spans="1:3">
      <c r="A160" s="574" t="s">
        <v>637</v>
      </c>
      <c r="B160" s="597" t="s">
        <v>547</v>
      </c>
      <c r="C160" s="588" t="s">
        <v>638</v>
      </c>
    </row>
    <row r="161" spans="1:3">
      <c r="A161" s="574" t="s">
        <v>369</v>
      </c>
      <c r="B161" s="594" t="s">
        <v>548</v>
      </c>
      <c r="C161" s="596" t="s">
        <v>924</v>
      </c>
    </row>
    <row r="162" spans="1:3" ht="24">
      <c r="A162" s="574" t="s">
        <v>376</v>
      </c>
      <c r="B162" s="588" t="s">
        <v>549</v>
      </c>
      <c r="C162" s="596" t="s">
        <v>639</v>
      </c>
    </row>
    <row r="163" spans="1:3">
      <c r="A163" s="574" t="s">
        <v>640</v>
      </c>
      <c r="B163" s="594" t="s">
        <v>550</v>
      </c>
      <c r="C163" s="595" t="s">
        <v>641</v>
      </c>
    </row>
    <row r="164" spans="1:3" ht="24">
      <c r="A164" s="574" t="s">
        <v>642</v>
      </c>
      <c r="B164" s="594" t="s">
        <v>879</v>
      </c>
      <c r="C164" s="593" t="s">
        <v>923</v>
      </c>
    </row>
    <row r="165" spans="1:3" ht="24">
      <c r="A165" s="574" t="s">
        <v>377</v>
      </c>
      <c r="B165" s="594" t="s">
        <v>551</v>
      </c>
      <c r="C165" s="593" t="s">
        <v>644</v>
      </c>
    </row>
    <row r="166" spans="1:3" ht="24">
      <c r="A166" s="574" t="s">
        <v>643</v>
      </c>
      <c r="B166" s="591" t="s">
        <v>554</v>
      </c>
      <c r="C166" s="592" t="s">
        <v>651</v>
      </c>
    </row>
    <row r="167" spans="1:3" ht="24">
      <c r="A167" s="574" t="s">
        <v>645</v>
      </c>
      <c r="B167" s="591" t="s">
        <v>552</v>
      </c>
      <c r="C167" s="593" t="s">
        <v>647</v>
      </c>
    </row>
    <row r="168" spans="1:3" ht="26.4" customHeight="1">
      <c r="A168" s="574" t="s">
        <v>646</v>
      </c>
      <c r="B168" s="591" t="s">
        <v>553</v>
      </c>
      <c r="C168" s="592" t="s">
        <v>649</v>
      </c>
    </row>
    <row r="169" spans="1:3">
      <c r="A169" s="574" t="s">
        <v>648</v>
      </c>
      <c r="B169" s="568" t="s">
        <v>555</v>
      </c>
      <c r="C169" s="592" t="s">
        <v>653</v>
      </c>
    </row>
    <row r="170" spans="1:3" ht="24">
      <c r="A170" s="574" t="s">
        <v>650</v>
      </c>
      <c r="B170" s="591" t="s">
        <v>556</v>
      </c>
      <c r="C170" s="590" t="s">
        <v>654</v>
      </c>
    </row>
    <row r="171" spans="1:3">
      <c r="A171" s="574" t="s">
        <v>652</v>
      </c>
      <c r="B171" s="589" t="s">
        <v>557</v>
      </c>
      <c r="C171" s="588" t="s">
        <v>655</v>
      </c>
    </row>
    <row r="172" spans="1:3" ht="24">
      <c r="A172" s="574"/>
      <c r="B172" s="587" t="s">
        <v>922</v>
      </c>
      <c r="C172" s="586" t="s">
        <v>656</v>
      </c>
    </row>
    <row r="173" spans="1:3" ht="24">
      <c r="A173" s="574"/>
      <c r="B173" s="587" t="s">
        <v>921</v>
      </c>
      <c r="C173" s="586" t="s">
        <v>657</v>
      </c>
    </row>
    <row r="174" spans="1:3" ht="24">
      <c r="A174" s="574"/>
      <c r="B174" s="587" t="s">
        <v>920</v>
      </c>
      <c r="C174" s="586" t="s">
        <v>658</v>
      </c>
    </row>
    <row r="175" spans="1:3">
      <c r="A175" s="574"/>
      <c r="B175" s="1024" t="s">
        <v>659</v>
      </c>
      <c r="C175" s="1025"/>
    </row>
    <row r="176" spans="1:3">
      <c r="A176" s="574"/>
      <c r="B176" s="1026" t="s">
        <v>919</v>
      </c>
      <c r="C176" s="1027"/>
    </row>
    <row r="177" spans="1:3">
      <c r="A177" s="573">
        <v>1</v>
      </c>
      <c r="B177" s="586" t="s">
        <v>561</v>
      </c>
      <c r="C177" s="586" t="s">
        <v>561</v>
      </c>
    </row>
    <row r="178" spans="1:3" ht="24">
      <c r="A178" s="573">
        <v>2</v>
      </c>
      <c r="B178" s="586" t="s">
        <v>660</v>
      </c>
      <c r="C178" s="586" t="s">
        <v>661</v>
      </c>
    </row>
    <row r="179" spans="1:3">
      <c r="A179" s="573">
        <v>3</v>
      </c>
      <c r="B179" s="586" t="s">
        <v>563</v>
      </c>
      <c r="C179" s="586" t="s">
        <v>662</v>
      </c>
    </row>
    <row r="180" spans="1:3" ht="24">
      <c r="A180" s="573">
        <v>4</v>
      </c>
      <c r="B180" s="586" t="s">
        <v>564</v>
      </c>
      <c r="C180" s="586" t="s">
        <v>663</v>
      </c>
    </row>
    <row r="181" spans="1:3" ht="24">
      <c r="A181" s="573">
        <v>5</v>
      </c>
      <c r="B181" s="586" t="s">
        <v>565</v>
      </c>
      <c r="C181" s="586" t="s">
        <v>685</v>
      </c>
    </row>
    <row r="182" spans="1:3" ht="48">
      <c r="A182" s="573">
        <v>6</v>
      </c>
      <c r="B182" s="586" t="s">
        <v>566</v>
      </c>
      <c r="C182" s="586" t="s">
        <v>664</v>
      </c>
    </row>
    <row r="183" spans="1:3">
      <c r="A183" s="574"/>
      <c r="B183" s="1024" t="s">
        <v>665</v>
      </c>
      <c r="C183" s="1025"/>
    </row>
    <row r="184" spans="1:3">
      <c r="A184" s="574"/>
      <c r="B184" s="1028" t="s">
        <v>918</v>
      </c>
      <c r="C184" s="1029"/>
    </row>
    <row r="185" spans="1:3" ht="24">
      <c r="A185" s="574">
        <v>1.1000000000000001</v>
      </c>
      <c r="B185" s="585" t="s">
        <v>571</v>
      </c>
      <c r="C185" s="583" t="s">
        <v>666</v>
      </c>
    </row>
    <row r="186" spans="1:3" ht="50.1" customHeight="1">
      <c r="A186" s="574" t="s">
        <v>157</v>
      </c>
      <c r="B186" s="569" t="s">
        <v>572</v>
      </c>
      <c r="C186" s="583" t="s">
        <v>667</v>
      </c>
    </row>
    <row r="187" spans="1:3">
      <c r="A187" s="574" t="s">
        <v>573</v>
      </c>
      <c r="B187" s="584" t="s">
        <v>574</v>
      </c>
      <c r="C187" s="1030" t="s">
        <v>917</v>
      </c>
    </row>
    <row r="188" spans="1:3">
      <c r="A188" s="574" t="s">
        <v>575</v>
      </c>
      <c r="B188" s="584" t="s">
        <v>576</v>
      </c>
      <c r="C188" s="1030"/>
    </row>
    <row r="189" spans="1:3">
      <c r="A189" s="574" t="s">
        <v>577</v>
      </c>
      <c r="B189" s="584" t="s">
        <v>578</v>
      </c>
      <c r="C189" s="1030"/>
    </row>
    <row r="190" spans="1:3">
      <c r="A190" s="574" t="s">
        <v>579</v>
      </c>
      <c r="B190" s="584" t="s">
        <v>580</v>
      </c>
      <c r="C190" s="1030"/>
    </row>
    <row r="191" spans="1:3" ht="25.5" customHeight="1">
      <c r="A191" s="574">
        <v>1.2</v>
      </c>
      <c r="B191" s="582" t="s">
        <v>893</v>
      </c>
      <c r="C191" s="567" t="s">
        <v>951</v>
      </c>
    </row>
    <row r="192" spans="1:3" ht="24">
      <c r="A192" s="574" t="s">
        <v>582</v>
      </c>
      <c r="B192" s="577" t="s">
        <v>583</v>
      </c>
      <c r="C192" s="580" t="s">
        <v>668</v>
      </c>
    </row>
    <row r="193" spans="1:4" ht="24">
      <c r="A193" s="574" t="s">
        <v>584</v>
      </c>
      <c r="B193" s="581" t="s">
        <v>585</v>
      </c>
      <c r="C193" s="580" t="s">
        <v>669</v>
      </c>
    </row>
    <row r="194" spans="1:4" ht="26.1" customHeight="1">
      <c r="A194" s="574" t="s">
        <v>586</v>
      </c>
      <c r="B194" s="579" t="s">
        <v>587</v>
      </c>
      <c r="C194" s="567" t="s">
        <v>670</v>
      </c>
    </row>
    <row r="195" spans="1:4" ht="24">
      <c r="A195" s="574" t="s">
        <v>588</v>
      </c>
      <c r="B195" s="578" t="s">
        <v>589</v>
      </c>
      <c r="C195" s="567" t="s">
        <v>671</v>
      </c>
      <c r="D195" s="386"/>
    </row>
    <row r="196" spans="1:4" ht="12.6">
      <c r="A196" s="574">
        <v>1.4</v>
      </c>
      <c r="B196" s="577" t="s">
        <v>678</v>
      </c>
      <c r="C196" s="576" t="s">
        <v>672</v>
      </c>
      <c r="D196" s="387"/>
    </row>
    <row r="197" spans="1:4" ht="12.6">
      <c r="A197" s="574">
        <v>1.5</v>
      </c>
      <c r="B197" s="577" t="s">
        <v>679</v>
      </c>
      <c r="C197" s="576" t="s">
        <v>672</v>
      </c>
      <c r="D197" s="388"/>
    </row>
    <row r="198" spans="1:4" ht="12.6">
      <c r="A198" s="574"/>
      <c r="B198" s="1016" t="s">
        <v>673</v>
      </c>
      <c r="C198" s="1016"/>
      <c r="D198" s="388"/>
    </row>
    <row r="199" spans="1:4" ht="12.6">
      <c r="A199" s="574"/>
      <c r="B199" s="1028" t="s">
        <v>916</v>
      </c>
      <c r="C199" s="1028"/>
      <c r="D199" s="388"/>
    </row>
    <row r="200" spans="1:4" ht="12.6">
      <c r="A200" s="573"/>
      <c r="B200" s="570" t="s">
        <v>915</v>
      </c>
      <c r="C200" s="575" t="s">
        <v>948</v>
      </c>
      <c r="D200" s="388"/>
    </row>
    <row r="201" spans="1:4" ht="12.6">
      <c r="A201" s="574"/>
      <c r="B201" s="1016" t="s">
        <v>674</v>
      </c>
      <c r="C201" s="1016"/>
      <c r="D201" s="389"/>
    </row>
    <row r="202" spans="1:4" ht="12.6">
      <c r="A202" s="573"/>
      <c r="B202" s="1031" t="s">
        <v>914</v>
      </c>
      <c r="C202" s="1031"/>
      <c r="D202" s="390"/>
    </row>
    <row r="203" spans="1:4" ht="12.6">
      <c r="B203" s="1016" t="s">
        <v>712</v>
      </c>
      <c r="C203" s="1016"/>
      <c r="D203" s="391"/>
    </row>
    <row r="204" spans="1:4" ht="24">
      <c r="A204" s="569">
        <v>1</v>
      </c>
      <c r="B204" s="570" t="s">
        <v>688</v>
      </c>
      <c r="C204" s="567" t="s">
        <v>700</v>
      </c>
      <c r="D204" s="390"/>
    </row>
    <row r="205" spans="1:4" ht="18" customHeight="1">
      <c r="A205" s="569">
        <v>2</v>
      </c>
      <c r="B205" s="570" t="s">
        <v>689</v>
      </c>
      <c r="C205" s="567" t="s">
        <v>701</v>
      </c>
      <c r="D205" s="391"/>
    </row>
    <row r="206" spans="1:4" ht="24">
      <c r="A206" s="569">
        <v>3</v>
      </c>
      <c r="B206" s="570" t="s">
        <v>690</v>
      </c>
      <c r="C206" s="570" t="s">
        <v>702</v>
      </c>
      <c r="D206" s="392"/>
    </row>
    <row r="207" spans="1:4" ht="12.6">
      <c r="A207" s="569">
        <v>4</v>
      </c>
      <c r="B207" s="570" t="s">
        <v>691</v>
      </c>
      <c r="C207" s="570" t="s">
        <v>703</v>
      </c>
      <c r="D207" s="392"/>
    </row>
    <row r="208" spans="1:4" ht="24">
      <c r="A208" s="569">
        <v>5</v>
      </c>
      <c r="B208" s="570" t="s">
        <v>692</v>
      </c>
      <c r="C208" s="570" t="s">
        <v>704</v>
      </c>
    </row>
    <row r="209" spans="1:3" ht="24.6" customHeight="1">
      <c r="A209" s="569">
        <v>6</v>
      </c>
      <c r="B209" s="570" t="s">
        <v>693</v>
      </c>
      <c r="C209" s="570" t="s">
        <v>705</v>
      </c>
    </row>
    <row r="210" spans="1:3" ht="24">
      <c r="A210" s="569">
        <v>7</v>
      </c>
      <c r="B210" s="570" t="s">
        <v>694</v>
      </c>
      <c r="C210" s="570" t="s">
        <v>706</v>
      </c>
    </row>
    <row r="211" spans="1:3">
      <c r="A211" s="569">
        <v>7.1</v>
      </c>
      <c r="B211" s="572" t="s">
        <v>695</v>
      </c>
      <c r="C211" s="570" t="s">
        <v>707</v>
      </c>
    </row>
    <row r="212" spans="1:3">
      <c r="A212" s="569">
        <v>7.2</v>
      </c>
      <c r="B212" s="572" t="s">
        <v>696</v>
      </c>
      <c r="C212" s="570" t="s">
        <v>708</v>
      </c>
    </row>
    <row r="213" spans="1:3">
      <c r="A213" s="569">
        <v>7.3</v>
      </c>
      <c r="B213" s="571" t="s">
        <v>697</v>
      </c>
      <c r="C213" s="570" t="s">
        <v>709</v>
      </c>
    </row>
    <row r="214" spans="1:3" ht="39.6" customHeight="1">
      <c r="A214" s="569">
        <v>8</v>
      </c>
      <c r="B214" s="570" t="s">
        <v>698</v>
      </c>
      <c r="C214" s="567" t="s">
        <v>710</v>
      </c>
    </row>
    <row r="215" spans="1:3">
      <c r="A215" s="569">
        <v>9</v>
      </c>
      <c r="B215" s="570" t="s">
        <v>699</v>
      </c>
      <c r="C215" s="567" t="s">
        <v>711</v>
      </c>
    </row>
    <row r="216" spans="1:3">
      <c r="A216" s="612">
        <v>10.1</v>
      </c>
      <c r="B216" s="613" t="s">
        <v>719</v>
      </c>
      <c r="C216" s="604" t="s">
        <v>720</v>
      </c>
    </row>
    <row r="217" spans="1:3">
      <c r="A217" s="1032"/>
      <c r="B217" s="614" t="s">
        <v>906</v>
      </c>
      <c r="C217" s="567" t="s">
        <v>913</v>
      </c>
    </row>
    <row r="218" spans="1:3">
      <c r="A218" s="1032"/>
      <c r="B218" s="568" t="s">
        <v>570</v>
      </c>
      <c r="C218" s="567" t="s">
        <v>912</v>
      </c>
    </row>
    <row r="219" spans="1:3">
      <c r="A219" s="1032"/>
      <c r="B219" s="568" t="s">
        <v>905</v>
      </c>
      <c r="C219" s="567" t="s">
        <v>952</v>
      </c>
    </row>
    <row r="220" spans="1:3">
      <c r="A220" s="1032"/>
      <c r="B220" s="568" t="s">
        <v>713</v>
      </c>
      <c r="C220" s="567" t="s">
        <v>911</v>
      </c>
    </row>
    <row r="221" spans="1:3" ht="24">
      <c r="A221" s="1032"/>
      <c r="B221" s="568" t="s">
        <v>717</v>
      </c>
      <c r="C221" s="583" t="s">
        <v>910</v>
      </c>
    </row>
    <row r="222" spans="1:3" ht="36">
      <c r="A222" s="1032"/>
      <c r="B222" s="568" t="s">
        <v>716</v>
      </c>
      <c r="C222" s="567" t="s">
        <v>909</v>
      </c>
    </row>
    <row r="223" spans="1:3">
      <c r="A223" s="1032"/>
      <c r="B223" s="568" t="s">
        <v>953</v>
      </c>
      <c r="C223" s="567" t="s">
        <v>908</v>
      </c>
    </row>
    <row r="224" spans="1:3" ht="24">
      <c r="A224" s="1032"/>
      <c r="B224" s="568" t="s">
        <v>954</v>
      </c>
      <c r="C224" s="567" t="s">
        <v>907</v>
      </c>
    </row>
    <row r="225" spans="1:3" ht="12.6">
      <c r="A225" s="605"/>
      <c r="B225" s="606"/>
      <c r="C225" s="607"/>
    </row>
    <row r="226" spans="1:3" ht="12.6">
      <c r="A226" s="605"/>
      <c r="B226" s="607"/>
      <c r="C226" s="608"/>
    </row>
    <row r="227" spans="1:3" ht="12.6">
      <c r="A227" s="605"/>
      <c r="B227" s="607"/>
      <c r="C227" s="608"/>
    </row>
    <row r="228" spans="1:3" ht="12.6">
      <c r="A228" s="605"/>
      <c r="B228" s="609"/>
      <c r="C228" s="608"/>
    </row>
    <row r="229" spans="1:3">
      <c r="A229" s="1023"/>
      <c r="B229" s="610"/>
      <c r="C229" s="608"/>
    </row>
    <row r="230" spans="1:3">
      <c r="A230" s="1023"/>
      <c r="B230" s="610"/>
      <c r="C230" s="608"/>
    </row>
    <row r="231" spans="1:3">
      <c r="A231" s="1023"/>
      <c r="B231" s="610"/>
      <c r="C231" s="608"/>
    </row>
    <row r="232" spans="1:3">
      <c r="A232" s="1023"/>
      <c r="B232" s="610"/>
      <c r="C232" s="611"/>
    </row>
    <row r="233" spans="1:3" ht="40.5" customHeight="1">
      <c r="A233" s="1023"/>
      <c r="B233" s="610"/>
      <c r="C233" s="608"/>
    </row>
    <row r="234" spans="1:3" ht="24" customHeight="1">
      <c r="A234" s="1023"/>
      <c r="B234" s="610"/>
      <c r="C234" s="608"/>
    </row>
    <row r="235" spans="1:3">
      <c r="A235" s="1023"/>
      <c r="B235" s="610"/>
      <c r="C235" s="608"/>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4.4"/>
  <cols>
    <col min="2" max="2" width="66.5546875" customWidth="1"/>
    <col min="3" max="8" width="17.88671875" customWidth="1"/>
  </cols>
  <sheetData>
    <row r="1" spans="1:8">
      <c r="A1" s="17" t="s">
        <v>108</v>
      </c>
      <c r="B1" s="623" t="str">
        <f>'1. key ratios'!B1</f>
        <v>სს იშბანკი საქართველო</v>
      </c>
      <c r="C1" s="16"/>
      <c r="D1" s="218"/>
      <c r="E1" s="218"/>
      <c r="F1" s="218"/>
      <c r="G1" s="218"/>
    </row>
    <row r="2" spans="1:8">
      <c r="A2" s="17" t="s">
        <v>109</v>
      </c>
      <c r="B2" s="624">
        <f>'1. key ratios'!B2</f>
        <v>45199</v>
      </c>
      <c r="C2" s="29"/>
      <c r="D2" s="18"/>
      <c r="E2" s="18"/>
      <c r="F2" s="18"/>
      <c r="G2" s="18"/>
      <c r="H2" s="1"/>
    </row>
    <row r="3" spans="1:8">
      <c r="A3" s="17"/>
      <c r="B3" s="16"/>
      <c r="C3" s="29"/>
      <c r="D3" s="18"/>
      <c r="E3" s="18"/>
      <c r="F3" s="18"/>
      <c r="G3" s="18"/>
      <c r="H3" s="1"/>
    </row>
    <row r="4" spans="1:8">
      <c r="A4" s="870" t="s">
        <v>25</v>
      </c>
      <c r="B4" s="868" t="s">
        <v>166</v>
      </c>
      <c r="C4" s="863" t="s">
        <v>114</v>
      </c>
      <c r="D4" s="863"/>
      <c r="E4" s="863"/>
      <c r="F4" s="863" t="s">
        <v>115</v>
      </c>
      <c r="G4" s="863"/>
      <c r="H4" s="864"/>
    </row>
    <row r="5" spans="1:8" ht="15.6" customHeight="1">
      <c r="A5" s="871"/>
      <c r="B5" s="869"/>
      <c r="C5" s="427" t="s">
        <v>26</v>
      </c>
      <c r="D5" s="427" t="s">
        <v>88</v>
      </c>
      <c r="E5" s="427" t="s">
        <v>66</v>
      </c>
      <c r="F5" s="427" t="s">
        <v>26</v>
      </c>
      <c r="G5" s="427" t="s">
        <v>88</v>
      </c>
      <c r="H5" s="427" t="s">
        <v>66</v>
      </c>
    </row>
    <row r="6" spans="1:8">
      <c r="A6" s="456">
        <v>1</v>
      </c>
      <c r="B6" s="428" t="s">
        <v>774</v>
      </c>
      <c r="C6" s="833">
        <f>SUM(C7:C12)</f>
        <v>16637611.606420513</v>
      </c>
      <c r="D6" s="833">
        <f>SUM(D7:D12)</f>
        <v>10473978.218444061</v>
      </c>
      <c r="E6" s="834">
        <f>C6+D6</f>
        <v>27111589.824864574</v>
      </c>
      <c r="F6" s="835">
        <f>SUM(F7:F12)</f>
        <v>0</v>
      </c>
      <c r="G6" s="835">
        <f>SUM(G7:G12)</f>
        <v>0</v>
      </c>
      <c r="H6" s="836">
        <f>F6+G6</f>
        <v>0</v>
      </c>
    </row>
    <row r="7" spans="1:8">
      <c r="A7" s="456">
        <v>1.1000000000000001</v>
      </c>
      <c r="B7" s="429" t="s">
        <v>728</v>
      </c>
      <c r="C7" s="667"/>
      <c r="D7" s="667"/>
      <c r="E7" s="668">
        <f t="shared" ref="E7:E45" si="0">C7+D7</f>
        <v>0</v>
      </c>
      <c r="F7" s="411"/>
      <c r="G7" s="411"/>
      <c r="H7" s="412">
        <f t="shared" ref="H7:H45" si="1">F7+G7</f>
        <v>0</v>
      </c>
    </row>
    <row r="8" spans="1:8" ht="20.399999999999999">
      <c r="A8" s="456">
        <v>1.2</v>
      </c>
      <c r="B8" s="429" t="s">
        <v>775</v>
      </c>
      <c r="C8" s="667"/>
      <c r="D8" s="667"/>
      <c r="E8" s="668">
        <f t="shared" si="0"/>
        <v>0</v>
      </c>
      <c r="F8" s="411"/>
      <c r="G8" s="411"/>
      <c r="H8" s="412">
        <f t="shared" si="1"/>
        <v>0</v>
      </c>
    </row>
    <row r="9" spans="1:8" ht="21.6" customHeight="1">
      <c r="A9" s="456">
        <v>1.3</v>
      </c>
      <c r="B9" s="423" t="s">
        <v>776</v>
      </c>
      <c r="C9" s="667"/>
      <c r="D9" s="667"/>
      <c r="E9" s="668">
        <f t="shared" si="0"/>
        <v>0</v>
      </c>
      <c r="F9" s="411"/>
      <c r="G9" s="411"/>
      <c r="H9" s="412">
        <f t="shared" si="1"/>
        <v>0</v>
      </c>
    </row>
    <row r="10" spans="1:8" ht="20.399999999999999">
      <c r="A10" s="456">
        <v>1.4</v>
      </c>
      <c r="B10" s="423" t="s">
        <v>732</v>
      </c>
      <c r="C10" s="1050">
        <v>2762.8174175824179</v>
      </c>
      <c r="D10" s="1050">
        <v>17594.988194444446</v>
      </c>
      <c r="E10" s="668">
        <f t="shared" si="0"/>
        <v>20357.805612026863</v>
      </c>
      <c r="F10" s="411"/>
      <c r="G10" s="411"/>
      <c r="H10" s="412">
        <f t="shared" si="1"/>
        <v>0</v>
      </c>
    </row>
    <row r="11" spans="1:8">
      <c r="A11" s="456">
        <v>1.5</v>
      </c>
      <c r="B11" s="423" t="s">
        <v>735</v>
      </c>
      <c r="C11" s="1050">
        <v>16634848.789002931</v>
      </c>
      <c r="D11" s="1050">
        <v>10456383.230249615</v>
      </c>
      <c r="E11" s="668">
        <f t="shared" si="0"/>
        <v>27091232.019252546</v>
      </c>
      <c r="F11" s="411"/>
      <c r="G11" s="411"/>
      <c r="H11" s="412">
        <f t="shared" si="1"/>
        <v>0</v>
      </c>
    </row>
    <row r="12" spans="1:8">
      <c r="A12" s="456">
        <v>1.6</v>
      </c>
      <c r="B12" s="430" t="s">
        <v>99</v>
      </c>
      <c r="C12" s="667"/>
      <c r="D12" s="667"/>
      <c r="E12" s="668">
        <f t="shared" si="0"/>
        <v>0</v>
      </c>
      <c r="F12" s="411"/>
      <c r="G12" s="411"/>
      <c r="H12" s="412">
        <f t="shared" si="1"/>
        <v>0</v>
      </c>
    </row>
    <row r="13" spans="1:8">
      <c r="A13" s="456">
        <v>2</v>
      </c>
      <c r="B13" s="431" t="s">
        <v>777</v>
      </c>
      <c r="C13" s="833">
        <f>SUM(C14:C17)</f>
        <v>-2529691.7503712638</v>
      </c>
      <c r="D13" s="833">
        <f>SUM(D14:D17)</f>
        <v>-5470158.0564690037</v>
      </c>
      <c r="E13" s="834">
        <f t="shared" si="0"/>
        <v>-7999849.806840267</v>
      </c>
      <c r="F13" s="835">
        <f>SUM(F14:F17)</f>
        <v>0</v>
      </c>
      <c r="G13" s="835">
        <f>SUM(G14:G17)</f>
        <v>0</v>
      </c>
      <c r="H13" s="836">
        <f t="shared" si="1"/>
        <v>0</v>
      </c>
    </row>
    <row r="14" spans="1:8">
      <c r="A14" s="456">
        <v>2.1</v>
      </c>
      <c r="B14" s="423" t="s">
        <v>778</v>
      </c>
      <c r="C14" s="667"/>
      <c r="D14" s="667"/>
      <c r="E14" s="668">
        <f t="shared" si="0"/>
        <v>0</v>
      </c>
      <c r="F14" s="411"/>
      <c r="G14" s="411"/>
      <c r="H14" s="412">
        <f t="shared" si="1"/>
        <v>0</v>
      </c>
    </row>
    <row r="15" spans="1:8" ht="24.6" customHeight="1">
      <c r="A15" s="456">
        <v>2.2000000000000002</v>
      </c>
      <c r="B15" s="423" t="s">
        <v>779</v>
      </c>
      <c r="C15" s="667"/>
      <c r="D15" s="667"/>
      <c r="E15" s="668">
        <f t="shared" si="0"/>
        <v>0</v>
      </c>
      <c r="F15" s="411"/>
      <c r="G15" s="411"/>
      <c r="H15" s="412">
        <f t="shared" si="1"/>
        <v>0</v>
      </c>
    </row>
    <row r="16" spans="1:8" ht="20.399999999999999" customHeight="1">
      <c r="A16" s="456">
        <v>2.2999999999999998</v>
      </c>
      <c r="B16" s="423" t="s">
        <v>780</v>
      </c>
      <c r="C16" s="667">
        <v>-2529691.7503712638</v>
      </c>
      <c r="D16" s="667">
        <v>-5470158.0564690037</v>
      </c>
      <c r="E16" s="668">
        <f t="shared" si="0"/>
        <v>-7999849.806840267</v>
      </c>
      <c r="F16" s="411"/>
      <c r="G16" s="411"/>
      <c r="H16" s="412">
        <f t="shared" si="1"/>
        <v>0</v>
      </c>
    </row>
    <row r="17" spans="1:8">
      <c r="A17" s="456">
        <v>2.4</v>
      </c>
      <c r="B17" s="423" t="s">
        <v>781</v>
      </c>
      <c r="C17" s="667"/>
      <c r="D17" s="667"/>
      <c r="E17" s="668">
        <f t="shared" si="0"/>
        <v>0</v>
      </c>
      <c r="F17" s="411"/>
      <c r="G17" s="411"/>
      <c r="H17" s="412">
        <f t="shared" si="1"/>
        <v>0</v>
      </c>
    </row>
    <row r="18" spans="1:8">
      <c r="A18" s="456">
        <v>3</v>
      </c>
      <c r="B18" s="431" t="s">
        <v>782</v>
      </c>
      <c r="C18" s="667"/>
      <c r="D18" s="667"/>
      <c r="E18" s="668">
        <f t="shared" si="0"/>
        <v>0</v>
      </c>
      <c r="F18" s="411"/>
      <c r="G18" s="411"/>
      <c r="H18" s="412">
        <f t="shared" si="1"/>
        <v>0</v>
      </c>
    </row>
    <row r="19" spans="1:8">
      <c r="A19" s="456">
        <v>4</v>
      </c>
      <c r="B19" s="431" t="s">
        <v>783</v>
      </c>
      <c r="C19" s="667">
        <v>1482299.8599999994</v>
      </c>
      <c r="D19" s="667">
        <v>1439358.5436179987</v>
      </c>
      <c r="E19" s="668">
        <f t="shared" si="0"/>
        <v>2921658.4036179981</v>
      </c>
      <c r="F19" s="411"/>
      <c r="G19" s="411"/>
      <c r="H19" s="412">
        <f t="shared" si="1"/>
        <v>0</v>
      </c>
    </row>
    <row r="20" spans="1:8">
      <c r="A20" s="456">
        <v>5</v>
      </c>
      <c r="B20" s="431" t="s">
        <v>784</v>
      </c>
      <c r="C20" s="667">
        <v>-153080.78999999998</v>
      </c>
      <c r="D20" s="667">
        <v>-549275.78</v>
      </c>
      <c r="E20" s="668">
        <f t="shared" si="0"/>
        <v>-702356.57000000007</v>
      </c>
      <c r="F20" s="411"/>
      <c r="G20" s="411"/>
      <c r="H20" s="412">
        <f t="shared" si="1"/>
        <v>0</v>
      </c>
    </row>
    <row r="21" spans="1:8" ht="38.4" customHeight="1">
      <c r="A21" s="456">
        <v>6</v>
      </c>
      <c r="B21" s="431" t="s">
        <v>785</v>
      </c>
      <c r="C21" s="667"/>
      <c r="D21" s="667"/>
      <c r="E21" s="668">
        <f t="shared" si="0"/>
        <v>0</v>
      </c>
      <c r="F21" s="411"/>
      <c r="G21" s="411"/>
      <c r="H21" s="412">
        <f t="shared" si="1"/>
        <v>0</v>
      </c>
    </row>
    <row r="22" spans="1:8" ht="27.6" customHeight="1">
      <c r="A22" s="456">
        <v>7</v>
      </c>
      <c r="B22" s="431" t="s">
        <v>786</v>
      </c>
      <c r="C22" s="667"/>
      <c r="D22" s="667"/>
      <c r="E22" s="668">
        <f t="shared" si="0"/>
        <v>0</v>
      </c>
      <c r="F22" s="411"/>
      <c r="G22" s="411"/>
      <c r="H22" s="412">
        <f t="shared" si="1"/>
        <v>0</v>
      </c>
    </row>
    <row r="23" spans="1:8" ht="36.9" customHeight="1">
      <c r="A23" s="456">
        <v>8</v>
      </c>
      <c r="B23" s="432" t="s">
        <v>787</v>
      </c>
      <c r="C23" s="667"/>
      <c r="D23" s="667"/>
      <c r="E23" s="668">
        <f t="shared" si="0"/>
        <v>0</v>
      </c>
      <c r="F23" s="411"/>
      <c r="G23" s="411"/>
      <c r="H23" s="412">
        <f t="shared" si="1"/>
        <v>0</v>
      </c>
    </row>
    <row r="24" spans="1:8" ht="34.5" customHeight="1">
      <c r="A24" s="456">
        <v>9</v>
      </c>
      <c r="B24" s="432" t="s">
        <v>788</v>
      </c>
      <c r="C24" s="667"/>
      <c r="D24" s="667"/>
      <c r="E24" s="668">
        <f t="shared" si="0"/>
        <v>0</v>
      </c>
      <c r="F24" s="411"/>
      <c r="G24" s="411"/>
      <c r="H24" s="412">
        <f t="shared" si="1"/>
        <v>0</v>
      </c>
    </row>
    <row r="25" spans="1:8">
      <c r="A25" s="456">
        <v>10</v>
      </c>
      <c r="B25" s="431" t="s">
        <v>789</v>
      </c>
      <c r="C25" s="667">
        <v>2768429.9300000006</v>
      </c>
      <c r="D25" s="667">
        <v>0</v>
      </c>
      <c r="E25" s="668">
        <f t="shared" si="0"/>
        <v>2768429.9300000006</v>
      </c>
      <c r="F25" s="411"/>
      <c r="G25" s="411"/>
      <c r="H25" s="412">
        <f t="shared" si="1"/>
        <v>0</v>
      </c>
    </row>
    <row r="26" spans="1:8" ht="27" customHeight="1">
      <c r="A26" s="456">
        <v>11</v>
      </c>
      <c r="B26" s="433" t="s">
        <v>790</v>
      </c>
      <c r="C26" s="667"/>
      <c r="D26" s="667">
        <v>-69282.481836494102</v>
      </c>
      <c r="E26" s="668">
        <f t="shared" si="0"/>
        <v>-69282.481836494102</v>
      </c>
      <c r="F26" s="411"/>
      <c r="G26" s="411"/>
      <c r="H26" s="412">
        <f t="shared" si="1"/>
        <v>0</v>
      </c>
    </row>
    <row r="27" spans="1:8">
      <c r="A27" s="456">
        <v>12</v>
      </c>
      <c r="B27" s="431" t="s">
        <v>791</v>
      </c>
      <c r="C27" s="667"/>
      <c r="D27" s="667"/>
      <c r="E27" s="668">
        <f t="shared" si="0"/>
        <v>0</v>
      </c>
      <c r="F27" s="411"/>
      <c r="G27" s="411"/>
      <c r="H27" s="412">
        <f t="shared" si="1"/>
        <v>0</v>
      </c>
    </row>
    <row r="28" spans="1:8">
      <c r="A28" s="456">
        <v>13</v>
      </c>
      <c r="B28" s="434" t="s">
        <v>792</v>
      </c>
      <c r="C28" s="667"/>
      <c r="D28" s="667"/>
      <c r="E28" s="668">
        <f t="shared" si="0"/>
        <v>0</v>
      </c>
      <c r="F28" s="411"/>
      <c r="G28" s="411"/>
      <c r="H28" s="412">
        <f t="shared" si="1"/>
        <v>0</v>
      </c>
    </row>
    <row r="29" spans="1:8">
      <c r="A29" s="456">
        <v>14</v>
      </c>
      <c r="B29" s="435" t="s">
        <v>793</v>
      </c>
      <c r="C29" s="833">
        <f>SUM(C30:C31)</f>
        <v>-3908316.0105346264</v>
      </c>
      <c r="D29" s="833">
        <f>SUM(D30:D31)</f>
        <v>-1219093.7499609692</v>
      </c>
      <c r="E29" s="834">
        <f t="shared" si="0"/>
        <v>-5127409.7604955956</v>
      </c>
      <c r="F29" s="411">
        <f>SUM(F30:F31)</f>
        <v>0</v>
      </c>
      <c r="G29" s="411">
        <f>SUM(G30:G31)</f>
        <v>0</v>
      </c>
      <c r="H29" s="412">
        <f t="shared" si="1"/>
        <v>0</v>
      </c>
    </row>
    <row r="30" spans="1:8">
      <c r="A30" s="456">
        <v>14.1</v>
      </c>
      <c r="B30" s="406" t="s">
        <v>794</v>
      </c>
      <c r="C30" s="667">
        <v>-2550076.3705346263</v>
      </c>
      <c r="D30" s="667">
        <v>-1080388.2899609692</v>
      </c>
      <c r="E30" s="668">
        <f t="shared" si="0"/>
        <v>-3630464.6604955955</v>
      </c>
      <c r="F30" s="411"/>
      <c r="G30" s="411"/>
      <c r="H30" s="412">
        <f t="shared" si="1"/>
        <v>0</v>
      </c>
    </row>
    <row r="31" spans="1:8">
      <c r="A31" s="456">
        <v>14.2</v>
      </c>
      <c r="B31" s="406" t="s">
        <v>795</v>
      </c>
      <c r="C31" s="667">
        <v>-1358239.64</v>
      </c>
      <c r="D31" s="667">
        <v>-138705.46</v>
      </c>
      <c r="E31" s="668">
        <f t="shared" si="0"/>
        <v>-1496945.0999999999</v>
      </c>
      <c r="F31" s="411"/>
      <c r="G31" s="411"/>
      <c r="H31" s="412">
        <f t="shared" si="1"/>
        <v>0</v>
      </c>
    </row>
    <row r="32" spans="1:8">
      <c r="A32" s="456">
        <v>15</v>
      </c>
      <c r="B32" s="436" t="s">
        <v>796</v>
      </c>
      <c r="C32" s="667">
        <v>-846615.27868630132</v>
      </c>
      <c r="D32" s="667">
        <v>0</v>
      </c>
      <c r="E32" s="668">
        <f t="shared" si="0"/>
        <v>-846615.27868630132</v>
      </c>
      <c r="F32" s="411"/>
      <c r="G32" s="411"/>
      <c r="H32" s="412">
        <f t="shared" si="1"/>
        <v>0</v>
      </c>
    </row>
    <row r="33" spans="1:8" ht="22.5" customHeight="1">
      <c r="A33" s="456">
        <v>16</v>
      </c>
      <c r="B33" s="402" t="s">
        <v>797</v>
      </c>
      <c r="C33" s="667"/>
      <c r="D33" s="667"/>
      <c r="E33" s="668">
        <f t="shared" si="0"/>
        <v>0</v>
      </c>
      <c r="F33" s="411"/>
      <c r="G33" s="411"/>
      <c r="H33" s="412">
        <f t="shared" si="1"/>
        <v>0</v>
      </c>
    </row>
    <row r="34" spans="1:8">
      <c r="A34" s="456">
        <v>17</v>
      </c>
      <c r="B34" s="431" t="s">
        <v>798</v>
      </c>
      <c r="C34" s="833">
        <f>SUM(C35:C36)</f>
        <v>-102154.81885951231</v>
      </c>
      <c r="D34" s="833">
        <f>SUM(D35:D36)</f>
        <v>-236589.72212051135</v>
      </c>
      <c r="E34" s="834">
        <f t="shared" si="0"/>
        <v>-338744.54098002368</v>
      </c>
      <c r="F34" s="835">
        <f>SUM(F35:F36)</f>
        <v>0</v>
      </c>
      <c r="G34" s="835">
        <f>SUM(G35:G36)</f>
        <v>0</v>
      </c>
      <c r="H34" s="836">
        <f t="shared" si="1"/>
        <v>0</v>
      </c>
    </row>
    <row r="35" spans="1:8">
      <c r="A35" s="456">
        <v>17.100000000000001</v>
      </c>
      <c r="B35" s="437" t="s">
        <v>799</v>
      </c>
      <c r="C35" s="667">
        <v>-18640.361157012958</v>
      </c>
      <c r="D35" s="667">
        <v>-8690.0243598098677</v>
      </c>
      <c r="E35" s="668">
        <f t="shared" si="0"/>
        <v>-27330.385516822826</v>
      </c>
      <c r="F35" s="411"/>
      <c r="G35" s="411"/>
      <c r="H35" s="412">
        <f t="shared" si="1"/>
        <v>0</v>
      </c>
    </row>
    <row r="36" spans="1:8">
      <c r="A36" s="456">
        <v>17.2</v>
      </c>
      <c r="B36" s="406" t="s">
        <v>800</v>
      </c>
      <c r="C36" s="667">
        <v>-83514.457702499349</v>
      </c>
      <c r="D36" s="667">
        <v>-227899.69776070147</v>
      </c>
      <c r="E36" s="668">
        <f t="shared" si="0"/>
        <v>-311414.15546320082</v>
      </c>
      <c r="F36" s="411"/>
      <c r="G36" s="411"/>
      <c r="H36" s="412">
        <f t="shared" si="1"/>
        <v>0</v>
      </c>
    </row>
    <row r="37" spans="1:8" ht="41.4" customHeight="1">
      <c r="A37" s="456">
        <v>18</v>
      </c>
      <c r="B37" s="438" t="s">
        <v>801</v>
      </c>
      <c r="C37" s="833">
        <f>SUM(C38:C39)</f>
        <v>224623.72945034283</v>
      </c>
      <c r="D37" s="833">
        <f>SUM(D38:D39)</f>
        <v>-455406.79048290185</v>
      </c>
      <c r="E37" s="834">
        <f t="shared" si="0"/>
        <v>-230783.06103255902</v>
      </c>
      <c r="F37" s="411">
        <f>SUM(F38:F39)</f>
        <v>0</v>
      </c>
      <c r="G37" s="439">
        <f>SUM(G38:G39)</f>
        <v>0</v>
      </c>
      <c r="H37" s="412">
        <f t="shared" si="1"/>
        <v>0</v>
      </c>
    </row>
    <row r="38" spans="1:8" ht="20.399999999999999">
      <c r="A38" s="456">
        <v>18.100000000000001</v>
      </c>
      <c r="B38" s="423" t="s">
        <v>802</v>
      </c>
      <c r="C38" s="667">
        <v>128.018881890183</v>
      </c>
      <c r="D38" s="667">
        <v>6146.4243442921097</v>
      </c>
      <c r="E38" s="668">
        <f t="shared" si="0"/>
        <v>6274.4432261822931</v>
      </c>
      <c r="F38" s="411"/>
      <c r="G38" s="411"/>
      <c r="H38" s="412">
        <f t="shared" si="1"/>
        <v>0</v>
      </c>
    </row>
    <row r="39" spans="1:8">
      <c r="A39" s="456">
        <v>18.2</v>
      </c>
      <c r="B39" s="423" t="s">
        <v>803</v>
      </c>
      <c r="C39" s="667">
        <v>224495.71056845263</v>
      </c>
      <c r="D39" s="667">
        <v>-461553.21482719394</v>
      </c>
      <c r="E39" s="668">
        <f t="shared" si="0"/>
        <v>-237057.5042587413</v>
      </c>
      <c r="F39" s="411"/>
      <c r="G39" s="411"/>
      <c r="H39" s="412">
        <f t="shared" si="1"/>
        <v>0</v>
      </c>
    </row>
    <row r="40" spans="1:8" ht="24.6" customHeight="1">
      <c r="A40" s="456">
        <v>19</v>
      </c>
      <c r="B40" s="438" t="s">
        <v>804</v>
      </c>
      <c r="C40" s="667"/>
      <c r="D40" s="667"/>
      <c r="E40" s="668">
        <f t="shared" si="0"/>
        <v>0</v>
      </c>
      <c r="F40" s="411"/>
      <c r="G40" s="411"/>
      <c r="H40" s="412">
        <f t="shared" si="1"/>
        <v>0</v>
      </c>
    </row>
    <row r="41" spans="1:8" ht="24.9" customHeight="1">
      <c r="A41" s="456">
        <v>20</v>
      </c>
      <c r="B41" s="438" t="s">
        <v>805</v>
      </c>
      <c r="C41" s="667"/>
      <c r="D41" s="667"/>
      <c r="E41" s="668">
        <f t="shared" si="0"/>
        <v>0</v>
      </c>
      <c r="F41" s="411"/>
      <c r="G41" s="411"/>
      <c r="H41" s="412">
        <f t="shared" si="1"/>
        <v>0</v>
      </c>
    </row>
    <row r="42" spans="1:8" ht="33" customHeight="1">
      <c r="A42" s="456">
        <v>21</v>
      </c>
      <c r="B42" s="440" t="s">
        <v>806</v>
      </c>
      <c r="C42" s="667"/>
      <c r="D42" s="667"/>
      <c r="E42" s="668">
        <f t="shared" si="0"/>
        <v>0</v>
      </c>
      <c r="F42" s="411"/>
      <c r="G42" s="411"/>
      <c r="H42" s="412">
        <f t="shared" si="1"/>
        <v>0</v>
      </c>
    </row>
    <row r="43" spans="1:8">
      <c r="A43" s="456">
        <v>22</v>
      </c>
      <c r="B43" s="441" t="s">
        <v>807</v>
      </c>
      <c r="C43" s="833">
        <f>SUM(C6,C13,C18,C19,C20,C21,C22,C23,C24,C25,C26,C27,C28,C29,C32,C33,C34,C37,C40,C41,C42)</f>
        <v>13573106.477419155</v>
      </c>
      <c r="D43" s="833">
        <f>SUM(D6,D13,D18,D19,D20,D21,D22,D23,D24,D25,D26,D27,D28,D29,D32,D33,D34,D37,D40,D41,D42)</f>
        <v>3913530.1811921783</v>
      </c>
      <c r="E43" s="834">
        <f t="shared" si="0"/>
        <v>17486636.658611335</v>
      </c>
      <c r="F43" s="835">
        <f>SUM(F6,F13,F18,F19,F20,F21,F22,F23,F24,F25,F26,F27,F28,F29,F32,F33,F34,F37,F40,F41,F42)</f>
        <v>0</v>
      </c>
      <c r="G43" s="835">
        <f>SUM(G6,G13,G18,G19,G20,G21,G22,G23,G24,G25,G26,G27,G28,G29,G32,G33,G34,G37,G40,G41,G42)</f>
        <v>0</v>
      </c>
      <c r="H43" s="836">
        <f t="shared" si="1"/>
        <v>0</v>
      </c>
    </row>
    <row r="44" spans="1:8">
      <c r="A44" s="456">
        <v>23</v>
      </c>
      <c r="B44" s="441" t="s">
        <v>808</v>
      </c>
      <c r="C44" s="662">
        <v>3867173.65</v>
      </c>
      <c r="D44" s="667"/>
      <c r="E44" s="668">
        <f t="shared" si="0"/>
        <v>3867173.65</v>
      </c>
      <c r="F44" s="411"/>
      <c r="G44" s="411"/>
      <c r="H44" s="412">
        <f t="shared" si="1"/>
        <v>0</v>
      </c>
    </row>
    <row r="45" spans="1:8">
      <c r="A45" s="456">
        <v>24</v>
      </c>
      <c r="B45" s="441" t="s">
        <v>809</v>
      </c>
      <c r="C45" s="833">
        <f>C43-C44</f>
        <v>9705932.8274191543</v>
      </c>
      <c r="D45" s="833">
        <f>D43-D44</f>
        <v>3913530.1811921783</v>
      </c>
      <c r="E45" s="834">
        <f t="shared" si="0"/>
        <v>13619463.008611333</v>
      </c>
      <c r="F45" s="835">
        <f>F43-F44</f>
        <v>0</v>
      </c>
      <c r="G45" s="835">
        <f>G43-G44</f>
        <v>0</v>
      </c>
      <c r="H45" s="836">
        <f t="shared" si="1"/>
        <v>0</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4.4"/>
  <cols>
    <col min="1" max="1" width="8.6640625" style="453"/>
    <col min="2" max="2" width="87.5546875" bestFit="1" customWidth="1"/>
    <col min="3" max="5" width="14" bestFit="1" customWidth="1"/>
    <col min="6" max="8" width="12.6640625" customWidth="1"/>
  </cols>
  <sheetData>
    <row r="1" spans="1:8">
      <c r="A1" s="17" t="s">
        <v>108</v>
      </c>
      <c r="B1" s="623" t="str">
        <f>'1. key ratios'!B1</f>
        <v>სს იშბანკი საქართველო</v>
      </c>
      <c r="C1" s="16"/>
      <c r="D1" s="218"/>
      <c r="E1" s="218"/>
      <c r="F1" s="218"/>
      <c r="G1" s="218"/>
    </row>
    <row r="2" spans="1:8">
      <c r="A2" s="17" t="s">
        <v>109</v>
      </c>
      <c r="B2" s="624">
        <f>'1. key ratios'!B2</f>
        <v>45199</v>
      </c>
      <c r="C2" s="29"/>
      <c r="D2" s="18"/>
      <c r="E2" s="18"/>
      <c r="F2" s="18"/>
      <c r="G2" s="18"/>
      <c r="H2" s="1"/>
    </row>
    <row r="3" spans="1:8">
      <c r="A3" s="17"/>
      <c r="B3" s="16"/>
      <c r="C3" s="29"/>
      <c r="D3" s="18"/>
      <c r="E3" s="18"/>
      <c r="F3" s="18"/>
      <c r="G3" s="18"/>
      <c r="H3" s="1"/>
    </row>
    <row r="4" spans="1:8">
      <c r="A4" s="860" t="s">
        <v>25</v>
      </c>
      <c r="B4" s="872" t="s">
        <v>151</v>
      </c>
      <c r="C4" s="873" t="s">
        <v>114</v>
      </c>
      <c r="D4" s="873"/>
      <c r="E4" s="873"/>
      <c r="F4" s="873" t="s">
        <v>115</v>
      </c>
      <c r="G4" s="873"/>
      <c r="H4" s="874"/>
    </row>
    <row r="5" spans="1:8">
      <c r="A5" s="860"/>
      <c r="B5" s="872"/>
      <c r="C5" s="427" t="s">
        <v>26</v>
      </c>
      <c r="D5" s="427" t="s">
        <v>88</v>
      </c>
      <c r="E5" s="427" t="s">
        <v>66</v>
      </c>
      <c r="F5" s="427" t="s">
        <v>26</v>
      </c>
      <c r="G5" s="427" t="s">
        <v>88</v>
      </c>
      <c r="H5" s="442" t="s">
        <v>66</v>
      </c>
    </row>
    <row r="6" spans="1:8">
      <c r="A6" s="443">
        <v>1</v>
      </c>
      <c r="B6" s="444" t="s">
        <v>810</v>
      </c>
      <c r="C6" s="669"/>
      <c r="D6" s="669"/>
      <c r="E6" s="670">
        <f t="shared" ref="E6:E43" si="0">C6+D6</f>
        <v>0</v>
      </c>
      <c r="F6" s="669"/>
      <c r="G6" s="669"/>
      <c r="H6" s="671">
        <f t="shared" ref="H6:H43" si="1">F6+G6</f>
        <v>0</v>
      </c>
    </row>
    <row r="7" spans="1:8">
      <c r="A7" s="443">
        <v>2</v>
      </c>
      <c r="B7" s="445" t="s">
        <v>177</v>
      </c>
      <c r="C7" s="669"/>
      <c r="D7" s="669"/>
      <c r="E7" s="670">
        <f t="shared" si="0"/>
        <v>0</v>
      </c>
      <c r="F7" s="669"/>
      <c r="G7" s="669"/>
      <c r="H7" s="671">
        <f t="shared" si="1"/>
        <v>0</v>
      </c>
    </row>
    <row r="8" spans="1:8">
      <c r="A8" s="443">
        <v>3</v>
      </c>
      <c r="B8" s="445" t="s">
        <v>179</v>
      </c>
      <c r="C8" s="837">
        <f>C9+C10</f>
        <v>125302148.58459935</v>
      </c>
      <c r="D8" s="837">
        <f>D9+D10</f>
        <v>122269286.52363104</v>
      </c>
      <c r="E8" s="838">
        <f t="shared" si="0"/>
        <v>247571435.10823038</v>
      </c>
      <c r="F8" s="837">
        <f>F9+F10</f>
        <v>0</v>
      </c>
      <c r="G8" s="837">
        <f>G9+G10</f>
        <v>0</v>
      </c>
      <c r="H8" s="839">
        <f t="shared" si="1"/>
        <v>0</v>
      </c>
    </row>
    <row r="9" spans="1:8">
      <c r="A9" s="443">
        <v>3.1</v>
      </c>
      <c r="B9" s="446" t="s">
        <v>811</v>
      </c>
      <c r="C9" s="669">
        <v>81630449.674599349</v>
      </c>
      <c r="D9" s="669">
        <v>92412183.554387033</v>
      </c>
      <c r="E9" s="670">
        <f t="shared" si="0"/>
        <v>174042633.22898638</v>
      </c>
      <c r="F9" s="669"/>
      <c r="G9" s="669"/>
      <c r="H9" s="671">
        <f t="shared" si="1"/>
        <v>0</v>
      </c>
    </row>
    <row r="10" spans="1:8">
      <c r="A10" s="443">
        <v>3.2</v>
      </c>
      <c r="B10" s="446" t="s">
        <v>812</v>
      </c>
      <c r="C10" s="669">
        <v>43671698.909999996</v>
      </c>
      <c r="D10" s="669">
        <v>29857102.969244003</v>
      </c>
      <c r="E10" s="670">
        <f t="shared" si="0"/>
        <v>73528801.879244</v>
      </c>
      <c r="F10" s="669"/>
      <c r="G10" s="669"/>
      <c r="H10" s="671">
        <f t="shared" si="1"/>
        <v>0</v>
      </c>
    </row>
    <row r="11" spans="1:8">
      <c r="A11" s="443">
        <v>4</v>
      </c>
      <c r="B11" s="445" t="s">
        <v>178</v>
      </c>
      <c r="C11" s="669">
        <f>C12+C13</f>
        <v>0</v>
      </c>
      <c r="D11" s="669">
        <f>D12+D13</f>
        <v>0</v>
      </c>
      <c r="E11" s="670">
        <f t="shared" si="0"/>
        <v>0</v>
      </c>
      <c r="F11" s="669">
        <f>F12+F13</f>
        <v>0</v>
      </c>
      <c r="G11" s="669">
        <f>G12+G13</f>
        <v>0</v>
      </c>
      <c r="H11" s="671">
        <f t="shared" si="1"/>
        <v>0</v>
      </c>
    </row>
    <row r="12" spans="1:8">
      <c r="A12" s="443">
        <v>4.0999999999999996</v>
      </c>
      <c r="B12" s="446" t="s">
        <v>813</v>
      </c>
      <c r="C12" s="669"/>
      <c r="D12" s="669"/>
      <c r="E12" s="670">
        <f t="shared" si="0"/>
        <v>0</v>
      </c>
      <c r="F12" s="669"/>
      <c r="G12" s="669"/>
      <c r="H12" s="671">
        <f t="shared" si="1"/>
        <v>0</v>
      </c>
    </row>
    <row r="13" spans="1:8">
      <c r="A13" s="443">
        <v>4.2</v>
      </c>
      <c r="B13" s="446" t="s">
        <v>814</v>
      </c>
      <c r="C13" s="669"/>
      <c r="D13" s="669"/>
      <c r="E13" s="670">
        <f t="shared" si="0"/>
        <v>0</v>
      </c>
      <c r="F13" s="669"/>
      <c r="G13" s="669"/>
      <c r="H13" s="671">
        <f t="shared" si="1"/>
        <v>0</v>
      </c>
    </row>
    <row r="14" spans="1:8">
      <c r="A14" s="443">
        <v>5</v>
      </c>
      <c r="B14" s="447" t="s">
        <v>815</v>
      </c>
      <c r="C14" s="837">
        <f>C15+C16+C17+C23+C24+C25+C26</f>
        <v>14638306.531500001</v>
      </c>
      <c r="D14" s="837">
        <f>D15+D16+D17+D23+D24+D25+D26</f>
        <v>249390227.0508408</v>
      </c>
      <c r="E14" s="838">
        <f t="shared" si="0"/>
        <v>264028533.58234081</v>
      </c>
      <c r="F14" s="837">
        <f>F15+F16+F17+F23+F24+F25+F26</f>
        <v>0</v>
      </c>
      <c r="G14" s="837">
        <f>G15+G16+G17+G23+G24+G25+G26</f>
        <v>0</v>
      </c>
      <c r="H14" s="839">
        <f t="shared" si="1"/>
        <v>0</v>
      </c>
    </row>
    <row r="15" spans="1:8">
      <c r="A15" s="443">
        <v>5.0999999999999996</v>
      </c>
      <c r="B15" s="448" t="s">
        <v>816</v>
      </c>
      <c r="C15" s="669">
        <v>14638306.531500001</v>
      </c>
      <c r="D15" s="669">
        <v>7211060.7976924144</v>
      </c>
      <c r="E15" s="670">
        <f t="shared" si="0"/>
        <v>21849367.329192415</v>
      </c>
      <c r="F15" s="669"/>
      <c r="G15" s="669"/>
      <c r="H15" s="671">
        <f t="shared" si="1"/>
        <v>0</v>
      </c>
    </row>
    <row r="16" spans="1:8">
      <c r="A16" s="443">
        <v>5.2</v>
      </c>
      <c r="B16" s="448" t="s">
        <v>817</v>
      </c>
      <c r="C16" s="669"/>
      <c r="D16" s="669"/>
      <c r="E16" s="670">
        <f t="shared" si="0"/>
        <v>0</v>
      </c>
      <c r="F16" s="669"/>
      <c r="G16" s="669"/>
      <c r="H16" s="671">
        <f t="shared" si="1"/>
        <v>0</v>
      </c>
    </row>
    <row r="17" spans="1:8">
      <c r="A17" s="443">
        <v>5.3</v>
      </c>
      <c r="B17" s="448" t="s">
        <v>818</v>
      </c>
      <c r="C17" s="837">
        <f>C18+C19+C20+C21+C22</f>
        <v>0</v>
      </c>
      <c r="D17" s="837">
        <f>D18+D19+D20+D21+D22</f>
        <v>226241947.87619218</v>
      </c>
      <c r="E17" s="838">
        <f t="shared" si="0"/>
        <v>226241947.87619218</v>
      </c>
      <c r="F17" s="669"/>
      <c r="G17" s="669"/>
      <c r="H17" s="671">
        <f t="shared" si="1"/>
        <v>0</v>
      </c>
    </row>
    <row r="18" spans="1:8">
      <c r="A18" s="443" t="s">
        <v>180</v>
      </c>
      <c r="B18" s="449" t="s">
        <v>819</v>
      </c>
      <c r="C18" s="669"/>
      <c r="D18" s="669">
        <v>33022168.35527147</v>
      </c>
      <c r="E18" s="670">
        <f t="shared" si="0"/>
        <v>33022168.35527147</v>
      </c>
      <c r="F18" s="669"/>
      <c r="G18" s="669"/>
      <c r="H18" s="671">
        <f t="shared" si="1"/>
        <v>0</v>
      </c>
    </row>
    <row r="19" spans="1:8">
      <c r="A19" s="443" t="s">
        <v>181</v>
      </c>
      <c r="B19" s="450" t="s">
        <v>820</v>
      </c>
      <c r="C19" s="669"/>
      <c r="D19" s="669">
        <v>163275096.73259524</v>
      </c>
      <c r="E19" s="670">
        <f t="shared" si="0"/>
        <v>163275096.73259524</v>
      </c>
      <c r="F19" s="669"/>
      <c r="G19" s="669"/>
      <c r="H19" s="671">
        <f t="shared" si="1"/>
        <v>0</v>
      </c>
    </row>
    <row r="20" spans="1:8">
      <c r="A20" s="443" t="s">
        <v>182</v>
      </c>
      <c r="B20" s="450" t="s">
        <v>821</v>
      </c>
      <c r="C20" s="669"/>
      <c r="D20" s="669">
        <v>162953.9978842095</v>
      </c>
      <c r="E20" s="670">
        <f t="shared" si="0"/>
        <v>162953.9978842095</v>
      </c>
      <c r="F20" s="669"/>
      <c r="G20" s="669"/>
      <c r="H20" s="671">
        <f t="shared" si="1"/>
        <v>0</v>
      </c>
    </row>
    <row r="21" spans="1:8">
      <c r="A21" s="443" t="s">
        <v>183</v>
      </c>
      <c r="B21" s="450" t="s">
        <v>822</v>
      </c>
      <c r="C21" s="669"/>
      <c r="D21" s="669">
        <v>29781728.790441271</v>
      </c>
      <c r="E21" s="670">
        <f t="shared" si="0"/>
        <v>29781728.790441271</v>
      </c>
      <c r="F21" s="669"/>
      <c r="G21" s="669"/>
      <c r="H21" s="671">
        <f t="shared" si="1"/>
        <v>0</v>
      </c>
    </row>
    <row r="22" spans="1:8">
      <c r="A22" s="443" t="s">
        <v>184</v>
      </c>
      <c r="B22" s="450" t="s">
        <v>539</v>
      </c>
      <c r="C22" s="669"/>
      <c r="D22" s="669">
        <v>0</v>
      </c>
      <c r="E22" s="670">
        <f t="shared" si="0"/>
        <v>0</v>
      </c>
      <c r="F22" s="669"/>
      <c r="G22" s="669"/>
      <c r="H22" s="671">
        <f t="shared" si="1"/>
        <v>0</v>
      </c>
    </row>
    <row r="23" spans="1:8">
      <c r="A23" s="443">
        <v>5.4</v>
      </c>
      <c r="B23" s="448" t="s">
        <v>823</v>
      </c>
      <c r="C23" s="669"/>
      <c r="D23" s="669">
        <v>15937218.376956187</v>
      </c>
      <c r="E23" s="670">
        <f t="shared" si="0"/>
        <v>15937218.376956187</v>
      </c>
      <c r="F23" s="669"/>
      <c r="G23" s="669"/>
      <c r="H23" s="671">
        <f t="shared" si="1"/>
        <v>0</v>
      </c>
    </row>
    <row r="24" spans="1:8">
      <c r="A24" s="443">
        <v>5.5</v>
      </c>
      <c r="B24" s="448" t="s">
        <v>824</v>
      </c>
      <c r="C24" s="669"/>
      <c r="D24" s="669">
        <v>0</v>
      </c>
      <c r="E24" s="670">
        <f t="shared" si="0"/>
        <v>0</v>
      </c>
      <c r="F24" s="669"/>
      <c r="G24" s="669"/>
      <c r="H24" s="671">
        <f t="shared" si="1"/>
        <v>0</v>
      </c>
    </row>
    <row r="25" spans="1:8">
      <c r="A25" s="443">
        <v>5.6</v>
      </c>
      <c r="B25" s="448" t="s">
        <v>825</v>
      </c>
      <c r="C25" s="669"/>
      <c r="D25" s="669">
        <v>0</v>
      </c>
      <c r="E25" s="670">
        <f t="shared" si="0"/>
        <v>0</v>
      </c>
      <c r="F25" s="669"/>
      <c r="G25" s="669"/>
      <c r="H25" s="671">
        <f t="shared" si="1"/>
        <v>0</v>
      </c>
    </row>
    <row r="26" spans="1:8">
      <c r="A26" s="443">
        <v>5.7</v>
      </c>
      <c r="B26" s="448" t="s">
        <v>539</v>
      </c>
      <c r="C26" s="669"/>
      <c r="D26" s="669">
        <v>0</v>
      </c>
      <c r="E26" s="670">
        <f t="shared" si="0"/>
        <v>0</v>
      </c>
      <c r="F26" s="669"/>
      <c r="G26" s="669"/>
      <c r="H26" s="671">
        <f t="shared" si="1"/>
        <v>0</v>
      </c>
    </row>
    <row r="27" spans="1:8">
      <c r="A27" s="443">
        <v>6</v>
      </c>
      <c r="B27" s="447" t="s">
        <v>826</v>
      </c>
      <c r="C27" s="669">
        <v>38364</v>
      </c>
      <c r="D27" s="669">
        <v>0</v>
      </c>
      <c r="E27" s="670">
        <f t="shared" si="0"/>
        <v>38364</v>
      </c>
      <c r="F27" s="669"/>
      <c r="G27" s="669"/>
      <c r="H27" s="671">
        <f t="shared" si="1"/>
        <v>0</v>
      </c>
    </row>
    <row r="28" spans="1:8">
      <c r="A28" s="443">
        <v>7</v>
      </c>
      <c r="B28" s="447" t="s">
        <v>827</v>
      </c>
      <c r="C28" s="669">
        <v>46740375.279999994</v>
      </c>
      <c r="D28" s="669">
        <v>52187248.903568</v>
      </c>
      <c r="E28" s="670">
        <f t="shared" si="0"/>
        <v>98927624.183568001</v>
      </c>
      <c r="F28" s="669"/>
      <c r="G28" s="669"/>
      <c r="H28" s="671">
        <f t="shared" si="1"/>
        <v>0</v>
      </c>
    </row>
    <row r="29" spans="1:8">
      <c r="A29" s="443">
        <v>8</v>
      </c>
      <c r="B29" s="447" t="s">
        <v>828</v>
      </c>
      <c r="C29" s="669"/>
      <c r="D29" s="669"/>
      <c r="E29" s="670">
        <f t="shared" si="0"/>
        <v>0</v>
      </c>
      <c r="F29" s="669"/>
      <c r="G29" s="669"/>
      <c r="H29" s="671">
        <f t="shared" si="1"/>
        <v>0</v>
      </c>
    </row>
    <row r="30" spans="1:8">
      <c r="A30" s="443">
        <v>9</v>
      </c>
      <c r="B30" s="445" t="s">
        <v>185</v>
      </c>
      <c r="C30" s="669">
        <f>C31+C32+C33+C34+C35+C36+C37</f>
        <v>0</v>
      </c>
      <c r="D30" s="669">
        <f>D31+D32+D33+D34+D35+D36+D37</f>
        <v>0</v>
      </c>
      <c r="E30" s="670">
        <f t="shared" si="0"/>
        <v>0</v>
      </c>
      <c r="F30" s="669">
        <f>F31+F32+F33+F34+F35+F36+F37</f>
        <v>0</v>
      </c>
      <c r="G30" s="669">
        <f>G31+G32+G33+G34+G35+G36+G37</f>
        <v>0</v>
      </c>
      <c r="H30" s="671">
        <f t="shared" si="1"/>
        <v>0</v>
      </c>
    </row>
    <row r="31" spans="1:8" ht="27.6">
      <c r="A31" s="443">
        <v>9.1</v>
      </c>
      <c r="B31" s="446" t="s">
        <v>829</v>
      </c>
      <c r="C31" s="669"/>
      <c r="D31" s="669"/>
      <c r="E31" s="670">
        <f t="shared" si="0"/>
        <v>0</v>
      </c>
      <c r="F31" s="669"/>
      <c r="G31" s="669"/>
      <c r="H31" s="671">
        <f t="shared" si="1"/>
        <v>0</v>
      </c>
    </row>
    <row r="32" spans="1:8" ht="27.6">
      <c r="A32" s="443">
        <v>9.1999999999999993</v>
      </c>
      <c r="B32" s="446" t="s">
        <v>830</v>
      </c>
      <c r="C32" s="669"/>
      <c r="D32" s="669"/>
      <c r="E32" s="670">
        <f t="shared" si="0"/>
        <v>0</v>
      </c>
      <c r="F32" s="669"/>
      <c r="G32" s="669"/>
      <c r="H32" s="671">
        <f t="shared" si="1"/>
        <v>0</v>
      </c>
    </row>
    <row r="33" spans="1:8" ht="27.6">
      <c r="A33" s="443">
        <v>9.3000000000000007</v>
      </c>
      <c r="B33" s="446" t="s">
        <v>831</v>
      </c>
      <c r="C33" s="669"/>
      <c r="D33" s="669"/>
      <c r="E33" s="670">
        <f t="shared" si="0"/>
        <v>0</v>
      </c>
      <c r="F33" s="669"/>
      <c r="G33" s="669"/>
      <c r="H33" s="671">
        <f t="shared" si="1"/>
        <v>0</v>
      </c>
    </row>
    <row r="34" spans="1:8">
      <c r="A34" s="443">
        <v>9.4</v>
      </c>
      <c r="B34" s="446" t="s">
        <v>832</v>
      </c>
      <c r="C34" s="669"/>
      <c r="D34" s="669"/>
      <c r="E34" s="670">
        <f t="shared" si="0"/>
        <v>0</v>
      </c>
      <c r="F34" s="669"/>
      <c r="G34" s="669"/>
      <c r="H34" s="671">
        <f t="shared" si="1"/>
        <v>0</v>
      </c>
    </row>
    <row r="35" spans="1:8">
      <c r="A35" s="443">
        <v>9.5</v>
      </c>
      <c r="B35" s="446" t="s">
        <v>833</v>
      </c>
      <c r="C35" s="669"/>
      <c r="D35" s="669"/>
      <c r="E35" s="670">
        <f t="shared" si="0"/>
        <v>0</v>
      </c>
      <c r="F35" s="669"/>
      <c r="G35" s="669"/>
      <c r="H35" s="671">
        <f t="shared" si="1"/>
        <v>0</v>
      </c>
    </row>
    <row r="36" spans="1:8" ht="27.6">
      <c r="A36" s="443">
        <v>9.6</v>
      </c>
      <c r="B36" s="446" t="s">
        <v>834</v>
      </c>
      <c r="C36" s="669"/>
      <c r="D36" s="669"/>
      <c r="E36" s="670">
        <f t="shared" si="0"/>
        <v>0</v>
      </c>
      <c r="F36" s="669"/>
      <c r="G36" s="669"/>
      <c r="H36" s="671">
        <f t="shared" si="1"/>
        <v>0</v>
      </c>
    </row>
    <row r="37" spans="1:8" ht="27.6">
      <c r="A37" s="443">
        <v>9.6999999999999993</v>
      </c>
      <c r="B37" s="446" t="s">
        <v>835</v>
      </c>
      <c r="C37" s="669"/>
      <c r="D37" s="669"/>
      <c r="E37" s="670">
        <f t="shared" si="0"/>
        <v>0</v>
      </c>
      <c r="F37" s="669"/>
      <c r="G37" s="669"/>
      <c r="H37" s="671">
        <f t="shared" si="1"/>
        <v>0</v>
      </c>
    </row>
    <row r="38" spans="1:8">
      <c r="A38" s="443">
        <v>10</v>
      </c>
      <c r="B38" s="451" t="s">
        <v>836</v>
      </c>
      <c r="C38" s="669">
        <f>C39+C40+C41+C42</f>
        <v>0</v>
      </c>
      <c r="D38" s="669">
        <f>D39+D40+D41+D42</f>
        <v>0</v>
      </c>
      <c r="E38" s="670">
        <f t="shared" si="0"/>
        <v>0</v>
      </c>
      <c r="F38" s="669">
        <f>F39+F40+F41+F42</f>
        <v>0</v>
      </c>
      <c r="G38" s="669">
        <f>G39+G40+G41+G42</f>
        <v>0</v>
      </c>
      <c r="H38" s="671">
        <f t="shared" si="1"/>
        <v>0</v>
      </c>
    </row>
    <row r="39" spans="1:8">
      <c r="A39" s="443">
        <v>10.1</v>
      </c>
      <c r="B39" s="446" t="s">
        <v>837</v>
      </c>
      <c r="C39" s="669"/>
      <c r="D39" s="669"/>
      <c r="E39" s="670">
        <f t="shared" si="0"/>
        <v>0</v>
      </c>
      <c r="F39" s="669"/>
      <c r="G39" s="669"/>
      <c r="H39" s="671">
        <f t="shared" si="1"/>
        <v>0</v>
      </c>
    </row>
    <row r="40" spans="1:8" ht="27.6">
      <c r="A40" s="443">
        <v>10.199999999999999</v>
      </c>
      <c r="B40" s="446" t="s">
        <v>838</v>
      </c>
      <c r="C40" s="669"/>
      <c r="D40" s="669"/>
      <c r="E40" s="670">
        <f t="shared" si="0"/>
        <v>0</v>
      </c>
      <c r="F40" s="669"/>
      <c r="G40" s="669"/>
      <c r="H40" s="671">
        <f t="shared" si="1"/>
        <v>0</v>
      </c>
    </row>
    <row r="41" spans="1:8" ht="27.6">
      <c r="A41" s="443">
        <v>10.3</v>
      </c>
      <c r="B41" s="446" t="s">
        <v>839</v>
      </c>
      <c r="C41" s="669"/>
      <c r="D41" s="669"/>
      <c r="E41" s="670">
        <f t="shared" si="0"/>
        <v>0</v>
      </c>
      <c r="F41" s="669"/>
      <c r="G41" s="669"/>
      <c r="H41" s="671">
        <f t="shared" si="1"/>
        <v>0</v>
      </c>
    </row>
    <row r="42" spans="1:8" ht="27.6">
      <c r="A42" s="443">
        <v>10.4</v>
      </c>
      <c r="B42" s="446" t="s">
        <v>840</v>
      </c>
      <c r="C42" s="669"/>
      <c r="D42" s="669"/>
      <c r="E42" s="670">
        <f t="shared" si="0"/>
        <v>0</v>
      </c>
      <c r="F42" s="669"/>
      <c r="G42" s="669"/>
      <c r="H42" s="671">
        <f t="shared" si="1"/>
        <v>0</v>
      </c>
    </row>
    <row r="43" spans="1:8">
      <c r="A43" s="443">
        <v>11</v>
      </c>
      <c r="B43" s="452" t="s">
        <v>186</v>
      </c>
      <c r="C43" s="669"/>
      <c r="D43" s="669"/>
      <c r="E43" s="670">
        <f t="shared" si="0"/>
        <v>0</v>
      </c>
      <c r="F43" s="669"/>
      <c r="G43" s="669"/>
      <c r="H43" s="671">
        <f t="shared" si="1"/>
        <v>0</v>
      </c>
    </row>
    <row r="44" spans="1:8">
      <c r="C44" s="454"/>
      <c r="D44" s="454"/>
      <c r="E44" s="454"/>
      <c r="F44" s="454"/>
      <c r="G44" s="454"/>
      <c r="H44" s="454"/>
    </row>
    <row r="45" spans="1:8">
      <c r="C45" s="454"/>
      <c r="D45" s="454"/>
      <c r="E45" s="454"/>
      <c r="F45" s="454"/>
      <c r="G45" s="454"/>
      <c r="H45" s="454"/>
    </row>
    <row r="46" spans="1:8">
      <c r="C46" s="454"/>
      <c r="D46" s="454"/>
      <c r="E46" s="454"/>
      <c r="F46" s="454"/>
      <c r="G46" s="454"/>
      <c r="H46" s="454"/>
    </row>
    <row r="47" spans="1:8">
      <c r="C47" s="454"/>
      <c r="D47" s="454"/>
      <c r="E47" s="454"/>
      <c r="F47" s="454"/>
      <c r="G47" s="454"/>
      <c r="H47" s="4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09375" defaultRowHeight="13.8"/>
  <cols>
    <col min="1" max="1" width="9.5546875" style="2" bestFit="1" customWidth="1"/>
    <col min="2" max="2" width="93.5546875" style="2" customWidth="1"/>
    <col min="3" max="4" width="12.6640625" style="2" customWidth="1"/>
    <col min="5" max="5" width="10.88671875" style="12" bestFit="1" customWidth="1"/>
    <col min="6" max="11" width="9.6640625" style="12" customWidth="1"/>
    <col min="12" max="16384" width="9.109375" style="12"/>
  </cols>
  <sheetData>
    <row r="1" spans="1:8">
      <c r="A1" s="17" t="s">
        <v>108</v>
      </c>
      <c r="B1" s="623" t="str">
        <f>'1. key ratios'!B1</f>
        <v>სს იშბანკი საქართველო</v>
      </c>
      <c r="C1" s="16"/>
      <c r="D1" s="218"/>
    </row>
    <row r="2" spans="1:8">
      <c r="A2" s="17" t="s">
        <v>109</v>
      </c>
      <c r="B2" s="624">
        <f>'1. key ratios'!B2</f>
        <v>45199</v>
      </c>
      <c r="C2" s="29"/>
      <c r="D2" s="18"/>
      <c r="E2" s="11"/>
      <c r="F2" s="11"/>
      <c r="G2" s="11"/>
      <c r="H2" s="11"/>
    </row>
    <row r="3" spans="1:8">
      <c r="A3" s="17"/>
      <c r="B3" s="16"/>
      <c r="C3" s="29"/>
      <c r="D3" s="18"/>
      <c r="E3" s="11"/>
      <c r="F3" s="11"/>
      <c r="G3" s="11"/>
      <c r="H3" s="11"/>
    </row>
    <row r="4" spans="1:8" ht="15" customHeight="1" thickBot="1">
      <c r="A4" s="151" t="s">
        <v>253</v>
      </c>
      <c r="B4" s="152" t="s">
        <v>107</v>
      </c>
      <c r="C4" s="153" t="s">
        <v>87</v>
      </c>
    </row>
    <row r="5" spans="1:8" ht="15" customHeight="1">
      <c r="A5" s="149" t="s">
        <v>25</v>
      </c>
      <c r="B5" s="150"/>
      <c r="C5" s="840" t="str">
        <f>INT((MONTH($B$2))/3)&amp;"Q"&amp;"-"&amp;YEAR($B$2)</f>
        <v>3Q-2023</v>
      </c>
      <c r="D5" s="840" t="str">
        <f>IF(INT(MONTH($B$2))=3, "4"&amp;"Q"&amp;"-"&amp;YEAR($B$2)-1, IF(INT(MONTH($B$2))=6, "1"&amp;"Q"&amp;"-"&amp;YEAR($B$2), IF(INT(MONTH($B$2))=9, "2"&amp;"Q"&amp;"-"&amp;YEAR($B$2),IF(INT(MONTH($B$2))=12, "3"&amp;"Q"&amp;"-"&amp;YEAR($B$2), 0))))</f>
        <v>2Q-2023</v>
      </c>
      <c r="E5" s="840" t="str">
        <f>IF(INT(MONTH($B$2))=3, "3"&amp;"Q"&amp;"-"&amp;YEAR($B$2)-1, IF(INT(MONTH($B$2))=6, "4"&amp;"Q"&amp;"-"&amp;YEAR($B$2)-1, IF(INT(MONTH($B$2))=9, "1"&amp;"Q"&amp;"-"&amp;YEAR($B$2),IF(INT(MONTH($B$2))=12, "2"&amp;"Q"&amp;"-"&amp;YEAR($B$2), 0))))</f>
        <v>1Q-2023</v>
      </c>
      <c r="F5" s="840" t="str">
        <f>IF(INT(MONTH($B$2))=3, "2"&amp;"Q"&amp;"-"&amp;YEAR($B$2)-1, IF(INT(MONTH($B$2))=6, "3"&amp;"Q"&amp;"-"&amp;YEAR($B$2)-1, IF(INT(MONTH($B$2))=9, "4"&amp;"Q"&amp;"-"&amp;YEAR($B$2)-1,IF(INT(MONTH($B$2))=12, "1"&amp;"Q"&amp;"-"&amp;YEAR($B$2), 0))))</f>
        <v>4Q-2022</v>
      </c>
      <c r="G5" s="840" t="str">
        <f>IF(INT(MONTH($B$2))=3, "1"&amp;"Q"&amp;"-"&amp;YEAR($B$2)-1, IF(INT(MONTH($B$2))=6, "2"&amp;"Q"&amp;"-"&amp;YEAR($B$2)-1, IF(INT(MONTH($B$2))=9, "3"&amp;"Q"&amp;"-"&amp;YEAR($B$2)-1,IF(INT(MONTH($B$2))=12, "4"&amp;"Q"&amp;"-"&amp;YEAR($B$2)-1, 0))))</f>
        <v>3Q-2022</v>
      </c>
    </row>
    <row r="6" spans="1:8" ht="15" customHeight="1">
      <c r="A6" s="254">
        <v>1</v>
      </c>
      <c r="B6" s="308" t="s">
        <v>112</v>
      </c>
      <c r="C6" s="674">
        <f>C7+C9+C10</f>
        <v>430805894.93980312</v>
      </c>
      <c r="D6" s="675">
        <f>D7+D9+D10</f>
        <v>389461201.18810642</v>
      </c>
      <c r="E6" s="676">
        <f t="shared" ref="E6:G6" si="0">E7+E9+E10</f>
        <v>419845683.75233501</v>
      </c>
      <c r="F6" s="674">
        <f t="shared" si="0"/>
        <v>0</v>
      </c>
      <c r="G6" s="677">
        <f t="shared" si="0"/>
        <v>0</v>
      </c>
    </row>
    <row r="7" spans="1:8" ht="15" customHeight="1">
      <c r="A7" s="254">
        <v>1.1000000000000001</v>
      </c>
      <c r="B7" s="255" t="s">
        <v>435</v>
      </c>
      <c r="C7" s="672">
        <v>378922849.31612635</v>
      </c>
      <c r="D7" s="311">
        <v>340212779.61659187</v>
      </c>
      <c r="E7" s="256">
        <v>368466415.49733502</v>
      </c>
      <c r="F7" s="256"/>
      <c r="G7" s="312"/>
    </row>
    <row r="8" spans="1:8" ht="27.6">
      <c r="A8" s="254" t="s">
        <v>157</v>
      </c>
      <c r="B8" s="257" t="s">
        <v>250</v>
      </c>
      <c r="C8" s="672"/>
      <c r="D8" s="311"/>
      <c r="E8" s="256"/>
      <c r="F8" s="256"/>
      <c r="G8" s="312"/>
    </row>
    <row r="9" spans="1:8" ht="15" customHeight="1">
      <c r="A9" s="254">
        <v>1.2</v>
      </c>
      <c r="B9" s="255" t="s">
        <v>21</v>
      </c>
      <c r="C9" s="672">
        <v>51883045.623676777</v>
      </c>
      <c r="D9" s="311">
        <v>49248421.571514562</v>
      </c>
      <c r="E9" s="256">
        <v>51379268.254999988</v>
      </c>
      <c r="F9" s="256"/>
      <c r="G9" s="312"/>
    </row>
    <row r="10" spans="1:8" ht="15" customHeight="1">
      <c r="A10" s="254">
        <v>1.3</v>
      </c>
      <c r="B10" s="309" t="s">
        <v>74</v>
      </c>
      <c r="C10" s="673"/>
      <c r="D10" s="311"/>
      <c r="E10" s="258"/>
      <c r="F10" s="256"/>
      <c r="G10" s="313"/>
    </row>
    <row r="11" spans="1:8" ht="15" customHeight="1">
      <c r="A11" s="254">
        <v>2</v>
      </c>
      <c r="B11" s="308" t="s">
        <v>113</v>
      </c>
      <c r="C11" s="672">
        <v>1428117.273186754</v>
      </c>
      <c r="D11" s="311">
        <v>3081632.0329861687</v>
      </c>
      <c r="E11" s="256">
        <v>2782348.8581453227</v>
      </c>
      <c r="F11" s="256"/>
      <c r="G11" s="312"/>
    </row>
    <row r="12" spans="1:8" ht="15" customHeight="1">
      <c r="A12" s="268">
        <v>3</v>
      </c>
      <c r="B12" s="310" t="s">
        <v>111</v>
      </c>
      <c r="C12" s="673">
        <v>43275000</v>
      </c>
      <c r="D12" s="311">
        <v>43275000</v>
      </c>
      <c r="E12" s="258">
        <v>43275000</v>
      </c>
      <c r="F12" s="256"/>
      <c r="G12" s="313"/>
    </row>
    <row r="13" spans="1:8" ht="15" customHeight="1" thickBot="1">
      <c r="A13" s="86">
        <v>4</v>
      </c>
      <c r="B13" s="314" t="s">
        <v>158</v>
      </c>
      <c r="C13" s="678">
        <f>C6+C11+C12</f>
        <v>475509012.21298987</v>
      </c>
      <c r="D13" s="679">
        <f>D6+D11+D12</f>
        <v>435817833.22109258</v>
      </c>
      <c r="E13" s="680">
        <f t="shared" ref="E13:G13" si="1">E6+E11+E12</f>
        <v>465903032.61048031</v>
      </c>
      <c r="F13" s="678">
        <f t="shared" si="1"/>
        <v>0</v>
      </c>
      <c r="G13" s="681">
        <f t="shared" si="1"/>
        <v>0</v>
      </c>
    </row>
    <row r="14" spans="1:8">
      <c r="B14" s="23"/>
    </row>
    <row r="15" spans="1:8">
      <c r="B15" s="67"/>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4.4"/>
  <cols>
    <col min="1" max="1" width="9.5546875" style="2" bestFit="1" customWidth="1"/>
    <col min="2" max="2" width="58.88671875" style="2" customWidth="1"/>
    <col min="3" max="3" width="34.33203125" style="2" customWidth="1"/>
  </cols>
  <sheetData>
    <row r="1" spans="1:8">
      <c r="A1" s="2" t="s">
        <v>108</v>
      </c>
      <c r="B1" s="623" t="str">
        <f>'1. key ratios'!B1</f>
        <v>სს იშბანკი საქართველო</v>
      </c>
    </row>
    <row r="2" spans="1:8">
      <c r="A2" s="2" t="s">
        <v>109</v>
      </c>
      <c r="B2" s="624">
        <f>'1. key ratios'!B2</f>
        <v>45199</v>
      </c>
    </row>
    <row r="4" spans="1:8" ht="28.2" thickBot="1">
      <c r="A4" s="165" t="s">
        <v>254</v>
      </c>
      <c r="B4" s="31" t="s">
        <v>91</v>
      </c>
      <c r="C4" s="13"/>
    </row>
    <row r="5" spans="1:8">
      <c r="A5" s="10"/>
      <c r="B5" s="303" t="s">
        <v>92</v>
      </c>
      <c r="C5" s="318" t="s">
        <v>448</v>
      </c>
    </row>
    <row r="6" spans="1:8">
      <c r="A6" s="14">
        <v>1</v>
      </c>
      <c r="B6" s="682" t="s">
        <v>958</v>
      </c>
      <c r="C6" s="683" t="s">
        <v>961</v>
      </c>
    </row>
    <row r="7" spans="1:8">
      <c r="A7" s="14">
        <v>2</v>
      </c>
      <c r="B7" s="682" t="s">
        <v>962</v>
      </c>
      <c r="C7" s="683" t="s">
        <v>963</v>
      </c>
    </row>
    <row r="8" spans="1:8">
      <c r="A8" s="14">
        <v>3</v>
      </c>
      <c r="B8" s="682" t="s">
        <v>964</v>
      </c>
      <c r="C8" s="683" t="s">
        <v>963</v>
      </c>
    </row>
    <row r="9" spans="1:8">
      <c r="A9" s="14">
        <v>4</v>
      </c>
      <c r="B9" s="682" t="s">
        <v>981</v>
      </c>
      <c r="C9" s="683" t="s">
        <v>963</v>
      </c>
    </row>
    <row r="10" spans="1:8">
      <c r="A10" s="14">
        <v>5</v>
      </c>
      <c r="B10" s="682" t="s">
        <v>965</v>
      </c>
      <c r="C10" s="683" t="s">
        <v>966</v>
      </c>
    </row>
    <row r="11" spans="1:8">
      <c r="A11" s="14">
        <v>6</v>
      </c>
      <c r="B11" s="682" t="s">
        <v>967</v>
      </c>
      <c r="C11" s="683" t="s">
        <v>966</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75"/>
      <c r="C16" s="876"/>
    </row>
    <row r="17" spans="1:3" ht="55.2">
      <c r="A17" s="14"/>
      <c r="B17" s="304" t="s">
        <v>93</v>
      </c>
      <c r="C17" s="319" t="s">
        <v>449</v>
      </c>
    </row>
    <row r="18" spans="1:3">
      <c r="A18" s="14">
        <v>1</v>
      </c>
      <c r="B18" s="684" t="s">
        <v>959</v>
      </c>
      <c r="C18" s="685" t="s">
        <v>968</v>
      </c>
    </row>
    <row r="19" spans="1:3">
      <c r="A19" s="14">
        <v>2</v>
      </c>
      <c r="B19" s="684" t="s">
        <v>969</v>
      </c>
      <c r="C19" s="685" t="s">
        <v>970</v>
      </c>
    </row>
    <row r="20" spans="1:3">
      <c r="A20" s="14">
        <v>3</v>
      </c>
      <c r="B20" s="684" t="s">
        <v>982</v>
      </c>
      <c r="C20" s="685" t="s">
        <v>970</v>
      </c>
    </row>
    <row r="21" spans="1:3">
      <c r="A21" s="14">
        <v>4</v>
      </c>
      <c r="B21" s="684" t="s">
        <v>971</v>
      </c>
      <c r="C21" s="685" t="s">
        <v>972</v>
      </c>
    </row>
    <row r="22" spans="1:3">
      <c r="A22" s="14">
        <v>5</v>
      </c>
      <c r="B22" s="684" t="s">
        <v>973</v>
      </c>
      <c r="C22" s="685" t="s">
        <v>974</v>
      </c>
    </row>
    <row r="23" spans="1:3">
      <c r="A23" s="14">
        <v>6</v>
      </c>
      <c r="B23" s="27"/>
      <c r="C23" s="316"/>
    </row>
    <row r="24" spans="1:3">
      <c r="A24" s="14">
        <v>7</v>
      </c>
      <c r="B24" s="27"/>
      <c r="C24" s="316"/>
    </row>
    <row r="25" spans="1:3">
      <c r="A25" s="14">
        <v>8</v>
      </c>
      <c r="B25" s="27"/>
      <c r="C25" s="316"/>
    </row>
    <row r="26" spans="1:3">
      <c r="A26" s="14">
        <v>9</v>
      </c>
      <c r="B26" s="27"/>
      <c r="C26" s="316"/>
    </row>
    <row r="27" spans="1:3" ht="15.75" customHeight="1">
      <c r="A27" s="14">
        <v>10</v>
      </c>
      <c r="B27" s="27"/>
      <c r="C27" s="317"/>
    </row>
    <row r="28" spans="1:3" ht="15.75" customHeight="1">
      <c r="A28" s="14"/>
      <c r="B28" s="27"/>
      <c r="C28" s="28"/>
    </row>
    <row r="29" spans="1:3" ht="30" customHeight="1">
      <c r="A29" s="14"/>
      <c r="B29" s="877" t="s">
        <v>94</v>
      </c>
      <c r="C29" s="878"/>
    </row>
    <row r="30" spans="1:3">
      <c r="A30" s="14">
        <v>1</v>
      </c>
      <c r="B30" s="682" t="s">
        <v>975</v>
      </c>
      <c r="C30" s="686">
        <v>1</v>
      </c>
    </row>
    <row r="31" spans="1:3" ht="15.75" customHeight="1">
      <c r="A31" s="14"/>
      <c r="B31" s="32"/>
      <c r="C31" s="33"/>
    </row>
    <row r="32" spans="1:3" ht="29.25" customHeight="1">
      <c r="A32" s="14"/>
      <c r="B32" s="877" t="s">
        <v>174</v>
      </c>
      <c r="C32" s="878"/>
    </row>
    <row r="33" spans="1:3">
      <c r="A33" s="14">
        <v>1</v>
      </c>
      <c r="B33" s="682" t="s">
        <v>976</v>
      </c>
      <c r="C33" s="687">
        <v>0.38200000000000001</v>
      </c>
    </row>
    <row r="34" spans="1:3" ht="15" thickBot="1">
      <c r="A34" s="15"/>
      <c r="B34" s="34" t="s">
        <v>977</v>
      </c>
      <c r="C34" s="688">
        <v>0.28089999999999998</v>
      </c>
    </row>
  </sheetData>
  <mergeCells count="3">
    <mergeCell ref="B16:C16"/>
    <mergeCell ref="B32:C32"/>
    <mergeCell ref="B29:C29"/>
  </mergeCells>
  <dataValidations disablePrompts="1"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4.4"/>
  <cols>
    <col min="1" max="1" width="9.5546875" style="2" bestFit="1" customWidth="1"/>
    <col min="2" max="2" width="47.5546875" style="2" customWidth="1"/>
    <col min="3" max="3" width="28" style="2" customWidth="1"/>
    <col min="4" max="4" width="25.5546875" style="2" customWidth="1"/>
    <col min="5" max="5" width="18.88671875" style="2" customWidth="1"/>
    <col min="6" max="6" width="12" bestFit="1" customWidth="1"/>
    <col min="7" max="7" width="12.5546875" bestFit="1" customWidth="1"/>
  </cols>
  <sheetData>
    <row r="1" spans="1:7">
      <c r="A1" s="17" t="s">
        <v>108</v>
      </c>
      <c r="B1" s="623" t="str">
        <f>'1. key ratios'!B1</f>
        <v>სს იშბანკი საქართველო</v>
      </c>
    </row>
    <row r="2" spans="1:7" s="21" customFormat="1" ht="15.75" customHeight="1">
      <c r="A2" s="21" t="s">
        <v>109</v>
      </c>
      <c r="B2" s="624">
        <f>'1. key ratios'!B2</f>
        <v>45199</v>
      </c>
    </row>
    <row r="3" spans="1:7" s="21" customFormat="1" ht="15.75" customHeight="1"/>
    <row r="4" spans="1:7" s="21" customFormat="1" ht="15.75" customHeight="1" thickBot="1">
      <c r="A4" s="166" t="s">
        <v>255</v>
      </c>
      <c r="B4" s="167" t="s">
        <v>168</v>
      </c>
      <c r="C4" s="131"/>
      <c r="D4" s="131"/>
      <c r="E4" s="132" t="s">
        <v>87</v>
      </c>
    </row>
    <row r="5" spans="1:7" s="82" customFormat="1" ht="17.399999999999999" customHeight="1">
      <c r="A5" s="230"/>
      <c r="B5" s="231"/>
      <c r="C5" s="130" t="s">
        <v>0</v>
      </c>
      <c r="D5" s="130" t="s">
        <v>1</v>
      </c>
      <c r="E5" s="232" t="s">
        <v>2</v>
      </c>
    </row>
    <row r="6" spans="1:7" s="98" customFormat="1" ht="14.4" customHeight="1">
      <c r="A6" s="233"/>
      <c r="B6" s="879" t="s">
        <v>144</v>
      </c>
      <c r="C6" s="879" t="s">
        <v>854</v>
      </c>
      <c r="D6" s="880" t="s">
        <v>143</v>
      </c>
      <c r="E6" s="881"/>
      <c r="G6"/>
    </row>
    <row r="7" spans="1:7" s="98" customFormat="1" ht="99.6" customHeight="1">
      <c r="A7" s="233"/>
      <c r="B7" s="879"/>
      <c r="C7" s="879"/>
      <c r="D7" s="228" t="s">
        <v>142</v>
      </c>
      <c r="E7" s="229" t="s">
        <v>353</v>
      </c>
      <c r="G7"/>
    </row>
    <row r="8" spans="1:7" s="98" customFormat="1" ht="22.5" customHeight="1">
      <c r="A8" s="456">
        <v>1</v>
      </c>
      <c r="B8" s="397" t="s">
        <v>841</v>
      </c>
      <c r="C8" s="689">
        <f>SUM(C9:C11)</f>
        <v>126375595.30674212</v>
      </c>
      <c r="D8" s="690">
        <f>SUM(D9:D11)</f>
        <v>0</v>
      </c>
      <c r="E8" s="691">
        <f>SUM(E9:E11)</f>
        <v>126375595.30674212</v>
      </c>
      <c r="G8"/>
    </row>
    <row r="9" spans="1:7" s="98" customFormat="1">
      <c r="A9" s="456">
        <v>1.1000000000000001</v>
      </c>
      <c r="B9" s="398" t="s">
        <v>96</v>
      </c>
      <c r="C9" s="690">
        <f>'2. SOFP'!E8</f>
        <v>2270470.7790999999</v>
      </c>
      <c r="D9" s="690"/>
      <c r="E9" s="692">
        <f t="shared" ref="E9:E15" si="0">C9-D9</f>
        <v>2270470.7790999999</v>
      </c>
      <c r="G9"/>
    </row>
    <row r="10" spans="1:7" s="98" customFormat="1">
      <c r="A10" s="456">
        <v>1.2</v>
      </c>
      <c r="B10" s="398" t="s">
        <v>97</v>
      </c>
      <c r="C10" s="690">
        <f>'2. SOFP'!E9</f>
        <v>79401790.668326303</v>
      </c>
      <c r="D10" s="690"/>
      <c r="E10" s="692">
        <f t="shared" si="0"/>
        <v>79401790.668326303</v>
      </c>
      <c r="G10"/>
    </row>
    <row r="11" spans="1:7" s="98" customFormat="1">
      <c r="A11" s="456">
        <v>1.3</v>
      </c>
      <c r="B11" s="398" t="s">
        <v>98</v>
      </c>
      <c r="C11" s="690">
        <f>'2. SOFP'!E10</f>
        <v>44703333.859315813</v>
      </c>
      <c r="D11" s="690"/>
      <c r="E11" s="692">
        <f t="shared" si="0"/>
        <v>44703333.859315813</v>
      </c>
      <c r="G11"/>
    </row>
    <row r="12" spans="1:7" s="98" customFormat="1">
      <c r="A12" s="456">
        <v>2</v>
      </c>
      <c r="B12" s="399" t="s">
        <v>728</v>
      </c>
      <c r="C12" s="689">
        <f>'2. SOFP'!E11</f>
        <v>0</v>
      </c>
      <c r="D12" s="690"/>
      <c r="E12" s="692">
        <f t="shared" si="0"/>
        <v>0</v>
      </c>
      <c r="G12"/>
    </row>
    <row r="13" spans="1:7" s="98" customFormat="1">
      <c r="A13" s="456">
        <v>2.1</v>
      </c>
      <c r="B13" s="400" t="s">
        <v>729</v>
      </c>
      <c r="C13" s="690">
        <f>'2. SOFP'!E12</f>
        <v>0</v>
      </c>
      <c r="D13" s="690"/>
      <c r="E13" s="692">
        <f t="shared" si="0"/>
        <v>0</v>
      </c>
      <c r="G13"/>
    </row>
    <row r="14" spans="1:7" s="98" customFormat="1" ht="33.9" customHeight="1">
      <c r="A14" s="456">
        <v>3</v>
      </c>
      <c r="B14" s="401" t="s">
        <v>730</v>
      </c>
      <c r="C14" s="689">
        <f>'2. SOFP'!E13</f>
        <v>0</v>
      </c>
      <c r="D14" s="690"/>
      <c r="E14" s="692">
        <f t="shared" si="0"/>
        <v>0</v>
      </c>
      <c r="G14"/>
    </row>
    <row r="15" spans="1:7" s="98" customFormat="1" ht="32.4" customHeight="1">
      <c r="A15" s="456">
        <v>4</v>
      </c>
      <c r="B15" s="402" t="s">
        <v>731</v>
      </c>
      <c r="C15" s="689">
        <f>'2. SOFP'!E14</f>
        <v>0</v>
      </c>
      <c r="D15" s="690"/>
      <c r="E15" s="692">
        <f t="shared" si="0"/>
        <v>0</v>
      </c>
      <c r="G15"/>
    </row>
    <row r="16" spans="1:7" s="98" customFormat="1" ht="23.1" customHeight="1">
      <c r="A16" s="456">
        <v>5</v>
      </c>
      <c r="B16" s="402" t="s">
        <v>732</v>
      </c>
      <c r="C16" s="689">
        <f>SUM(C17:C19)</f>
        <v>0</v>
      </c>
      <c r="D16" s="690">
        <f>SUM(D17:D19)</f>
        <v>0</v>
      </c>
      <c r="E16" s="691">
        <f>SUM(E17:E19)</f>
        <v>0</v>
      </c>
      <c r="G16"/>
    </row>
    <row r="17" spans="1:7" s="98" customFormat="1">
      <c r="A17" s="456">
        <v>5.0999999999999996</v>
      </c>
      <c r="B17" s="403" t="s">
        <v>733</v>
      </c>
      <c r="C17" s="690">
        <f>'2. SOFP'!E16</f>
        <v>0</v>
      </c>
      <c r="D17" s="690"/>
      <c r="E17" s="692">
        <f>C17-D17</f>
        <v>0</v>
      </c>
      <c r="G17"/>
    </row>
    <row r="18" spans="1:7" s="98" customFormat="1">
      <c r="A18" s="456">
        <v>5.2</v>
      </c>
      <c r="B18" s="403" t="s">
        <v>567</v>
      </c>
      <c r="C18" s="690">
        <f>'2. SOFP'!E17</f>
        <v>0</v>
      </c>
      <c r="D18" s="690"/>
      <c r="E18" s="692">
        <f>C18-D18</f>
        <v>0</v>
      </c>
      <c r="G18"/>
    </row>
    <row r="19" spans="1:7" s="98" customFormat="1">
      <c r="A19" s="456">
        <v>5.3</v>
      </c>
      <c r="B19" s="403" t="s">
        <v>734</v>
      </c>
      <c r="C19" s="690">
        <f>'2. SOFP'!E18</f>
        <v>0</v>
      </c>
      <c r="D19" s="690"/>
      <c r="E19" s="692">
        <f>C19-D19</f>
        <v>0</v>
      </c>
      <c r="G19"/>
    </row>
    <row r="20" spans="1:7" s="98" customFormat="1" ht="20.399999999999999">
      <c r="A20" s="456">
        <v>6</v>
      </c>
      <c r="B20" s="401" t="s">
        <v>735</v>
      </c>
      <c r="C20" s="689">
        <f>SUM(C21:C22)</f>
        <v>303213116.3300615</v>
      </c>
      <c r="D20" s="690">
        <f>SUM(D21:D22)</f>
        <v>0</v>
      </c>
      <c r="E20" s="691">
        <f>SUM(E21:E22)</f>
        <v>303213116.3300615</v>
      </c>
      <c r="G20"/>
    </row>
    <row r="21" spans="1:7">
      <c r="A21" s="456">
        <v>6.1</v>
      </c>
      <c r="B21" s="403" t="s">
        <v>567</v>
      </c>
      <c r="C21" s="690">
        <f>'2. SOFP'!E20</f>
        <v>65752574.387231566</v>
      </c>
      <c r="D21" s="690"/>
      <c r="E21" s="692">
        <f>C21-D21</f>
        <v>65752574.387231566</v>
      </c>
    </row>
    <row r="22" spans="1:7">
      <c r="A22" s="456">
        <v>6.2</v>
      </c>
      <c r="B22" s="403" t="s">
        <v>734</v>
      </c>
      <c r="C22" s="690">
        <f>'2. SOFP'!E21</f>
        <v>237460541.94282991</v>
      </c>
      <c r="D22" s="690"/>
      <c r="E22" s="692">
        <f>C22-D22</f>
        <v>237460541.94282991</v>
      </c>
    </row>
    <row r="23" spans="1:7" ht="20.399999999999999">
      <c r="A23" s="456">
        <v>7</v>
      </c>
      <c r="B23" s="404" t="s">
        <v>736</v>
      </c>
      <c r="C23" s="689">
        <f>'2. SOFP'!E22</f>
        <v>0</v>
      </c>
      <c r="D23" s="690"/>
      <c r="E23" s="692">
        <f>C23-D23</f>
        <v>0</v>
      </c>
    </row>
    <row r="24" spans="1:7" ht="20.399999999999999">
      <c r="A24" s="456">
        <v>8</v>
      </c>
      <c r="B24" s="405" t="s">
        <v>737</v>
      </c>
      <c r="C24" s="689">
        <f>'2. SOFP'!E23</f>
        <v>0</v>
      </c>
      <c r="D24" s="690"/>
      <c r="E24" s="692">
        <f>C24-D24</f>
        <v>0</v>
      </c>
    </row>
    <row r="25" spans="1:7">
      <c r="A25" s="456">
        <v>9</v>
      </c>
      <c r="B25" s="402" t="s">
        <v>738</v>
      </c>
      <c r="C25" s="689">
        <f>SUM(C26:C27)</f>
        <v>6073902.7700000005</v>
      </c>
      <c r="D25" s="690">
        <f>SUM(D26:D27)</f>
        <v>0</v>
      </c>
      <c r="E25" s="691">
        <f>SUM(E26:E27)</f>
        <v>6073902.7700000005</v>
      </c>
    </row>
    <row r="26" spans="1:7">
      <c r="A26" s="456">
        <v>9.1</v>
      </c>
      <c r="B26" s="406" t="s">
        <v>739</v>
      </c>
      <c r="C26" s="690">
        <f>'2. SOFP'!E25</f>
        <v>6073902.7700000005</v>
      </c>
      <c r="D26" s="690"/>
      <c r="E26" s="692">
        <f>C26-D26</f>
        <v>6073902.7700000005</v>
      </c>
    </row>
    <row r="27" spans="1:7">
      <c r="A27" s="456">
        <v>9.1999999999999993</v>
      </c>
      <c r="B27" s="406" t="s">
        <v>740</v>
      </c>
      <c r="C27" s="690">
        <f>'2. SOFP'!E26</f>
        <v>0</v>
      </c>
      <c r="D27" s="690"/>
      <c r="E27" s="692">
        <f>C27-D27</f>
        <v>0</v>
      </c>
    </row>
    <row r="28" spans="1:7">
      <c r="A28" s="456">
        <v>10</v>
      </c>
      <c r="B28" s="402" t="s">
        <v>36</v>
      </c>
      <c r="C28" s="689">
        <f>SUM(C29:C30)</f>
        <v>177648.31928219183</v>
      </c>
      <c r="D28" s="689">
        <f>SUM(D29:D30)</f>
        <v>177648.31928219183</v>
      </c>
      <c r="E28" s="691">
        <f>SUM(E29:E30)</f>
        <v>0</v>
      </c>
    </row>
    <row r="29" spans="1:7">
      <c r="A29" s="456">
        <v>10.1</v>
      </c>
      <c r="B29" s="406" t="s">
        <v>741</v>
      </c>
      <c r="C29" s="690">
        <f>'2. SOFP'!E28</f>
        <v>0</v>
      </c>
      <c r="D29" s="690">
        <f>C29</f>
        <v>0</v>
      </c>
      <c r="E29" s="692">
        <f>C29-D29</f>
        <v>0</v>
      </c>
    </row>
    <row r="30" spans="1:7">
      <c r="A30" s="456">
        <v>10.199999999999999</v>
      </c>
      <c r="B30" s="406" t="s">
        <v>742</v>
      </c>
      <c r="C30" s="690">
        <f>'2. SOFP'!E29</f>
        <v>177648.31928219183</v>
      </c>
      <c r="D30" s="690">
        <f>C30</f>
        <v>177648.31928219183</v>
      </c>
      <c r="E30" s="692">
        <f>C30-D30</f>
        <v>0</v>
      </c>
    </row>
    <row r="31" spans="1:7">
      <c r="A31" s="456">
        <v>11</v>
      </c>
      <c r="B31" s="402" t="s">
        <v>743</v>
      </c>
      <c r="C31" s="689">
        <f>SUM(C32:C33)</f>
        <v>4126977.25</v>
      </c>
      <c r="D31" s="690">
        <f>SUM(D32:D33)</f>
        <v>0</v>
      </c>
      <c r="E31" s="691">
        <f>SUM(E32:E33)</f>
        <v>4126977.25</v>
      </c>
    </row>
    <row r="32" spans="1:7">
      <c r="A32" s="456">
        <v>11.1</v>
      </c>
      <c r="B32" s="406" t="s">
        <v>744</v>
      </c>
      <c r="C32" s="690">
        <f>'2. SOFP'!E31</f>
        <v>4126977.25</v>
      </c>
      <c r="D32" s="690"/>
      <c r="E32" s="692">
        <f>C32-D32</f>
        <v>4126977.25</v>
      </c>
    </row>
    <row r="33" spans="1:7">
      <c r="A33" s="456">
        <v>11.2</v>
      </c>
      <c r="B33" s="406" t="s">
        <v>745</v>
      </c>
      <c r="C33" s="690">
        <f>'2. SOFP'!E32</f>
        <v>0</v>
      </c>
      <c r="D33" s="690"/>
      <c r="E33" s="692">
        <f>C33-D33</f>
        <v>0</v>
      </c>
    </row>
    <row r="34" spans="1:7">
      <c r="A34" s="456">
        <v>13</v>
      </c>
      <c r="B34" s="402" t="s">
        <v>99</v>
      </c>
      <c r="C34" s="690">
        <f>'2. SOFP'!E33</f>
        <v>3674178.8664237075</v>
      </c>
      <c r="D34" s="690"/>
      <c r="E34" s="692">
        <f>C34-D34</f>
        <v>3674178.8664237075</v>
      </c>
    </row>
    <row r="35" spans="1:7">
      <c r="A35" s="456">
        <v>13.1</v>
      </c>
      <c r="B35" s="407" t="s">
        <v>746</v>
      </c>
      <c r="C35" s="690">
        <f>'2. SOFP'!E34</f>
        <v>1349093.18</v>
      </c>
      <c r="D35" s="690"/>
      <c r="E35" s="692">
        <f>C35-D35</f>
        <v>1349093.18</v>
      </c>
    </row>
    <row r="36" spans="1:7">
      <c r="A36" s="456">
        <v>13.2</v>
      </c>
      <c r="B36" s="407" t="s">
        <v>747</v>
      </c>
      <c r="C36" s="690">
        <f>'2. SOFP'!E35</f>
        <v>0</v>
      </c>
      <c r="D36" s="690"/>
      <c r="E36" s="692">
        <f>C36-D36</f>
        <v>0</v>
      </c>
    </row>
    <row r="37" spans="1:7" ht="42" thickBot="1">
      <c r="A37" s="234"/>
      <c r="B37" s="235" t="s">
        <v>320</v>
      </c>
      <c r="C37" s="693">
        <f>SUM(C8,C12,C14,C15,C16,C20,C23,C24,C25,C28,C31,C34)</f>
        <v>443641418.84250951</v>
      </c>
      <c r="D37" s="693">
        <f>SUM(D8,D12,D14,D15,D16,D20,D23,D24,D25,D28,D31,D34)</f>
        <v>177648.31928219183</v>
      </c>
      <c r="E37" s="694">
        <f>SUM(E8,E12,E14,E15,E16,E20,E23,E24,E25,E28,E31,E34)</f>
        <v>443463770.52322733</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4.4" outlineLevelRow="1"/>
  <cols>
    <col min="1" max="1" width="9.5546875" style="2" bestFit="1" customWidth="1"/>
    <col min="2" max="2" width="114.33203125" style="2"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7" t="s">
        <v>108</v>
      </c>
      <c r="B1" s="623" t="str">
        <f>'1. key ratios'!B1</f>
        <v>სს იშბანკი საქართველო</v>
      </c>
    </row>
    <row r="2" spans="1:6" s="21" customFormat="1" ht="15.75" customHeight="1">
      <c r="A2" s="21" t="s">
        <v>109</v>
      </c>
      <c r="B2" s="624">
        <f>'1. key ratios'!B2</f>
        <v>45199</v>
      </c>
      <c r="C2"/>
      <c r="D2"/>
      <c r="E2"/>
      <c r="F2"/>
    </row>
    <row r="3" spans="1:6" s="21" customFormat="1" ht="15.75" customHeight="1">
      <c r="C3"/>
      <c r="D3"/>
      <c r="E3"/>
      <c r="F3"/>
    </row>
    <row r="4" spans="1:6" s="21" customFormat="1" ht="28.2" thickBot="1">
      <c r="A4" s="21" t="s">
        <v>256</v>
      </c>
      <c r="B4" s="138" t="s">
        <v>171</v>
      </c>
      <c r="C4" s="132" t="s">
        <v>87</v>
      </c>
      <c r="D4"/>
      <c r="E4"/>
      <c r="F4"/>
    </row>
    <row r="5" spans="1:6">
      <c r="A5" s="133">
        <v>1</v>
      </c>
      <c r="B5" s="134" t="s">
        <v>725</v>
      </c>
      <c r="C5" s="695">
        <f>'7. LI1'!E37</f>
        <v>443463770.52322733</v>
      </c>
    </row>
    <row r="6" spans="1:6" s="123" customFormat="1">
      <c r="A6" s="81">
        <v>2.1</v>
      </c>
      <c r="B6" s="140" t="s">
        <v>859</v>
      </c>
      <c r="C6" s="171">
        <f>'4. Off-balance'!E27+'4. Off-balance'!E28+'4. Off-balance'!E29-'2. SOFP'!E46</f>
        <v>98555791.712273821</v>
      </c>
    </row>
    <row r="7" spans="1:6" s="4" customFormat="1" ht="27.6" outlineLevel="1">
      <c r="A7" s="139">
        <v>2.2000000000000002</v>
      </c>
      <c r="B7" s="135" t="s">
        <v>860</v>
      </c>
      <c r="C7" s="172"/>
    </row>
    <row r="8" spans="1:6" s="4" customFormat="1" ht="27.6">
      <c r="A8" s="139">
        <v>3</v>
      </c>
      <c r="B8" s="136" t="s">
        <v>726</v>
      </c>
      <c r="C8" s="696">
        <f>SUM(C5:C7)</f>
        <v>542019562.23550117</v>
      </c>
    </row>
    <row r="9" spans="1:6" s="123" customFormat="1">
      <c r="A9" s="81">
        <v>4</v>
      </c>
      <c r="B9" s="143" t="s">
        <v>169</v>
      </c>
      <c r="C9" s="171"/>
    </row>
    <row r="10" spans="1:6" s="4" customFormat="1" ht="27.6" outlineLevel="1">
      <c r="A10" s="139">
        <v>5.0999999999999996</v>
      </c>
      <c r="B10" s="135" t="s">
        <v>175</v>
      </c>
      <c r="C10" s="698">
        <v>-40950920.756583288</v>
      </c>
    </row>
    <row r="11" spans="1:6" s="4" customFormat="1" ht="27.6" outlineLevel="1">
      <c r="A11" s="139">
        <v>5.2</v>
      </c>
      <c r="B11" s="135" t="s">
        <v>176</v>
      </c>
      <c r="C11" s="172"/>
    </row>
    <row r="12" spans="1:6" s="4" customFormat="1">
      <c r="A12" s="139">
        <v>6</v>
      </c>
      <c r="B12" s="141" t="s">
        <v>436</v>
      </c>
      <c r="C12" s="236"/>
    </row>
    <row r="13" spans="1:6" s="4" customFormat="1" ht="15" thickBot="1">
      <c r="A13" s="142">
        <v>7</v>
      </c>
      <c r="B13" s="137" t="s">
        <v>170</v>
      </c>
      <c r="C13" s="697">
        <f>SUM(C8:C12)</f>
        <v>501068641.4789179</v>
      </c>
    </row>
    <row r="15" spans="1:6" ht="27.6">
      <c r="B15" s="23" t="s">
        <v>437</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u0+4VpYxHWmZuwM/+HVc9S8qP9cGL2VL2GIgOPoYndE=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qwxN4qLDQDCW4YT1Nc5K3SJ/7pTN18q+31blFdgtTpA=</DigestValue>
    </Reference>
  </SignedInfo>
  <SignatureValue>ksBo/wyVqAlw9IrEJvn2WbnyxYVcmyQu97A7YF06NXA3SO3/XWX5tIBorK6jr1g6aT8Q5Bp21G42
kwpfNBL/Yc9NmWp+GwwSMV0HLoofv+/snpaYVMCxvWZxUWauSQdyhlN1LiHs7EaWexBfza5i0qxf
K7L1q3hjZYhn9hYDTaCrhv3vF3IchG8y+HSh5YrITZW/L7IjVreeZwjTC6pudjqK55oV7H8AvQkC
28sSr3feXPk+s3FjttPgzIFceczgGMwGjsJmKg6ssMAqEAYM8Vssr8cEeL6426g1YNM0s7jDpo0S
OxqatgcFhLB5ygI0Q9bvhZfGWq74YPCljiACUw==</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uuT/YAJEVwEc64tqc0Z5h1MKwp/zIRiWOMNs0y6EADs=</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04kcmBhf8DYq8wuPp6vfnpt/mWjXnFbBkcpRskGj9ds=</DigestValue>
      </Reference>
      <Reference URI="/xl/styles.xml?ContentType=application/vnd.openxmlformats-officedocument.spreadsheetml.styles+xml">
        <DigestMethod Algorithm="http://www.w3.org/2001/04/xmlenc#sha256"/>
        <DigestValue>UOhJ28DPms+l1LrnL0QRdQHF+RL8JI/gFxWk9S5IS7g=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tHBTDDhtQVC7yBlh9W+Fb/XghTwMaF8acNVDyXhbTTc=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PzH0hgbz6P+zSs6NhPB1FhDY0bV2I9U462eDe02zuA4=</DigestValue>
      </Reference>
      <Reference URI="/xl/worksheets/sheet10.xml?ContentType=application/vnd.openxmlformats-officedocument.spreadsheetml.worksheet+xml">
        <DigestMethod Algorithm="http://www.w3.org/2001/04/xmlenc#sha256"/>
        <DigestValue>Mf/Jc5ghVwvjyyfLQDIsRy9yP3o4AWw9+DFGZUdj0dc=</DigestValue>
      </Reference>
      <Reference URI="/xl/worksheets/sheet11.xml?ContentType=application/vnd.openxmlformats-officedocument.spreadsheetml.worksheet+xml">
        <DigestMethod Algorithm="http://www.w3.org/2001/04/xmlenc#sha256"/>
        <DigestValue>80N5DrfHE7yd8qfliriPsp/lrwLsYvc681lNl247t0w=</DigestValue>
      </Reference>
      <Reference URI="/xl/worksheets/sheet12.xml?ContentType=application/vnd.openxmlformats-officedocument.spreadsheetml.worksheet+xml">
        <DigestMethod Algorithm="http://www.w3.org/2001/04/xmlenc#sha256"/>
        <DigestValue>+cRUNZ5EirlnLcGXrPFsNLcT0Js8vMq6abEXUY6Eq7g=</DigestValue>
      </Reference>
      <Reference URI="/xl/worksheets/sheet13.xml?ContentType=application/vnd.openxmlformats-officedocument.spreadsheetml.worksheet+xml">
        <DigestMethod Algorithm="http://www.w3.org/2001/04/xmlenc#sha256"/>
        <DigestValue>/gEx4iLNaKcH65sBWL9LYGPYVh0lY1kTwYNaYEgLh+I=</DigestValue>
      </Reference>
      <Reference URI="/xl/worksheets/sheet14.xml?ContentType=application/vnd.openxmlformats-officedocument.spreadsheetml.worksheet+xml">
        <DigestMethod Algorithm="http://www.w3.org/2001/04/xmlenc#sha256"/>
        <DigestValue>K8hdr6SaVwOJML5h5+JWPmlRSumyfIn1487wTf5n8y0=</DigestValue>
      </Reference>
      <Reference URI="/xl/worksheets/sheet15.xml?ContentType=application/vnd.openxmlformats-officedocument.spreadsheetml.worksheet+xml">
        <DigestMethod Algorithm="http://www.w3.org/2001/04/xmlenc#sha256"/>
        <DigestValue>ga7Hfng48uxklhTLUPz/ptEymV0DeaomCNry3Aoe56U=</DigestValue>
      </Reference>
      <Reference URI="/xl/worksheets/sheet16.xml?ContentType=application/vnd.openxmlformats-officedocument.spreadsheetml.worksheet+xml">
        <DigestMethod Algorithm="http://www.w3.org/2001/04/xmlenc#sha256"/>
        <DigestValue>K2+QJXl7pJdzXNKALqxoyjs/gQ04VOJqKH/pxQcrzVM=</DigestValue>
      </Reference>
      <Reference URI="/xl/worksheets/sheet17.xml?ContentType=application/vnd.openxmlformats-officedocument.spreadsheetml.worksheet+xml">
        <DigestMethod Algorithm="http://www.w3.org/2001/04/xmlenc#sha256"/>
        <DigestValue>zlQyHsBz3JqFOPJL09T7+zQBxP+MDxYSAzNjPd3fj1I=</DigestValue>
      </Reference>
      <Reference URI="/xl/worksheets/sheet18.xml?ContentType=application/vnd.openxmlformats-officedocument.spreadsheetml.worksheet+xml">
        <DigestMethod Algorithm="http://www.w3.org/2001/04/xmlenc#sha256"/>
        <DigestValue>w3XrtQUEA64oiHJFuFnuWbeeJAQ7CR8QGgHi6Nwz/r0=</DigestValue>
      </Reference>
      <Reference URI="/xl/worksheets/sheet19.xml?ContentType=application/vnd.openxmlformats-officedocument.spreadsheetml.worksheet+xml">
        <DigestMethod Algorithm="http://www.w3.org/2001/04/xmlenc#sha256"/>
        <DigestValue>0SHFjNpKVuPssX60s8Eidkia40hNwV5fiLwGpyu/b7U=</DigestValue>
      </Reference>
      <Reference URI="/xl/worksheets/sheet2.xml?ContentType=application/vnd.openxmlformats-officedocument.spreadsheetml.worksheet+xml">
        <DigestMethod Algorithm="http://www.w3.org/2001/04/xmlenc#sha256"/>
        <DigestValue>OKiBq/jU2Li7kTkWoKT0rsH3H8Qk0ZBup/E2UUEVRKE=</DigestValue>
      </Reference>
      <Reference URI="/xl/worksheets/sheet20.xml?ContentType=application/vnd.openxmlformats-officedocument.spreadsheetml.worksheet+xml">
        <DigestMethod Algorithm="http://www.w3.org/2001/04/xmlenc#sha256"/>
        <DigestValue>6lzJxABvMFBTualu8M81AVwfY4uNUX8RLYAuUeZY/qQ=</DigestValue>
      </Reference>
      <Reference URI="/xl/worksheets/sheet21.xml?ContentType=application/vnd.openxmlformats-officedocument.spreadsheetml.worksheet+xml">
        <DigestMethod Algorithm="http://www.w3.org/2001/04/xmlenc#sha256"/>
        <DigestValue>JlPdst4GrgJMNEllhA4OafEB1X8lH0d0x0leWL9Jyds=</DigestValue>
      </Reference>
      <Reference URI="/xl/worksheets/sheet22.xml?ContentType=application/vnd.openxmlformats-officedocument.spreadsheetml.worksheet+xml">
        <DigestMethod Algorithm="http://www.w3.org/2001/04/xmlenc#sha256"/>
        <DigestValue>CHz11HMBpCDb2yZtZu/JCI9iIP9TsUgY03FKdjV4JsI=</DigestValue>
      </Reference>
      <Reference URI="/xl/worksheets/sheet23.xml?ContentType=application/vnd.openxmlformats-officedocument.spreadsheetml.worksheet+xml">
        <DigestMethod Algorithm="http://www.w3.org/2001/04/xmlenc#sha256"/>
        <DigestValue>/nt+/6MFXB5Cj+vcMNO7rB011X5BqUApM8uVCSC0Xjs=</DigestValue>
      </Reference>
      <Reference URI="/xl/worksheets/sheet24.xml?ContentType=application/vnd.openxmlformats-officedocument.spreadsheetml.worksheet+xml">
        <DigestMethod Algorithm="http://www.w3.org/2001/04/xmlenc#sha256"/>
        <DigestValue>2gXrzddzwHUPvcOnrHB1GFmRlD+hXW+JI83coXGlWXA=</DigestValue>
      </Reference>
      <Reference URI="/xl/worksheets/sheet25.xml?ContentType=application/vnd.openxmlformats-officedocument.spreadsheetml.worksheet+xml">
        <DigestMethod Algorithm="http://www.w3.org/2001/04/xmlenc#sha256"/>
        <DigestValue>oaa1RMkSOG6/Sw7WXAzFGLkd9pjwvZDIxYKX4hOyo60=</DigestValue>
      </Reference>
      <Reference URI="/xl/worksheets/sheet26.xml?ContentType=application/vnd.openxmlformats-officedocument.spreadsheetml.worksheet+xml">
        <DigestMethod Algorithm="http://www.w3.org/2001/04/xmlenc#sha256"/>
        <DigestValue>xuCYCZt9lTqg28/a+DjAdArU8qTou+a6e/P7FZqwTkY=</DigestValue>
      </Reference>
      <Reference URI="/xl/worksheets/sheet27.xml?ContentType=application/vnd.openxmlformats-officedocument.spreadsheetml.worksheet+xml">
        <DigestMethod Algorithm="http://www.w3.org/2001/04/xmlenc#sha256"/>
        <DigestValue>50EiHGostq5wxUKjS8abIm2tT/Ktcuv+TbDhKzqCIQ4=</DigestValue>
      </Reference>
      <Reference URI="/xl/worksheets/sheet28.xml?ContentType=application/vnd.openxmlformats-officedocument.spreadsheetml.worksheet+xml">
        <DigestMethod Algorithm="http://www.w3.org/2001/04/xmlenc#sha256"/>
        <DigestValue>NdaZ1+vDEglePeoK14BG9XWmHQJMMhR5DXlBfaupoZA=</DigestValue>
      </Reference>
      <Reference URI="/xl/worksheets/sheet29.xml?ContentType=application/vnd.openxmlformats-officedocument.spreadsheetml.worksheet+xml">
        <DigestMethod Algorithm="http://www.w3.org/2001/04/xmlenc#sha256"/>
        <DigestValue>EjUPlRpdMxEvXCdh6YYGAsfnKyVGRnKlY035HiCnQ+Y=</DigestValue>
      </Reference>
      <Reference URI="/xl/worksheets/sheet3.xml?ContentType=application/vnd.openxmlformats-officedocument.spreadsheetml.worksheet+xml">
        <DigestMethod Algorithm="http://www.w3.org/2001/04/xmlenc#sha256"/>
        <DigestValue>4j97mQ/N2577HdgPuv5nRn9Bv9A6/HWlLNTEjkwLqwM=</DigestValue>
      </Reference>
      <Reference URI="/xl/worksheets/sheet30.xml?ContentType=application/vnd.openxmlformats-officedocument.spreadsheetml.worksheet+xml">
        <DigestMethod Algorithm="http://www.w3.org/2001/04/xmlenc#sha256"/>
        <DigestValue>o89kdhjIpPxTdj5mU2dAn2kSAkP61Rs0s6AzStl2uTw=</DigestValue>
      </Reference>
      <Reference URI="/xl/worksheets/sheet4.xml?ContentType=application/vnd.openxmlformats-officedocument.spreadsheetml.worksheet+xml">
        <DigestMethod Algorithm="http://www.w3.org/2001/04/xmlenc#sha256"/>
        <DigestValue>pzqgUBYnd6yTKGX1x/X4wmrZw4KpwiUoWeSwSD7wEeI=</DigestValue>
      </Reference>
      <Reference URI="/xl/worksheets/sheet5.xml?ContentType=application/vnd.openxmlformats-officedocument.spreadsheetml.worksheet+xml">
        <DigestMethod Algorithm="http://www.w3.org/2001/04/xmlenc#sha256"/>
        <DigestValue>IgxJhjjSNNM/BdgP/QTocjiKcjJK91wUGlvgAHzbiIc=</DigestValue>
      </Reference>
      <Reference URI="/xl/worksheets/sheet6.xml?ContentType=application/vnd.openxmlformats-officedocument.spreadsheetml.worksheet+xml">
        <DigestMethod Algorithm="http://www.w3.org/2001/04/xmlenc#sha256"/>
        <DigestValue>9xoMFxrtE/C+cNR+rJL7usNXiyKzNqLfcALEiue4YOA=</DigestValue>
      </Reference>
      <Reference URI="/xl/worksheets/sheet7.xml?ContentType=application/vnd.openxmlformats-officedocument.spreadsheetml.worksheet+xml">
        <DigestMethod Algorithm="http://www.w3.org/2001/04/xmlenc#sha256"/>
        <DigestValue>0v8eHbM2IMwGV5ctHakzC8Zky0z7r3ULcARUbYHX8qo=</DigestValue>
      </Reference>
      <Reference URI="/xl/worksheets/sheet8.xml?ContentType=application/vnd.openxmlformats-officedocument.spreadsheetml.worksheet+xml">
        <DigestMethod Algorithm="http://www.w3.org/2001/04/xmlenc#sha256"/>
        <DigestValue>nVpm/e72sRrOBvje1dLYNY/PPnKQ/ZXGZskfh7rhu/g=</DigestValue>
      </Reference>
      <Reference URI="/xl/worksheets/sheet9.xml?ContentType=application/vnd.openxmlformats-officedocument.spreadsheetml.worksheet+xml">
        <DigestMethod Algorithm="http://www.w3.org/2001/04/xmlenc#sha256"/>
        <DigestValue>rB39EiS9U5HbDDUkDXDlnbnpySCfouGCHosRVxNzKTE=</DigestValue>
      </Reference>
    </Manifest>
    <SignatureProperties>
      <SignatureProperty Id="idSignatureTime" Target="#idPackageSignature">
        <mdssi:SignatureTime xmlns:mdssi="http://schemas.openxmlformats.org/package/2006/digital-signature">
          <mdssi:Format>YYYY-MM-DDThh:mm:ssTZD</mdssi:Format>
          <mdssi:Value>2023-11-01T02:09:06Z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2023-11-01T02:09:06Z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dbOKd62g8ulrqV45wCRjusvf7Q/bVkiTywUT6VPbImo=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2Q2kvFkr8+e1/GU/wGgIWhsxmYHxwJLht+o8WytmzMw=</DigestValue>
    </Reference>
  </SignedInfo>
  <SignatureValue>NNgJl3FNumxAtYkW3U/7V+0Tiy90rPO16r8UxJAsbO1YLZAzm6gQWWwdn61Oo74UCxQmUeO19g0v
ua/boMBLxb+ACUdC8ijUEl+3BESyRZN90ZEhQ1L9g98YVnwkTEKFr7ZVtAEtmBM5TzcpHcxFXq6i
kHbF/NhVCnDtgna3tuqQarMVlRAmjcx+sSe8AFoeweCi4AK/d+MSfkOcsy6mijOIyhZLx3qE4foG
bHuCXVu6f9epPJrxc1ZkYpBQ3F2IFR8LFxruOx08xmeD615VfQcrMpEVW/f9fL6t8tDCKLzwZSU4
P3YRevVSG1zqigbIM3Husd8+QMZnpA+38eh6Mw==</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uuT/YAJEVwEc64tqc0Z5h1MKwp/zIRiWOMNs0y6EADs=</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04kcmBhf8DYq8wuPp6vfnpt/mWjXnFbBkcpRskGj9ds=</DigestValue>
      </Reference>
      <Reference URI="/xl/styles.xml?ContentType=application/vnd.openxmlformats-officedocument.spreadsheetml.styles+xml">
        <DigestMethod Algorithm="http://www.w3.org/2001/04/xmlenc#sha256"/>
        <DigestValue>UOhJ28DPms+l1LrnL0QRdQHF+RL8JI/gFxWk9S5IS7g=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tHBTDDhtQVC7yBlh9W+Fb/XghTwMaF8acNVDyXhbTTc=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PzH0hgbz6P+zSs6NhPB1FhDY0bV2I9U462eDe02zuA4=</DigestValue>
      </Reference>
      <Reference URI="/xl/worksheets/sheet10.xml?ContentType=application/vnd.openxmlformats-officedocument.spreadsheetml.worksheet+xml">
        <DigestMethod Algorithm="http://www.w3.org/2001/04/xmlenc#sha256"/>
        <DigestValue>Mf/Jc5ghVwvjyyfLQDIsRy9yP3o4AWw9+DFGZUdj0dc=</DigestValue>
      </Reference>
      <Reference URI="/xl/worksheets/sheet11.xml?ContentType=application/vnd.openxmlformats-officedocument.spreadsheetml.worksheet+xml">
        <DigestMethod Algorithm="http://www.w3.org/2001/04/xmlenc#sha256"/>
        <DigestValue>80N5DrfHE7yd8qfliriPsp/lrwLsYvc681lNl247t0w=</DigestValue>
      </Reference>
      <Reference URI="/xl/worksheets/sheet12.xml?ContentType=application/vnd.openxmlformats-officedocument.spreadsheetml.worksheet+xml">
        <DigestMethod Algorithm="http://www.w3.org/2001/04/xmlenc#sha256"/>
        <DigestValue>+cRUNZ5EirlnLcGXrPFsNLcT0Js8vMq6abEXUY6Eq7g=</DigestValue>
      </Reference>
      <Reference URI="/xl/worksheets/sheet13.xml?ContentType=application/vnd.openxmlformats-officedocument.spreadsheetml.worksheet+xml">
        <DigestMethod Algorithm="http://www.w3.org/2001/04/xmlenc#sha256"/>
        <DigestValue>/gEx4iLNaKcH65sBWL9LYGPYVh0lY1kTwYNaYEgLh+I=</DigestValue>
      </Reference>
      <Reference URI="/xl/worksheets/sheet14.xml?ContentType=application/vnd.openxmlformats-officedocument.spreadsheetml.worksheet+xml">
        <DigestMethod Algorithm="http://www.w3.org/2001/04/xmlenc#sha256"/>
        <DigestValue>K8hdr6SaVwOJML5h5+JWPmlRSumyfIn1487wTf5n8y0=</DigestValue>
      </Reference>
      <Reference URI="/xl/worksheets/sheet15.xml?ContentType=application/vnd.openxmlformats-officedocument.spreadsheetml.worksheet+xml">
        <DigestMethod Algorithm="http://www.w3.org/2001/04/xmlenc#sha256"/>
        <DigestValue>ga7Hfng48uxklhTLUPz/ptEymV0DeaomCNry3Aoe56U=</DigestValue>
      </Reference>
      <Reference URI="/xl/worksheets/sheet16.xml?ContentType=application/vnd.openxmlformats-officedocument.spreadsheetml.worksheet+xml">
        <DigestMethod Algorithm="http://www.w3.org/2001/04/xmlenc#sha256"/>
        <DigestValue>K2+QJXl7pJdzXNKALqxoyjs/gQ04VOJqKH/pxQcrzVM=</DigestValue>
      </Reference>
      <Reference URI="/xl/worksheets/sheet17.xml?ContentType=application/vnd.openxmlformats-officedocument.spreadsheetml.worksheet+xml">
        <DigestMethod Algorithm="http://www.w3.org/2001/04/xmlenc#sha256"/>
        <DigestValue>zlQyHsBz3JqFOPJL09T7+zQBxP+MDxYSAzNjPd3fj1I=</DigestValue>
      </Reference>
      <Reference URI="/xl/worksheets/sheet18.xml?ContentType=application/vnd.openxmlformats-officedocument.spreadsheetml.worksheet+xml">
        <DigestMethod Algorithm="http://www.w3.org/2001/04/xmlenc#sha256"/>
        <DigestValue>w3XrtQUEA64oiHJFuFnuWbeeJAQ7CR8QGgHi6Nwz/r0=</DigestValue>
      </Reference>
      <Reference URI="/xl/worksheets/sheet19.xml?ContentType=application/vnd.openxmlformats-officedocument.spreadsheetml.worksheet+xml">
        <DigestMethod Algorithm="http://www.w3.org/2001/04/xmlenc#sha256"/>
        <DigestValue>0SHFjNpKVuPssX60s8Eidkia40hNwV5fiLwGpyu/b7U=</DigestValue>
      </Reference>
      <Reference URI="/xl/worksheets/sheet2.xml?ContentType=application/vnd.openxmlformats-officedocument.spreadsheetml.worksheet+xml">
        <DigestMethod Algorithm="http://www.w3.org/2001/04/xmlenc#sha256"/>
        <DigestValue>OKiBq/jU2Li7kTkWoKT0rsH3H8Qk0ZBup/E2UUEVRKE=</DigestValue>
      </Reference>
      <Reference URI="/xl/worksheets/sheet20.xml?ContentType=application/vnd.openxmlformats-officedocument.spreadsheetml.worksheet+xml">
        <DigestMethod Algorithm="http://www.w3.org/2001/04/xmlenc#sha256"/>
        <DigestValue>6lzJxABvMFBTualu8M81AVwfY4uNUX8RLYAuUeZY/qQ=</DigestValue>
      </Reference>
      <Reference URI="/xl/worksheets/sheet21.xml?ContentType=application/vnd.openxmlformats-officedocument.spreadsheetml.worksheet+xml">
        <DigestMethod Algorithm="http://www.w3.org/2001/04/xmlenc#sha256"/>
        <DigestValue>JlPdst4GrgJMNEllhA4OafEB1X8lH0d0x0leWL9Jyds=</DigestValue>
      </Reference>
      <Reference URI="/xl/worksheets/sheet22.xml?ContentType=application/vnd.openxmlformats-officedocument.spreadsheetml.worksheet+xml">
        <DigestMethod Algorithm="http://www.w3.org/2001/04/xmlenc#sha256"/>
        <DigestValue>CHz11HMBpCDb2yZtZu/JCI9iIP9TsUgY03FKdjV4JsI=</DigestValue>
      </Reference>
      <Reference URI="/xl/worksheets/sheet23.xml?ContentType=application/vnd.openxmlformats-officedocument.spreadsheetml.worksheet+xml">
        <DigestMethod Algorithm="http://www.w3.org/2001/04/xmlenc#sha256"/>
        <DigestValue>/nt+/6MFXB5Cj+vcMNO7rB011X5BqUApM8uVCSC0Xjs=</DigestValue>
      </Reference>
      <Reference URI="/xl/worksheets/sheet24.xml?ContentType=application/vnd.openxmlformats-officedocument.spreadsheetml.worksheet+xml">
        <DigestMethod Algorithm="http://www.w3.org/2001/04/xmlenc#sha256"/>
        <DigestValue>2gXrzddzwHUPvcOnrHB1GFmRlD+hXW+JI83coXGlWXA=</DigestValue>
      </Reference>
      <Reference URI="/xl/worksheets/sheet25.xml?ContentType=application/vnd.openxmlformats-officedocument.spreadsheetml.worksheet+xml">
        <DigestMethod Algorithm="http://www.w3.org/2001/04/xmlenc#sha256"/>
        <DigestValue>oaa1RMkSOG6/Sw7WXAzFGLkd9pjwvZDIxYKX4hOyo60=</DigestValue>
      </Reference>
      <Reference URI="/xl/worksheets/sheet26.xml?ContentType=application/vnd.openxmlformats-officedocument.spreadsheetml.worksheet+xml">
        <DigestMethod Algorithm="http://www.w3.org/2001/04/xmlenc#sha256"/>
        <DigestValue>xuCYCZt9lTqg28/a+DjAdArU8qTou+a6e/P7FZqwTkY=</DigestValue>
      </Reference>
      <Reference URI="/xl/worksheets/sheet27.xml?ContentType=application/vnd.openxmlformats-officedocument.spreadsheetml.worksheet+xml">
        <DigestMethod Algorithm="http://www.w3.org/2001/04/xmlenc#sha256"/>
        <DigestValue>50EiHGostq5wxUKjS8abIm2tT/Ktcuv+TbDhKzqCIQ4=</DigestValue>
      </Reference>
      <Reference URI="/xl/worksheets/sheet28.xml?ContentType=application/vnd.openxmlformats-officedocument.spreadsheetml.worksheet+xml">
        <DigestMethod Algorithm="http://www.w3.org/2001/04/xmlenc#sha256"/>
        <DigestValue>NdaZ1+vDEglePeoK14BG9XWmHQJMMhR5DXlBfaupoZA=</DigestValue>
      </Reference>
      <Reference URI="/xl/worksheets/sheet29.xml?ContentType=application/vnd.openxmlformats-officedocument.spreadsheetml.worksheet+xml">
        <DigestMethod Algorithm="http://www.w3.org/2001/04/xmlenc#sha256"/>
        <DigestValue>EjUPlRpdMxEvXCdh6YYGAsfnKyVGRnKlY035HiCnQ+Y=</DigestValue>
      </Reference>
      <Reference URI="/xl/worksheets/sheet3.xml?ContentType=application/vnd.openxmlformats-officedocument.spreadsheetml.worksheet+xml">
        <DigestMethod Algorithm="http://www.w3.org/2001/04/xmlenc#sha256"/>
        <DigestValue>4j97mQ/N2577HdgPuv5nRn9Bv9A6/HWlLNTEjkwLqwM=</DigestValue>
      </Reference>
      <Reference URI="/xl/worksheets/sheet30.xml?ContentType=application/vnd.openxmlformats-officedocument.spreadsheetml.worksheet+xml">
        <DigestMethod Algorithm="http://www.w3.org/2001/04/xmlenc#sha256"/>
        <DigestValue>o89kdhjIpPxTdj5mU2dAn2kSAkP61Rs0s6AzStl2uTw=</DigestValue>
      </Reference>
      <Reference URI="/xl/worksheets/sheet4.xml?ContentType=application/vnd.openxmlformats-officedocument.spreadsheetml.worksheet+xml">
        <DigestMethod Algorithm="http://www.w3.org/2001/04/xmlenc#sha256"/>
        <DigestValue>pzqgUBYnd6yTKGX1x/X4wmrZw4KpwiUoWeSwSD7wEeI=</DigestValue>
      </Reference>
      <Reference URI="/xl/worksheets/sheet5.xml?ContentType=application/vnd.openxmlformats-officedocument.spreadsheetml.worksheet+xml">
        <DigestMethod Algorithm="http://www.w3.org/2001/04/xmlenc#sha256"/>
        <DigestValue>IgxJhjjSNNM/BdgP/QTocjiKcjJK91wUGlvgAHzbiIc=</DigestValue>
      </Reference>
      <Reference URI="/xl/worksheets/sheet6.xml?ContentType=application/vnd.openxmlformats-officedocument.spreadsheetml.worksheet+xml">
        <DigestMethod Algorithm="http://www.w3.org/2001/04/xmlenc#sha256"/>
        <DigestValue>9xoMFxrtE/C+cNR+rJL7usNXiyKzNqLfcALEiue4YOA=</DigestValue>
      </Reference>
      <Reference URI="/xl/worksheets/sheet7.xml?ContentType=application/vnd.openxmlformats-officedocument.spreadsheetml.worksheet+xml">
        <DigestMethod Algorithm="http://www.w3.org/2001/04/xmlenc#sha256"/>
        <DigestValue>0v8eHbM2IMwGV5ctHakzC8Zky0z7r3ULcARUbYHX8qo=</DigestValue>
      </Reference>
      <Reference URI="/xl/worksheets/sheet8.xml?ContentType=application/vnd.openxmlformats-officedocument.spreadsheetml.worksheet+xml">
        <DigestMethod Algorithm="http://www.w3.org/2001/04/xmlenc#sha256"/>
        <DigestValue>nVpm/e72sRrOBvje1dLYNY/PPnKQ/ZXGZskfh7rhu/g=</DigestValue>
      </Reference>
      <Reference URI="/xl/worksheets/sheet9.xml?ContentType=application/vnd.openxmlformats-officedocument.spreadsheetml.worksheet+xml">
        <DigestMethod Algorithm="http://www.w3.org/2001/04/xmlenc#sha256"/>
        <DigestValue>rB39EiS9U5HbDDUkDXDlnbnpySCfouGCHosRVxNzKTE=</DigestValue>
      </Reference>
    </Manifest>
    <SignatureProperties>
      <SignatureProperty Id="idSignatureTime" Target="#idPackageSignature">
        <mdssi:SignatureTime xmlns:mdssi="http://schemas.openxmlformats.org/package/2006/digital-signature">
          <mdssi:Format>YYYY-MM-DDThh:mm:ssTZD</mdssi:Format>
          <mdssi:Value>2023-11-01T02:09:26Z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2023-11-01T02:09:26Z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2023-11-01T02:08:21Z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