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I18" i="91" l="1"/>
  <c r="I17" i="91"/>
  <c r="I16" i="91"/>
  <c r="I15" i="91"/>
  <c r="I14" i="91"/>
  <c r="I13" i="91" s="1"/>
  <c r="I12" i="91"/>
  <c r="I11" i="91"/>
  <c r="I10" i="91"/>
  <c r="I9" i="91"/>
  <c r="I8" i="91"/>
  <c r="I7" i="91"/>
  <c r="C18" i="91"/>
  <c r="C17" i="91"/>
  <c r="C16" i="91"/>
  <c r="C13" i="91" s="1"/>
  <c r="C15" i="91"/>
  <c r="C14" i="91"/>
  <c r="C12" i="91"/>
  <c r="C11" i="91"/>
  <c r="C10" i="91"/>
  <c r="C9" i="91"/>
  <c r="C8" i="91"/>
  <c r="C7" i="91"/>
  <c r="C14" i="80"/>
  <c r="D14" i="80"/>
  <c r="E14" i="80"/>
  <c r="F14" i="80"/>
  <c r="G14" i="80"/>
  <c r="I19" i="91" l="1"/>
  <c r="C19" i="91"/>
  <c r="O13" i="91"/>
  <c r="O19" i="91" s="1"/>
  <c r="N13" i="91"/>
  <c r="N19" i="91" s="1"/>
  <c r="M13" i="91"/>
  <c r="M19" i="91" s="1"/>
  <c r="L13" i="91"/>
  <c r="L19" i="91" s="1"/>
  <c r="K13" i="91"/>
  <c r="K19" i="91" s="1"/>
  <c r="J13" i="91"/>
  <c r="J19" i="91" s="1"/>
  <c r="H13" i="91"/>
  <c r="H19" i="91" s="1"/>
  <c r="G13" i="91"/>
  <c r="G19" i="91" s="1"/>
  <c r="F13" i="91"/>
  <c r="F19" i="91" s="1"/>
  <c r="E13" i="91"/>
  <c r="E19" i="91" s="1"/>
  <c r="D13" i="91"/>
  <c r="D19" i="91" s="1"/>
  <c r="B2" i="9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I34" i="83" l="1"/>
  <c r="C19" i="84"/>
  <c r="D19" i="84"/>
  <c r="I21" i="82"/>
  <c r="H22" i="81"/>
  <c r="C29" i="79"/>
  <c r="B2" i="79"/>
  <c r="B2" i="37"/>
  <c r="J23" i="36"/>
  <c r="I23" i="36"/>
  <c r="G23" i="36"/>
  <c r="F23" i="36"/>
  <c r="H23" i="36" s="1"/>
  <c r="J21" i="36"/>
  <c r="I21" i="36"/>
  <c r="K21" i="36" s="1"/>
  <c r="G21" i="36"/>
  <c r="F21" i="36"/>
  <c r="H21" i="36" s="1"/>
  <c r="D21" i="36"/>
  <c r="C21" i="36"/>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S19" i="35"/>
  <c r="F19" i="74" s="1"/>
  <c r="S18" i="35"/>
  <c r="F18" i="74" s="1"/>
  <c r="S17" i="35"/>
  <c r="F17" i="74" s="1"/>
  <c r="S16" i="35"/>
  <c r="F16" i="74" s="1"/>
  <c r="G16" i="74" s="1"/>
  <c r="H16" i="74" s="1"/>
  <c r="S15" i="35"/>
  <c r="F15" i="74" s="1"/>
  <c r="S14" i="35"/>
  <c r="F14" i="74" s="1"/>
  <c r="S13" i="35"/>
  <c r="F13" i="74" s="1"/>
  <c r="S12" i="35"/>
  <c r="F12" i="74" s="1"/>
  <c r="S11" i="35"/>
  <c r="F11" i="74" s="1"/>
  <c r="S10" i="35"/>
  <c r="F10" i="74" s="1"/>
  <c r="S9" i="35"/>
  <c r="F9" i="74" s="1"/>
  <c r="S8" i="35"/>
  <c r="F8" i="74" s="1"/>
  <c r="G8" i="74" s="1"/>
  <c r="H8" i="74" s="1"/>
  <c r="B2" i="35"/>
  <c r="C36" i="69"/>
  <c r="G14" i="74" l="1"/>
  <c r="H14" i="74" s="1"/>
  <c r="E21" i="36"/>
  <c r="G12" i="74"/>
  <c r="H12" i="74" s="1"/>
  <c r="G20" i="74"/>
  <c r="H20" i="74" s="1"/>
  <c r="K16" i="36"/>
  <c r="F24" i="36"/>
  <c r="F25" i="36" s="1"/>
  <c r="E16" i="36"/>
  <c r="C22" i="74"/>
  <c r="J25" i="36"/>
  <c r="K23" i="36"/>
  <c r="I24" i="36"/>
  <c r="K24" i="36" s="1"/>
  <c r="K25" i="36" s="1"/>
  <c r="G24" i="36"/>
  <c r="H16" i="36"/>
  <c r="G21" i="74"/>
  <c r="H21" i="74" s="1"/>
  <c r="G15" i="74"/>
  <c r="H15" i="74" s="1"/>
  <c r="G9" i="74"/>
  <c r="H9" i="74" s="1"/>
  <c r="G17" i="74"/>
  <c r="H17" i="74" s="1"/>
  <c r="G10" i="74"/>
  <c r="H10" i="74" s="1"/>
  <c r="G18" i="74"/>
  <c r="H18" i="74" s="1"/>
  <c r="G13" i="74"/>
  <c r="H13" i="74" s="1"/>
  <c r="V21" i="64"/>
  <c r="G11" i="74"/>
  <c r="H11" i="74" s="1"/>
  <c r="G19" i="74"/>
  <c r="H19" i="74" s="1"/>
  <c r="S22" i="35"/>
  <c r="H24" i="36" l="1"/>
  <c r="H25" i="36" s="1"/>
  <c r="G25" i="36"/>
  <c r="I25" i="36"/>
  <c r="C14" i="69"/>
  <c r="B2" i="69"/>
  <c r="B2" i="77"/>
  <c r="C46" i="28"/>
  <c r="C15" i="28"/>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H18" i="75"/>
  <c r="E18" i="75"/>
  <c r="H17" i="75"/>
  <c r="E17" i="75"/>
  <c r="G16" i="75"/>
  <c r="F16" i="75"/>
  <c r="D16" i="75"/>
  <c r="C16" i="75"/>
  <c r="H15" i="75"/>
  <c r="E15" i="75"/>
  <c r="H14" i="75"/>
  <c r="E14" i="75"/>
  <c r="G13" i="75"/>
  <c r="F13" i="75"/>
  <c r="H13" i="75" s="1"/>
  <c r="D13" i="75"/>
  <c r="C13" i="75"/>
  <c r="E13" i="75" s="1"/>
  <c r="H12" i="75"/>
  <c r="E12" i="75"/>
  <c r="H11" i="75"/>
  <c r="E11" i="75"/>
  <c r="H10" i="75"/>
  <c r="E10" i="75"/>
  <c r="H9" i="75"/>
  <c r="E9" i="75"/>
  <c r="H8" i="75"/>
  <c r="E8" i="75"/>
  <c r="G7" i="75"/>
  <c r="F7" i="75"/>
  <c r="D7" i="75"/>
  <c r="C7" i="75"/>
  <c r="E7" i="75" s="1"/>
  <c r="D14" i="74" s="1"/>
  <c r="B2" i="75"/>
  <c r="B2" i="53"/>
  <c r="G14" i="62"/>
  <c r="F14" i="62"/>
  <c r="D14" i="62"/>
  <c r="C14" i="62"/>
  <c r="B2" i="62"/>
  <c r="C6" i="73" l="1"/>
  <c r="C28" i="79" s="1"/>
  <c r="E40" i="75"/>
  <c r="E22" i="75"/>
  <c r="H7" i="75"/>
  <c r="H40" i="75"/>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E8" i="62"/>
  <c r="E9" i="62"/>
  <c r="E10" i="62"/>
  <c r="E11" i="62"/>
  <c r="E12" i="62"/>
  <c r="E13" i="62"/>
  <c r="E14" i="62"/>
  <c r="C15" i="72" s="1"/>
  <c r="E15" i="72" s="1"/>
  <c r="E15" i="62"/>
  <c r="E16" i="62"/>
  <c r="E17" i="62"/>
  <c r="E18" i="62"/>
  <c r="E19" i="62"/>
  <c r="E20" i="62"/>
  <c r="E7" i="62"/>
  <c r="C37" i="69" l="1"/>
  <c r="C6" i="28"/>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<sst xmlns="http://schemas.openxmlformats.org/spreadsheetml/2006/main" count="1594" uniqueCount="1034">
  <si>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</si>
  <si>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</si>
  <si>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</si>
  <si>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</si>
  <si>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</si>
  <si>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</si>
  <si>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</si>
  <si>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</si>
  <si>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</si>
  <si>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</si>
  <si>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</si>
  <si>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</si>
  <si>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</si>
  <si>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</si>
  <si>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</si>
  <si>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</si>
  <si>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</si>
  <si>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</si>
  <si>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</si>
  <si>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</si>
  <si>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</si>
  <si>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</si>
  <si>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</si>
  <si>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</si>
  <si>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</si>
  <si>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</si>
  <si>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</si>
  <si>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</si>
  <si>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</si>
  <si>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</si>
  <si>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</si>
  <si>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</si>
  <si>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</si>
  <si>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</si>
  <si>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</si>
  <si>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</si>
  <si>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</si>
  <si>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</si>
  <si>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</si>
  <si>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</si>
  <si>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</si>
  <si>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</si>
  <si>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</si>
  <si>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</si>
  <si>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</si>
  <si>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</si>
  <si>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</si>
  <si>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</si>
  <si>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</si>
  <si>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</si>
  <si>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</si>
  <si>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</si>
  <si>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</si>
  <si>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</si>
  <si>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</si>
  <si>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</si>
  <si>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</si>
  <si>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</si>
  <si>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</si>
  <si>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</si>
  <si>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</si>
  <si>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</si>
  <si>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</si>
  <si>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</si>
  <si>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</si>
  <si>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</si>
  <si>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</si>
  <si>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</si>
  <si>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</si>
  <si>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</si>
  <si>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</si>
  <si>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</si>
  <si>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</si>
  <si>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</si>
  <si>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</si>
  <si>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</si>
  <si>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</si>
  <si>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</si>
  <si>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</si>
  <si>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</si>
  <si>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</si>
  <si>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</si>
  <si>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</si>
  <si>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</si>
  <si>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</si>
  <si>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</si>
  <si>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</si>
  <si>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</si>
  <si>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</si>
  <si>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</si>
  <si>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</si>
  <si>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</si>
  <si>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</si>
  <si>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</si>
  <si>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</si>
  <si>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</si>
  <si>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</si>
  <si>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</si>
  <si>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</si>
  <si>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</si>
  <si>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</si>
  <si>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</si>
  <si>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</si>
  <si>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</si>
  <si>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</si>
  <si>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</si>
  <si>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</si>
  <si>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</si>
  <si>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</si>
  <si>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</si>
  <si>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</si>
  <si>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</si>
  <si>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</si>
  <si>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</si>
  <si>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</si>
  <si>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</si>
  <si>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</si>
  <si>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</si>
  <si>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</si>
  <si>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</si>
  <si>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</si>
  <si>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</si>
  <si>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</si>
  <si>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</si>
  <si>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</si>
  <si>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</si>
  <si>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</si>
  <si>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</si>
  <si>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</si>
  <si>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</si>
  <si>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</si>
  <si>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</si>
  <si>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</si>
  <si>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</si>
  <si>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</si>
  <si>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</si>
  <si>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</si>
  <si>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</si>
  <si>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</si>
  <si>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</si>
  <si>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</si>
  <si>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</si>
  <si>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</si>
  <si>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</si>
  <si>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</si>
  <si>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</si>
  <si>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</si>
  <si>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</si>
  <si>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</si>
  <si>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</si>
  <si>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</si>
  <si>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</si>
  <si>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</si>
  <si>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</si>
  <si>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</si>
  <si>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</si>
  <si>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</si>
  <si>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</si>
  <si>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</si>
  <si>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</si>
  <si>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</si>
  <si>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</si>
  <si>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</si>
  <si>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</si>
  <si>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</si>
  <si>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</si>
  <si>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</si>
  <si>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</si>
  <si>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</si>
  <si>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</si>
  <si>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</si>
  <si>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</si>
  <si>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</si>
  <si>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</si>
  <si>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</si>
  <si>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</si>
  <si>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</si>
  <si>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</si>
  <si>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</si>
  <si>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</si>
  <si>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</si>
  <si>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</si>
  <si>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</si>
  <si>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</si>
  <si>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</si>
  <si>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</si>
  <si>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</si>
  <si>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</si>
  <si>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</si>
  <si>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</si>
  <si>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</si>
  <si>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</si>
  <si>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</si>
  <si>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</si>
  <si>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</si>
  <si>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</si>
  <si>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</si>
  <si>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</si>
  <si>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</si>
  <si>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</si>
  <si>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</si>
  <si>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</si>
  <si>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</si>
  <si>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</si>
  <si>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</si>
  <si>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</si>
  <si>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</si>
  <si>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</si>
  <si>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</si>
  <si>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</si>
  <si>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</si>
  <si>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</si>
  <si>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</si>
  <si>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</si>
  <si>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</si>
  <si>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</si>
  <si>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</si>
  <si>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</si>
  <si>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</si>
  <si>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</si>
  <si>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</si>
  <si>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</si>
  <si>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</si>
  <si>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</si>
  <si>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</si>
  <si>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</si>
  <si>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</si>
  <si>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</si>
  <si>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</si>
  <si>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</si>
  <si>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</si>
  <si>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</si>
  <si>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</si>
  <si>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</si>
  <si>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</si>
  <si>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</si>
  <si>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</si>
  <si>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</si>
  <si>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</si>
  <si>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</si>
  <si>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</si>
  <si>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</si>
  <si>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</si>
  <si>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</si>
  <si>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</si>
  <si>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</si>
  <si>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</si>
  <si>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</si>
  <si>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</si>
  <si>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</si>
  <si>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</si>
  <si>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</si>
  <si>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</si>
  <si>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</si>
  <si>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</si>
  <si>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</si>
  <si>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</si>
  <si>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</si>
  <si>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</si>
  <si>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</si>
  <si>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</si>
  <si>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</si>
  <si>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</si>
  <si>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</si>
  <si>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</si>
  <si>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</si>
  <si>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</si>
  <si>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</si>
  <si>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</si>
  <si>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</si>
  <si>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</si>
  <si>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</si>
  <si>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</si>
  <si>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</si>
  <si>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</si>
  <si>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</si>
  <si>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</si>
  <si>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</si>
  <si>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</si>
  <si>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</si>
  <si>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</si>
  <si>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</si>
  <si>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</si>
  <si>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</si>
  <si>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</si>
  <si>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</si>
  <si>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</si>
  <si>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</si>
  <si>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</si>
  <si>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</si>
  <si>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</si>
  <si>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</si>
  <si>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</si>
  <si>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</si>
  <si>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</si>
  <si>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</si>
  <si>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</si>
  <si>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</si>
  <si>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</si>
  <si>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</si>
  <si>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</si>
  <si>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</si>
  <si>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</si>
  <si>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</si>
  <si>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</si>
  <si>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</si>
  <si>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</si>
  <si>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</si>
  <si>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</si>
  <si>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</si>
  <si>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</si>
  <si>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</si>
  <si>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</si>
  <si>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</si>
  <si>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</si>
  <si>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</si>
  <si>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</si>
  <si>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</si>
  <si>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</si>
  <si>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</si>
  <si>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</si>
  <si>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</si>
  <si>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</si>
  <si>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</si>
  <si>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</si>
  <si>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</si>
  <si>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</si>
  <si>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</si>
  <si>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</si>
  <si>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</si>
  <si>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</si>
  <si>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</si>
  <si>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</si>
  <si>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</si>
  <si>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</si>
  <si>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</si>
  <si>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</si>
  <si>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</si>
  <si>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</si>
  <si>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</si>
  <si>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</si>
  <si>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</si>
  <si>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</si>
  <si>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</si>
  <si>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</si>
  <si>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</si>
  <si>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</si>
  <si>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</si>
  <si>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</si>
  <si>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</si>
  <si>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</si>
  <si>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</si>
  <si>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</si>
  <si>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</si>
  <si>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</si>
  <si>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</si>
  <si>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</si>
  <si>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</si>
  <si>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</si>
  <si>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</si>
  <si>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</si>
  <si>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</si>
  <si>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</si>
  <si>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</si>
  <si>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</si>
  <si>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</si>
  <si>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</si>
  <si>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</si>
  <si>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</si>
  <si>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</si>
  <si>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</si>
  <si>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</si>
  <si>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</si>
  <si>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</si>
  <si>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</si>
  <si>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</si>
  <si>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</si>
  <si>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</si>
  <si>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</si>
  <si>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</si>
  <si>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</si>
  <si>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</si>
  <si>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</si>
  <si>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</si>
  <si>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</si>
  <si>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</si>
  <si>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</si>
  <si>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</si>
  <si>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</si>
  <si>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</si>
  <si>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</si>
  <si>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</si>
  <si>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</si>
  <si>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</si>
  <si>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</si>
  <si>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</si>
  <si>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</si>
  <si>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</si>
  <si>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</si>
  <si>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</si>
  <si>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</si>
  <si>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</si>
  <si>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</si>
  <si>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</si>
  <si>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</si>
  <si>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</si>
  <si>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</si>
  <si>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</si>
  <si>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</si>
  <si>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</si>
  <si>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</si>
  <si>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</si>
  <si>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</si>
  <si>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</si>
  <si>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</si>
  <si>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</si>
  <si>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</si>
  <si>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</si>
  <si>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</si>
  <si>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</si>
  <si>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</si>
  <si>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</si>
  <si>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</si>
  <si>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</si>
  <si>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</si>
  <si>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</si>
  <si>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</si>
  <si>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</si>
  <si>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</si>
  <si>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</si>
  <si>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</si>
  <si>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</si>
  <si>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</si>
  <si>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</si>
  <si>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</si>
  <si>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</si>
  <si>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</si>
  <si>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</si>
  <si>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</si>
  <si>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</si>
  <si>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</si>
  <si>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</si>
  <si>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</si>
  <si>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</si>
  <si>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</si>
  <si>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</si>
  <si>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</si>
  <si>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</si>
  <si>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</si>
  <si>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</si>
  <si>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</si>
  <si>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</si>
  <si>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</si>
  <si>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</si>
  <si>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</si>
  <si>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</si>
  <si>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</si>
  <si>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</si>
  <si>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</si>
  <si>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</si>
  <si>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</si>
  <si>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</si>
  <si>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</si>
  <si>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</si>
  <si>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</si>
  <si>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</si>
  <si>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</si>
  <si>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</si>
  <si>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</si>
  <si>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</si>
  <si>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</si>
  <si>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</si>
  <si>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</si>
  <si>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</si>
  <si>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</si>
  <si>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</si>
  <si>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</si>
  <si>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</si>
  <si>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</si>
  <si>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</si>
  <si>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</si>
  <si>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</si>
  <si>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</si>
  <si>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</si>
  <si>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</si>
  <si>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</si>
  <si>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</si>
  <si>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</si>
  <si>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</si>
  <si>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</si>
  <si>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</si>
  <si>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</si>
  <si>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</si>
  <si>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</si>
  <si>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</si>
  <si>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</si>
  <si>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</si>
  <si>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</si>
  <si>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</si>
  <si>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</si>
  <si>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</si>
  <si>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</si>
  <si>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</si>
  <si>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</si>
  <si>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</si>
  <si>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</si>
  <si>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</si>
  <si>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</si>
  <si>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</si>
  <si>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</si>
  <si>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</si>
  <si>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</si>
  <si>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</si>
  <si>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</si>
  <si>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</si>
  <si>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</si>
  <si>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</si>
  <si>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</si>
  <si>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</si>
  <si>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</si>
  <si>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</si>
  <si>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</si>
  <si>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</si>
  <si>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</si>
  <si>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</si>
  <si>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</si>
  <si>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</si>
  <si>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</si>
  <si>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</si>
  <si>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</si>
  <si>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</si>
  <si>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</si>
  <si>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</si>
  <si>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</si>
  <si>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</si>
  <si>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</si>
  <si>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</si>
  <si>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</si>
  <si>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</si>
  <si>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</si>
  <si>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</si>
  <si>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</si>
  <si>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</si>
  <si>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</si>
  <si>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</si>
  <si>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</si>
  <si>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</si>
  <si>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</si>
  <si>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</si>
  <si>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</si>
  <si>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</si>
  <si>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</si>
  <si>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</si>
  <si>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</si>
  <si>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</si>
  <si>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</si>
  <si>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</si>
  <si>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</si>
  <si>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</si>
  <si>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</si>
  <si>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</si>
  <si>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</si>
  <si>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</si>
  <si>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</si>
  <si>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</si>
  <si>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</si>
  <si>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</si>
  <si>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</si>
  <si>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</si>
  <si>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</si>
  <si>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</si>
  <si>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</si>
  <si>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</si>
  <si>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</si>
  <si>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</si>
  <si>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</si>
  <si>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</si>
  <si>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</si>
  <si>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</si>
  <si>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</si>
  <si>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</si>
  <si>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</si>
  <si>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</si>
  <si>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</si>
  <si>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</si>
  <si>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</si>
  <si>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</si>
  <si>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</si>
  <si>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</si>
  <si>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</si>
  <si>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</si>
  <si>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</si>
  <si>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</si>
  <si>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</si>
  <si>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</si>
  <si>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</si>
  <si>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</si>
  <si>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</si>
  <si>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</si>
  <si>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</si>
  <si>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</si>
  <si>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</si>
  <si>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</si>
  <si>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</si>
  <si>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</si>
  <si>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</si>
  <si>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</si>
  <si>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</si>
  <si>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</si>
  <si>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</si>
  <si>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</si>
  <si>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</si>
  <si>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</si>
  <si>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</si>
  <si>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</si>
  <si>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</si>
  <si>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</si>
  <si>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</si>
  <si>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</si>
  <si>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</si>
  <si>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</si>
  <si>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</si>
  <si>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</si>
  <si>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</si>
  <si>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</si>
  <si>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</si>
  <si>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</si>
  <si>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</si>
  <si>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</si>
  <si>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</si>
  <si>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</si>
  <si>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</si>
  <si>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</si>
  <si>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</si>
  <si>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</si>
  <si>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</si>
  <si>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</si>
  <si>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</si>
  <si>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</si>
  <si>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</si>
  <si>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</si>
  <si>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</si>
  <si>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</si>
  <si>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</si>
  <si>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</si>
  <si>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</si>
  <si>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</si>
  <si>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</si>
  <si>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</si>
  <si>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</si>
  <si>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</si>
  <si>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</si>
  <si>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</si>
  <si>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</si>
  <si>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</si>
  <si>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</si>
  <si>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</si>
  <si>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</si>
  <si>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</si>
  <si>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</si>
  <si>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</si>
  <si>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</si>
  <si>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</si>
  <si>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</si>
  <si>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</si>
  <si>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</si>
  <si>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</si>
  <si>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</si>
  <si>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</si>
  <si>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</si>
  <si>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</si>
  <si>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</si>
  <si>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</si>
  <si>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</si>
  <si>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</si>
  <si>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</si>
  <si>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</si>
  <si>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</si>
  <si>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</si>
  <si>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</si>
  <si>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</si>
  <si>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</si>
  <si>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</si>
  <si>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</si>
  <si>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</si>
  <si>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</si>
  <si>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</si>
  <si>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</si>
  <si>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</si>
  <si>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</si>
  <si>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</si>
  <si>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</si>
  <si>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</si>
  <si>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</si>
  <si>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</si>
  <si>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</si>
  <si>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</si>
  <si>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</si>
  <si>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</si>
  <si>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</si>
  <si>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</si>
  <si>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</si>
  <si>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</si>
  <si>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</si>
  <si>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</si>
  <si>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</si>
  <si>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</si>
  <si>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</si>
  <si>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</si>
  <si>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</si>
  <si>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</si>
  <si>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</si>
  <si>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</si>
  <si>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</si>
  <si>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</si>
  <si>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</si>
  <si>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</si>
  <si>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</si>
  <si>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</si>
  <si>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</si>
  <si>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</si>
  <si>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</si>
  <si>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</si>
  <si>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</si>
  <si>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</si>
  <si>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</si>
  <si>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</si>
  <si>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</si>
  <si>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</si>
  <si>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</si>
  <si>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</si>
  <si>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</si>
  <si>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</si>
  <si>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</si>
  <si>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</si>
  <si>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</si>
  <si>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</si>
  <si>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</si>
  <si>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</si>
  <si>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</si>
  <si>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</si>
  <si>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</si>
  <si>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</si>
  <si>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</si>
  <si>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</si>
  <si>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</si>
  <si>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</si>
  <si>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</si>
  <si>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</si>
  <si>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</si>
  <si>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</si>
  <si>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</si>
  <si>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</si>
  <si>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</si>
  <si>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</si>
  <si>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</si>
  <si>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</si>
  <si>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</si>
  <si>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</si>
  <si>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</si>
  <si>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</si>
  <si>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</si>
  <si>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</si>
  <si>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</si>
  <si>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</si>
  <si>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</si>
  <si>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</si>
  <si>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</si>
  <si>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</si>
  <si>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</si>
  <si>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</si>
  <si>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</si>
  <si>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</si>
  <si>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</si>
  <si>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</si>
  <si>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</si>
  <si>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</si>
  <si>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</si>
  <si>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</si>
  <si>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</si>
  <si>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</si>
  <si>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</si>
  <si>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</si>
  <si>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</si>
  <si>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</si>
  <si>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</si>
  <si>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</si>
  <si>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</si>
  <si>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</si>
  <si>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</si>
  <si>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</si>
  <si>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</si>
  <si>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</si>
  <si>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</si>
  <si>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</si>
  <si>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</si>
  <si>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</si>
  <si>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</si>
  <si>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</si>
  <si>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</si>
  <si>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</si>
  <si>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</si>
  <si>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</si>
  <si>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</si>
  <si>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</si>
  <si>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</si>
  <si>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</si>
  <si>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</si>
  <si>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</si>
  <si>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</si>
  <si>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</si>
  <si>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</si>
  <si>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</si>
  <si>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</si>
  <si>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</si>
  <si>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</si>
  <si>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</si>
  <si>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</si>
  <si>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</si>
  <si>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</si>
  <si>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</si>
  <si>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</si>
  <si>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</si>
  <si>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</si>
  <si>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</si>
  <si>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</si>
  <si>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</si>
  <si>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</si>
  <si>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</si>
  <si>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</si>
  <si>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</si>
  <si>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</si>
  <si>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</si>
  <si>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</si>
  <si>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</si>
  <si>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</si>
  <si>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</si>
  <si>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</si>
  <si>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</si>
  <si>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</si>
  <si>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</si>
  <si>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</si>
  <si>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</si>
  <si>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</si>
  <si>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</si>
  <si>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</si>
  <si>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</si>
  <si>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</si>
  <si>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</si>
  <si>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</si>
  <si>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</si>
  <si>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</si>
  <si>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</si>
  <si>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</si>
  <si>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</si>
  <si>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</si>
  <si>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</si>
  <si>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</si>
  <si>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</si>
  <si>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</si>
  <si>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</si>
  <si>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</si>
  <si>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</si>
  <si>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</si>
  <si>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</si>
  <si>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</si>
  <si>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</si>
  <si>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</si>
  <si>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</si>
  <si>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</si>
  <si>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</si>
  <si>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</si>
  <si>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</si>
  <si>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</si>
  <si>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</si>
  <si>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</si>
  <si>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</si>
  <si>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</si>
  <si>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</si>
  <si>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</si>
  <si>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</si>
  <si>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</si>
  <si>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</si>
  <si>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</si>
  <si>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</si>
  <si>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</si>
  <si>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</si>
  <si>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</si>
  <si>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</si>
  <si>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</si>
  <si>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</si>
  <si>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</si>
  <si>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</si>
  <si>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</si>
  <si>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</si>
  <si>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</si>
  <si>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</si>
  <si>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</si>
  <si>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</si>
  <si>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</si>
  <si>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</si>
  <si>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</si>
  <si>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</si>
  <si>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</si>
  <si>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</si>
  <si>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</si>
  <si>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</si>
  <si>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</si>
  <si>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</si>
  <si>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</si>
  <si>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</si>
  <si>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</si>
  <si>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</si>
  <si>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</si>
  <si>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</si>
  <si>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</si>
  <si>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</si>
  <si>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</si>
  <si>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</si>
  <si>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</si>
  <si>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</si>
  <si>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</si>
  <si>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</si>
  <si>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</si>
  <si>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</si>
  <si>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</si>
  <si>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</si>
  <si>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</si>
  <si>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</si>
  <si>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</si>
  <si>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</si>
  <si>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</si>
  <si>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</si>
  <si>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</si>
  <si>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</si>
  <si>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</si>
  <si>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</si>
  <si>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</si>
  <si>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</si>
  <si>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</si>
  <si>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</si>
  <si>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</si>
  <si>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</si>
  <si>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</si>
  <si>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</si>
  <si>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</si>
  <si>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</si>
  <si>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</si>
  <si>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</si>
  <si>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</si>
  <si>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</si>
  <si>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</si>
  <si>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</si>
  <si>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</si>
  <si>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</si>
  <si>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www.isbank.ge</t>
  </si>
  <si>
    <t>ნათია ჯანელიძე</t>
  </si>
  <si>
    <t>ჰუსეინ სერდარ იუჯელ</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</si>
  <si>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</si>
  <si>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</si>
  <si>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</si>
  <si>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</si>
  <si>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</si>
  <si>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</si>
  <si>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</si>
  <si>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</si>
  <si>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</si>
  <si>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</si>
  <si>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</si>
  <si>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</si>
  <si>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</si>
  <si>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</si>
  <si>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</si>
  <si>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</si>
  <si>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</si>
  <si>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</si>
  <si>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</si>
  <si>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</si>
  <si>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</si>
  <si>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</si>
  <si>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</si>
  <si>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</si>
  <si>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</si>
  <si>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</si>
  <si>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</si>
  <si>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</si>
  <si>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</si>
  <si>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</si>
  <si>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</si>
  <si>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</si>
  <si>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</si>
  <si>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</si>
  <si>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</si>
  <si>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</si>
  <si>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</si>
  <si>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</si>
  <si>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</si>
  <si>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</si>
  <si>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</si>
  <si>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</si>
  <si>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</si>
  <si>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</si>
  <si>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</si>
  <si>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</si>
  <si>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</si>
  <si>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</si>
  <si>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</si>
  <si>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</si>
  <si>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</si>
  <si>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</si>
  <si>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</si>
  <si>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</si>
  <si>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</si>
  <si>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</si>
  <si>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</si>
  <si>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</si>
  <si>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</si>
  <si>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</si>
  <si>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</si>
  <si>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</si>
  <si>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</si>
  <si>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</si>
  <si>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</si>
  <si>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</si>
  <si>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</si>
  <si>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</si>
  <si>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</si>
  <si>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ვასილ აფხაზავა</t>
  </si>
  <si>
    <t>რისკების დირექტორი</t>
  </si>
  <si>
    <t>ოლგუნ თუფან ქურბანოღლუ</t>
  </si>
  <si>
    <t>სერმინ ნაზიმე სარაჩ სოსანოღლუ</t>
  </si>
  <si>
    <t>თამარ სანიკიძე</t>
  </si>
  <si>
    <t>ჰუსეინ ემრე ილმაზ</t>
  </si>
  <si>
    <t>ოზან უიარ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</si>
</sst>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106" xfId="0" applyFont="1" applyFill="1" applyBorder="1" applyAlignment="1">
      <alignment horizontal="center" vertical="center" wrapText="1"/>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5" fillId="0" borderId="107" xfId="0" applyFont="1" applyFill="1" applyBorder="1" applyAlignment="1">
      <alignment horizontal="left" vertical="top"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0" fontId="104" fillId="0" borderId="106" xfId="0" applyFont="1" applyFill="1" applyBorder="1" applyAlignment="1">
      <alignment horizontal="center" vertical="center"/>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28515625" style="2" customWidth="1"/>
    <col min="2" max="2" width="153" bestFit="1" customWidth="1"/>
    <col min="3" max="3" width="34.85546875" bestFit="1" customWidth="1"/>
    <col min="7" max="7" width="25" customWidth="1"/>
  </cols>
  <sheetData>
    <row r="1" spans="1:3" ht="15.75">
      <c r="A1" s="10"/>
      <c r="B1" s="164" t="s">
        <v>254</v>
      </c>
      <c r="C1" s="76"/>
    </row>
    <row r="2" spans="1:3" s="161" customFormat="1" ht="15.75">
      <c r="A2" s="210">
        <v>1</v>
      </c>
      <c r="B2" s="162" t="s">
        <v>255</v>
      </c>
      <c r="C2" s="525" t="s">
        <v>954</v>
      </c>
    </row>
    <row r="3" spans="1:3" s="161" customFormat="1" ht="15.75">
      <c r="A3" s="210">
        <v>2</v>
      </c>
      <c r="B3" s="163" t="s">
        <v>256</v>
      </c>
      <c r="C3" s="525" t="s">
        <v>1029</v>
      </c>
    </row>
    <row r="4" spans="1:3" s="161" customFormat="1" ht="15.75">
      <c r="A4" s="210">
        <v>3</v>
      </c>
      <c r="B4" s="163" t="s">
        <v>257</v>
      </c>
      <c r="C4" s="525" t="s">
        <v>1032</v>
      </c>
    </row>
    <row r="5" spans="1:3" s="161" customFormat="1" ht="15.75">
      <c r="A5" s="211">
        <v>4</v>
      </c>
      <c r="B5" s="166" t="s">
        <v>258</v>
      </c>
      <c r="C5" s="526" t="s">
        <v>955</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623</v>
      </c>
    </row>
    <row r="26" spans="1:2">
      <c r="A26" s="312">
        <v>17</v>
      </c>
      <c r="B26" s="303" t="s">
        <v>934</v>
      </c>
    </row>
    <row r="27" spans="1:2">
      <c r="A27" s="312">
        <v>18</v>
      </c>
      <c r="B27" s="303" t="s">
        <v>935</v>
      </c>
    </row>
    <row r="28" spans="1:2">
      <c r="A28" s="312">
        <v>19</v>
      </c>
      <c r="B28" s="303" t="s">
        <v>936</v>
      </c>
    </row>
    <row r="29" spans="1:2">
      <c r="A29" s="312">
        <v>20</v>
      </c>
      <c r="B29" s="311" t="s">
        <v>722</v>
      </c>
    </row>
    <row r="30" spans="1:2">
      <c r="A30" s="312">
        <v>21</v>
      </c>
      <c r="B30" s="303" t="s">
        <v>740</v>
      </c>
    </row>
    <row r="31" spans="1:2">
      <c r="A31" s="312">
        <v>22</v>
      </c>
      <c r="B31" s="509" t="s">
        <v>757</v>
      </c>
    </row>
    <row r="32" spans="1:2" ht="26.25">
      <c r="A32" s="312">
        <v>23</v>
      </c>
      <c r="B32" s="509" t="s">
        <v>937</v>
      </c>
    </row>
    <row r="33" spans="1:2">
      <c r="A33" s="312">
        <v>24</v>
      </c>
      <c r="B33" s="303" t="s">
        <v>938</v>
      </c>
    </row>
    <row r="34" spans="1:2">
      <c r="A34" s="312">
        <v>25</v>
      </c>
      <c r="B34" s="303" t="s">
        <v>939</v>
      </c>
    </row>
    <row r="35" spans="1:2">
      <c r="A35" s="307">
        <v>26</v>
      </c>
      <c r="B35" s="311" t="s">
        <v>1025</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954</v>
      </c>
      <c r="D1" s="2"/>
      <c r="E1" s="2"/>
      <c r="F1" s="2"/>
    </row>
    <row r="2" spans="1:6" s="22" customFormat="1" ht="15.75" customHeight="1">
      <c r="A2" s="527" t="s">
        <v>189</v>
      </c>
      <c r="B2" s="529">
        <f>'1. key ratios'!B2</f>
        <v>44926</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111337578.71396202</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42175978.713962011</v>
      </c>
    </row>
    <row r="12" spans="1:6" s="4" customFormat="1">
      <c r="A12" s="116">
        <v>7</v>
      </c>
      <c r="B12" s="65" t="s">
        <v>34</v>
      </c>
      <c r="C12" s="647">
        <f>SUM(C13:C27)</f>
        <v>241978.79</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241978.79</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111095599.92396201</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5077386.1959343012</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5077386.1959343012</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5077386.1959343012</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954</v>
      </c>
    </row>
    <row r="2" spans="1:4" s="22" customFormat="1" ht="15.75" customHeight="1">
      <c r="A2" s="527" t="s">
        <v>189</v>
      </c>
      <c r="B2" s="529">
        <f>'1. key ratios'!B2</f>
        <v>44926</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20139852.121326271</v>
      </c>
    </row>
    <row r="8" spans="1:4" s="296" customFormat="1">
      <c r="A8" s="289" t="s">
        <v>534</v>
      </c>
      <c r="B8" s="290" t="s">
        <v>535</v>
      </c>
      <c r="C8" s="342">
        <v>0.06</v>
      </c>
      <c r="D8" s="651">
        <f>C8*'5. RWA'!$C$13</f>
        <v>26853136.161768362</v>
      </c>
    </row>
    <row r="9" spans="1:4" s="296" customFormat="1">
      <c r="A9" s="289" t="s">
        <v>536</v>
      </c>
      <c r="B9" s="290" t="s">
        <v>537</v>
      </c>
      <c r="C9" s="342">
        <v>0.08</v>
      </c>
      <c r="D9" s="651">
        <f>C9*'5. RWA'!$C$13</f>
        <v>35804181.549024485</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4.3361027542591753E-2</v>
      </c>
      <c r="D15" s="652">
        <f>C15*'5. RWA'!$C$13</f>
        <v>19406326.278590076</v>
      </c>
    </row>
    <row r="16" spans="1:4" s="296" customFormat="1">
      <c r="A16" s="304" t="s">
        <v>549</v>
      </c>
      <c r="B16" s="292" t="s">
        <v>551</v>
      </c>
      <c r="C16" s="344">
        <v>5.785788864460796E-2</v>
      </c>
      <c r="D16" s="652">
        <f>C16*'5. RWA'!$C$13</f>
        <v>25894429.363434818</v>
      </c>
    </row>
    <row r="17" spans="1:6" s="296" customFormat="1">
      <c r="A17" s="304" t="s">
        <v>550</v>
      </c>
      <c r="B17" s="292" t="s">
        <v>598</v>
      </c>
      <c r="C17" s="655">
        <v>9.3190920321257781E-2</v>
      </c>
      <c r="D17" s="652">
        <f>C17*'5. RWA'!$C$13</f>
        <v>41707807.873787358</v>
      </c>
    </row>
    <row r="18" spans="1:6" s="295" customFormat="1">
      <c r="A18" s="791" t="s">
        <v>599</v>
      </c>
      <c r="B18" s="792"/>
      <c r="C18" s="346" t="s">
        <v>529</v>
      </c>
      <c r="D18" s="340" t="s">
        <v>530</v>
      </c>
    </row>
    <row r="19" spans="1:6" s="296" customFormat="1">
      <c r="A19" s="293">
        <v>4</v>
      </c>
      <c r="B19" s="292" t="s">
        <v>23</v>
      </c>
      <c r="C19" s="344">
        <f>C7+C11+C12+C13+C15</f>
        <v>8.8361027542591758E-2</v>
      </c>
      <c r="D19" s="651">
        <f>C19*'5. RWA'!$C$13</f>
        <v>39546178.399916351</v>
      </c>
    </row>
    <row r="20" spans="1:6" s="296" customFormat="1">
      <c r="A20" s="293">
        <v>5</v>
      </c>
      <c r="B20" s="292" t="s">
        <v>89</v>
      </c>
      <c r="C20" s="344">
        <f>C8+C11+C12+C13+C16</f>
        <v>0.11785788864460796</v>
      </c>
      <c r="D20" s="651">
        <f>C20*'5. RWA'!$C$13</f>
        <v>52747565.525203176</v>
      </c>
    </row>
    <row r="21" spans="1:6" s="296" customFormat="1" ht="13.5" thickBot="1">
      <c r="A21" s="298" t="s">
        <v>546</v>
      </c>
      <c r="B21" s="299" t="s">
        <v>88</v>
      </c>
      <c r="C21" s="347">
        <f>C9+C11+C12+C13+C17</f>
        <v>0.17319092032125777</v>
      </c>
      <c r="D21" s="654">
        <f>C21*'5. RWA'!$C$13</f>
        <v>77511989.422811836</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954</v>
      </c>
      <c r="E1" s="2"/>
      <c r="F1" s="2"/>
    </row>
    <row r="2" spans="1:6" s="22" customFormat="1" ht="15.75" customHeight="1">
      <c r="A2" s="527" t="s">
        <v>189</v>
      </c>
      <c r="B2" s="529">
        <f>'1. key ratios'!B2</f>
        <v>44926</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3279127.22</v>
      </c>
      <c r="D6" s="122"/>
      <c r="E6" s="8"/>
    </row>
    <row r="7" spans="1:6">
      <c r="A7" s="121">
        <v>2</v>
      </c>
      <c r="B7" s="69" t="s">
        <v>155</v>
      </c>
      <c r="C7" s="214">
        <f>'2. RC'!E8</f>
        <v>43929551.57</v>
      </c>
      <c r="D7" s="123"/>
      <c r="E7" s="8"/>
    </row>
    <row r="8" spans="1:6">
      <c r="A8" s="121">
        <v>3</v>
      </c>
      <c r="B8" s="69" t="s">
        <v>156</v>
      </c>
      <c r="C8" s="214">
        <f>'2. RC'!E9</f>
        <v>49605717.840879999</v>
      </c>
      <c r="D8" s="123"/>
      <c r="E8" s="8"/>
    </row>
    <row r="9" spans="1:6">
      <c r="A9" s="121">
        <v>4</v>
      </c>
      <c r="B9" s="69" t="s">
        <v>185</v>
      </c>
      <c r="C9" s="214">
        <f>'2. RC'!E10</f>
        <v>0</v>
      </c>
      <c r="D9" s="123"/>
      <c r="E9" s="8"/>
    </row>
    <row r="10" spans="1:6">
      <c r="A10" s="121">
        <v>5</v>
      </c>
      <c r="B10" s="69" t="s">
        <v>157</v>
      </c>
      <c r="C10" s="214">
        <f>'2. RC'!E11</f>
        <v>38420708.158358827</v>
      </c>
      <c r="D10" s="123"/>
      <c r="E10" s="8"/>
    </row>
    <row r="11" spans="1:6">
      <c r="A11" s="121">
        <v>6.1</v>
      </c>
      <c r="B11" s="69" t="s">
        <v>158</v>
      </c>
      <c r="C11" s="214">
        <f>'2. RC'!E12</f>
        <v>270496996.38999999</v>
      </c>
      <c r="D11" s="124"/>
      <c r="E11" s="9"/>
    </row>
    <row r="12" spans="1:6">
      <c r="A12" s="121">
        <v>6.2</v>
      </c>
      <c r="B12" s="70" t="s">
        <v>159</v>
      </c>
      <c r="C12" s="214">
        <f>'2. RC'!E13</f>
        <v>-7298361.8076000009</v>
      </c>
      <c r="D12" s="124"/>
      <c r="E12" s="9"/>
    </row>
    <row r="13" spans="1:6">
      <c r="A13" s="121" t="s">
        <v>487</v>
      </c>
      <c r="B13" s="71" t="s">
        <v>488</v>
      </c>
      <c r="C13" s="216">
        <v>-4682202.0316000003</v>
      </c>
      <c r="D13" s="124"/>
      <c r="E13" s="9"/>
    </row>
    <row r="14" spans="1:6">
      <c r="A14" s="121" t="s">
        <v>621</v>
      </c>
      <c r="B14" s="71" t="s">
        <v>610</v>
      </c>
      <c r="C14" s="216">
        <f>-'8. LI2'!C12</f>
        <v>0</v>
      </c>
      <c r="D14" s="124"/>
      <c r="E14" s="9"/>
    </row>
    <row r="15" spans="1:6">
      <c r="A15" s="121">
        <v>6</v>
      </c>
      <c r="B15" s="69" t="s">
        <v>160</v>
      </c>
      <c r="C15" s="657">
        <f>C11+C12</f>
        <v>263198634.58239999</v>
      </c>
      <c r="D15" s="124"/>
      <c r="E15" s="8"/>
    </row>
    <row r="16" spans="1:6">
      <c r="A16" s="121">
        <v>7</v>
      </c>
      <c r="B16" s="69" t="s">
        <v>161</v>
      </c>
      <c r="C16" s="215">
        <f>'2. RC'!E15</f>
        <v>2326782.0487250434</v>
      </c>
      <c r="D16" s="123"/>
      <c r="E16" s="8"/>
    </row>
    <row r="17" spans="1:5">
      <c r="A17" s="121">
        <v>8</v>
      </c>
      <c r="B17" s="69" t="s">
        <v>162</v>
      </c>
      <c r="C17" s="215">
        <f>'2. RC'!E16</f>
        <v>569825.30999999994</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6931687.4800000004</v>
      </c>
      <c r="D22" s="123"/>
      <c r="E22" s="8"/>
    </row>
    <row r="23" spans="1:5">
      <c r="A23" s="121">
        <v>10.1</v>
      </c>
      <c r="B23" s="71" t="s">
        <v>234</v>
      </c>
      <c r="C23" s="658">
        <f>'9. Capital'!C15</f>
        <v>241978.79</v>
      </c>
      <c r="D23" s="212" t="s">
        <v>440</v>
      </c>
      <c r="E23" s="8"/>
    </row>
    <row r="24" spans="1:5">
      <c r="A24" s="121">
        <v>11</v>
      </c>
      <c r="B24" s="72" t="s">
        <v>165</v>
      </c>
      <c r="C24" s="215">
        <f>'2. RC'!E19</f>
        <v>5157693.8725049207</v>
      </c>
      <c r="D24" s="125"/>
      <c r="E24" s="8"/>
    </row>
    <row r="25" spans="1:5">
      <c r="A25" s="121">
        <v>12</v>
      </c>
      <c r="B25" s="74" t="s">
        <v>166</v>
      </c>
      <c r="C25" s="218">
        <f>SUM(C6:C10,C15:C18,C22,C24)</f>
        <v>413419728.08286881</v>
      </c>
      <c r="D25" s="126"/>
      <c r="E25" s="7"/>
    </row>
    <row r="26" spans="1:5">
      <c r="A26" s="121">
        <v>13</v>
      </c>
      <c r="B26" s="69" t="s">
        <v>167</v>
      </c>
      <c r="C26" s="219">
        <f>'2. RC'!E22</f>
        <v>68172576.960000008</v>
      </c>
      <c r="D26" s="127"/>
      <c r="E26" s="8"/>
    </row>
    <row r="27" spans="1:5">
      <c r="A27" s="121">
        <v>14</v>
      </c>
      <c r="B27" s="69" t="s">
        <v>168</v>
      </c>
      <c r="C27" s="219">
        <f>'2. RC'!E23</f>
        <v>93803872.23999995</v>
      </c>
      <c r="D27" s="123"/>
      <c r="E27" s="8"/>
    </row>
    <row r="28" spans="1:5">
      <c r="A28" s="121">
        <v>15</v>
      </c>
      <c r="B28" s="69" t="s">
        <v>169</v>
      </c>
      <c r="C28" s="219">
        <f>'2. RC'!E24</f>
        <v>0</v>
      </c>
      <c r="D28" s="123"/>
      <c r="E28" s="8"/>
    </row>
    <row r="29" spans="1:5">
      <c r="A29" s="121">
        <v>16</v>
      </c>
      <c r="B29" s="69" t="s">
        <v>170</v>
      </c>
      <c r="C29" s="219">
        <f>'2. RC'!E25</f>
        <v>53602716.280000001</v>
      </c>
      <c r="D29" s="123"/>
      <c r="E29" s="8"/>
    </row>
    <row r="30" spans="1:5">
      <c r="A30" s="121">
        <v>17</v>
      </c>
      <c r="B30" s="69" t="s">
        <v>171</v>
      </c>
      <c r="C30" s="219">
        <f>'2. RC'!E26</f>
        <v>0</v>
      </c>
      <c r="D30" s="123"/>
      <c r="E30" s="8"/>
    </row>
    <row r="31" spans="1:5">
      <c r="A31" s="121">
        <v>18</v>
      </c>
      <c r="B31" s="69" t="s">
        <v>172</v>
      </c>
      <c r="C31" s="219">
        <f>'2. RC'!E27</f>
        <v>72266920.67583999</v>
      </c>
      <c r="D31" s="123"/>
      <c r="E31" s="8"/>
    </row>
    <row r="32" spans="1:5">
      <c r="A32" s="121">
        <v>19</v>
      </c>
      <c r="B32" s="69" t="s">
        <v>173</v>
      </c>
      <c r="C32" s="219">
        <f>'2. RC'!E28</f>
        <v>1352321.79966</v>
      </c>
      <c r="D32" s="123"/>
      <c r="E32" s="8"/>
    </row>
    <row r="33" spans="1:5">
      <c r="A33" s="121">
        <v>20</v>
      </c>
      <c r="B33" s="69" t="s">
        <v>95</v>
      </c>
      <c r="C33" s="219">
        <f>'2. RC'!E29</f>
        <v>12883741.428301409</v>
      </c>
      <c r="D33" s="123"/>
      <c r="E33" s="8"/>
    </row>
    <row r="34" spans="1:5">
      <c r="A34" s="121">
        <v>20.100000000000001</v>
      </c>
      <c r="B34" s="73" t="s">
        <v>486</v>
      </c>
      <c r="C34" s="217">
        <v>-566349.67839999998</v>
      </c>
      <c r="D34" s="125"/>
      <c r="E34" s="8"/>
    </row>
    <row r="35" spans="1:5">
      <c r="A35" s="121">
        <v>21</v>
      </c>
      <c r="B35" s="72" t="s">
        <v>174</v>
      </c>
      <c r="C35" s="219">
        <f>'2. RC'!E30</f>
        <v>0</v>
      </c>
      <c r="D35" s="125"/>
      <c r="E35" s="8"/>
    </row>
    <row r="36" spans="1:5">
      <c r="A36" s="121">
        <v>21.1</v>
      </c>
      <c r="B36" s="73" t="s">
        <v>233</v>
      </c>
      <c r="C36" s="220">
        <f>'9. Capital'!C44</f>
        <v>0</v>
      </c>
      <c r="D36" s="212" t="s">
        <v>969</v>
      </c>
      <c r="E36" s="8"/>
    </row>
    <row r="37" spans="1:5">
      <c r="A37" s="121">
        <v>22</v>
      </c>
      <c r="B37" s="74" t="s">
        <v>175</v>
      </c>
      <c r="C37" s="218">
        <f>SUM(C26:C33,C35)</f>
        <v>302082149.38380134</v>
      </c>
      <c r="D37" s="126"/>
      <c r="E37" s="7"/>
    </row>
    <row r="38" spans="1:5">
      <c r="A38" s="121">
        <v>23</v>
      </c>
      <c r="B38" s="72" t="s">
        <v>176</v>
      </c>
      <c r="C38" s="215">
        <f>'9. Capital'!C7</f>
        <v>69161600</v>
      </c>
      <c r="D38" s="212" t="s">
        <v>970</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42175978.713962011</v>
      </c>
      <c r="D43" s="212" t="s">
        <v>971</v>
      </c>
      <c r="E43" s="8"/>
    </row>
    <row r="44" spans="1:5">
      <c r="A44" s="121">
        <v>29</v>
      </c>
      <c r="B44" s="72" t="s">
        <v>35</v>
      </c>
      <c r="C44" s="215"/>
      <c r="D44" s="123"/>
      <c r="E44" s="8"/>
    </row>
    <row r="45" spans="1:5" ht="16.5" thickBot="1">
      <c r="A45" s="128">
        <v>30</v>
      </c>
      <c r="B45" s="129" t="s">
        <v>182</v>
      </c>
      <c r="C45" s="221">
        <f>SUM(C38:C44)</f>
        <v>111337578.71396202</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954</v>
      </c>
    </row>
    <row r="2" spans="1:19" ht="15">
      <c r="A2" s="527" t="s">
        <v>189</v>
      </c>
      <c r="B2" s="529">
        <f>'1. key ratios'!B2</f>
        <v>44926</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5898398.3700000001</v>
      </c>
      <c r="D8" s="659"/>
      <c r="E8" s="659"/>
      <c r="F8" s="659"/>
      <c r="G8" s="659"/>
      <c r="H8" s="659"/>
      <c r="I8" s="659"/>
      <c r="J8" s="659"/>
      <c r="K8" s="659"/>
      <c r="L8" s="659"/>
      <c r="M8" s="659">
        <v>40494693.603297405</v>
      </c>
      <c r="N8" s="659"/>
      <c r="O8" s="659"/>
      <c r="P8" s="659"/>
      <c r="Q8" s="659"/>
      <c r="R8" s="659"/>
      <c r="S8" s="660">
        <f>$C$6*SUM(C8:D8)+$E$6*SUM(E8:F8)+$G$6*SUM(G8:H8)+$I$6*SUM(I8:J8)+$K$6*SUM(K8:L8)+$M$6*SUM(M8:N8)+$O$6*SUM(O8:P8)+$Q$6*SUM(Q8:R8)</f>
        <v>40494693.603297405</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8071.23</v>
      </c>
      <c r="F13" s="659"/>
      <c r="G13" s="659"/>
      <c r="H13" s="659"/>
      <c r="I13" s="659">
        <v>53392425.433140002</v>
      </c>
      <c r="J13" s="659">
        <v>13304421.055</v>
      </c>
      <c r="K13" s="659"/>
      <c r="L13" s="659"/>
      <c r="M13" s="659">
        <v>17611586.168429412</v>
      </c>
      <c r="N13" s="659">
        <v>20304344.564999998</v>
      </c>
      <c r="O13" s="659"/>
      <c r="P13" s="659"/>
      <c r="Q13" s="659"/>
      <c r="R13" s="659"/>
      <c r="S13" s="660">
        <f t="shared" si="0"/>
        <v>71265968.223499417</v>
      </c>
    </row>
    <row r="14" spans="1:19" s="139" customFormat="1">
      <c r="A14" s="104">
        <v>7</v>
      </c>
      <c r="B14" s="157" t="s">
        <v>73</v>
      </c>
      <c r="C14" s="659"/>
      <c r="D14" s="659"/>
      <c r="E14" s="659"/>
      <c r="F14" s="659"/>
      <c r="G14" s="659"/>
      <c r="H14" s="659"/>
      <c r="I14" s="659"/>
      <c r="J14" s="659"/>
      <c r="K14" s="659"/>
      <c r="L14" s="659"/>
      <c r="M14" s="659">
        <v>277715676.08457172</v>
      </c>
      <c r="N14" s="659">
        <v>23720460.379999999</v>
      </c>
      <c r="O14" s="659"/>
      <c r="P14" s="659"/>
      <c r="Q14" s="659"/>
      <c r="R14" s="659"/>
      <c r="S14" s="660">
        <f t="shared" si="0"/>
        <v>301436136.46457171</v>
      </c>
    </row>
    <row r="15" spans="1:19" s="139" customFormat="1">
      <c r="A15" s="104">
        <v>8</v>
      </c>
      <c r="B15" s="157" t="s">
        <v>74</v>
      </c>
      <c r="C15" s="659"/>
      <c r="D15" s="659"/>
      <c r="E15" s="659"/>
      <c r="F15" s="659"/>
      <c r="G15" s="659"/>
      <c r="H15" s="659"/>
      <c r="I15" s="659"/>
      <c r="J15" s="659"/>
      <c r="K15" s="659"/>
      <c r="L15" s="659"/>
      <c r="M15" s="659"/>
      <c r="N15" s="659">
        <v>26734.190000000006</v>
      </c>
      <c r="O15" s="659"/>
      <c r="P15" s="659"/>
      <c r="Q15" s="659"/>
      <c r="R15" s="659"/>
      <c r="S15" s="660">
        <f t="shared" si="0"/>
        <v>26734.190000000006</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553773.74500000034</v>
      </c>
      <c r="N17" s="659"/>
      <c r="O17" s="659"/>
      <c r="P17" s="659"/>
      <c r="Q17" s="659"/>
      <c r="R17" s="659"/>
      <c r="S17" s="660">
        <f t="shared" si="0"/>
        <v>553773.74500000034</v>
      </c>
    </row>
    <row r="18" spans="1:19" s="139" customFormat="1">
      <c r="A18" s="104">
        <v>11</v>
      </c>
      <c r="B18" s="157" t="s">
        <v>70</v>
      </c>
      <c r="C18" s="659"/>
      <c r="D18" s="659"/>
      <c r="E18" s="659"/>
      <c r="F18" s="659"/>
      <c r="G18" s="659"/>
      <c r="H18" s="659"/>
      <c r="I18" s="659"/>
      <c r="J18" s="659"/>
      <c r="K18" s="659"/>
      <c r="L18" s="659"/>
      <c r="M18" s="659"/>
      <c r="N18" s="659"/>
      <c r="O18" s="659"/>
      <c r="P18" s="659"/>
      <c r="Q18" s="659"/>
      <c r="R18" s="659"/>
      <c r="S18" s="660">
        <f t="shared" si="0"/>
        <v>0</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3279127.22</v>
      </c>
      <c r="D21" s="659"/>
      <c r="E21" s="659"/>
      <c r="F21" s="659"/>
      <c r="G21" s="659"/>
      <c r="H21" s="659"/>
      <c r="I21" s="659"/>
      <c r="J21" s="659"/>
      <c r="K21" s="659"/>
      <c r="L21" s="659"/>
      <c r="M21" s="659">
        <v>19671753.194504924</v>
      </c>
      <c r="N21" s="659"/>
      <c r="O21" s="659"/>
      <c r="P21" s="659"/>
      <c r="Q21" s="659"/>
      <c r="R21" s="659"/>
      <c r="S21" s="660">
        <f t="shared" si="0"/>
        <v>19671753.194504924</v>
      </c>
    </row>
    <row r="22" spans="1:19" ht="13.5" thickBot="1">
      <c r="A22" s="86"/>
      <c r="B22" s="141" t="s">
        <v>68</v>
      </c>
      <c r="C22" s="661">
        <f>SUM(C8:C21)</f>
        <v>9177525.5899999999</v>
      </c>
      <c r="D22" s="661">
        <f t="shared" ref="D22:S22" si="1">SUM(D8:D21)</f>
        <v>0</v>
      </c>
      <c r="E22" s="661">
        <f t="shared" si="1"/>
        <v>8071.23</v>
      </c>
      <c r="F22" s="661">
        <f t="shared" si="1"/>
        <v>0</v>
      </c>
      <c r="G22" s="661">
        <f t="shared" si="1"/>
        <v>0</v>
      </c>
      <c r="H22" s="661">
        <f t="shared" si="1"/>
        <v>0</v>
      </c>
      <c r="I22" s="661">
        <f t="shared" si="1"/>
        <v>53392425.433140002</v>
      </c>
      <c r="J22" s="661">
        <f t="shared" si="1"/>
        <v>13304421.055</v>
      </c>
      <c r="K22" s="661">
        <f t="shared" si="1"/>
        <v>0</v>
      </c>
      <c r="L22" s="661">
        <f t="shared" si="1"/>
        <v>0</v>
      </c>
      <c r="M22" s="661">
        <f t="shared" si="1"/>
        <v>356047482.79580349</v>
      </c>
      <c r="N22" s="661">
        <f t="shared" si="1"/>
        <v>44051539.13499999</v>
      </c>
      <c r="O22" s="661">
        <f t="shared" si="1"/>
        <v>0</v>
      </c>
      <c r="P22" s="661">
        <f t="shared" si="1"/>
        <v>0</v>
      </c>
      <c r="Q22" s="661">
        <f t="shared" si="1"/>
        <v>0</v>
      </c>
      <c r="R22" s="661">
        <f t="shared" si="1"/>
        <v>0</v>
      </c>
      <c r="S22" s="662">
        <f t="shared" si="1"/>
        <v>433449059.42087346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954</v>
      </c>
    </row>
    <row r="2" spans="1:22" ht="15">
      <c r="A2" s="527" t="s">
        <v>189</v>
      </c>
      <c r="B2" s="529">
        <f>'1. key ratios'!B2</f>
        <v>44926</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27113494.327999998</v>
      </c>
      <c r="E13" s="659"/>
      <c r="F13" s="659"/>
      <c r="G13" s="659"/>
      <c r="H13" s="659"/>
      <c r="I13" s="659"/>
      <c r="J13" s="659"/>
      <c r="K13" s="659"/>
      <c r="L13" s="640"/>
      <c r="M13" s="663"/>
      <c r="N13" s="659"/>
      <c r="O13" s="659"/>
      <c r="P13" s="659"/>
      <c r="Q13" s="659"/>
      <c r="R13" s="659"/>
      <c r="S13" s="640"/>
      <c r="T13" s="664">
        <v>26319690.838</v>
      </c>
      <c r="U13" s="664">
        <v>793803.49</v>
      </c>
      <c r="V13" s="665">
        <f t="shared" si="0"/>
        <v>27113494.327999998</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144669.41812936612</v>
      </c>
      <c r="E20" s="659"/>
      <c r="F20" s="659"/>
      <c r="G20" s="659"/>
      <c r="H20" s="659"/>
      <c r="I20" s="659"/>
      <c r="J20" s="659"/>
      <c r="K20" s="659"/>
      <c r="L20" s="640"/>
      <c r="M20" s="663"/>
      <c r="N20" s="659"/>
      <c r="O20" s="659"/>
      <c r="P20" s="659"/>
      <c r="Q20" s="659"/>
      <c r="R20" s="659"/>
      <c r="S20" s="640"/>
      <c r="T20" s="664">
        <v>144669.41812936612</v>
      </c>
      <c r="U20" s="664"/>
      <c r="V20" s="665">
        <f t="shared" si="0"/>
        <v>144669.41812936612</v>
      </c>
    </row>
    <row r="21" spans="1:22" ht="13.5" thickBot="1">
      <c r="A21" s="86"/>
      <c r="B21" s="87" t="s">
        <v>68</v>
      </c>
      <c r="C21" s="666">
        <f>SUM(C7:C20)</f>
        <v>0</v>
      </c>
      <c r="D21" s="667">
        <f t="shared" ref="D21:V21" si="1">SUM(D7:D20)</f>
        <v>27258163.746129364</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26464360.256129365</v>
      </c>
      <c r="U21" s="668">
        <f t="shared" ref="U21" si="2">SUM(U7:U20)</f>
        <v>793803.49</v>
      </c>
      <c r="V21" s="669">
        <f t="shared" si="1"/>
        <v>27258163.746129364</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954</v>
      </c>
    </row>
    <row r="2" spans="1:9" ht="15">
      <c r="A2" s="527" t="s">
        <v>189</v>
      </c>
      <c r="B2" s="529">
        <f>'1. key ratios'!B2</f>
        <v>44926</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46393091.973297402</v>
      </c>
      <c r="D8" s="673"/>
      <c r="E8" s="672">
        <f>'11. CRWA'!D8+'11. CRWA'!F8+'11. CRWA'!H8+'11. CRWA'!J8+'11. CRWA'!L8+'11. CRWA'!N8+'11. CRWA'!P8+'11. CRWA'!R8</f>
        <v>0</v>
      </c>
      <c r="F8" s="672">
        <f>'11. CRWA'!S8</f>
        <v>40494693.603297405</v>
      </c>
      <c r="G8" s="674">
        <f>F8-'12. CRM'!V7</f>
        <v>40494693.603297405</v>
      </c>
      <c r="H8" s="670">
        <f>IFERROR(G8/(C8+E8),0)</f>
        <v>0.87286041694752847</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71012082.831569403</v>
      </c>
      <c r="D13" s="673">
        <f>'11. CRWA'!D13+'11. CRWA'!F13+'11. CRWA'!H13+'11. CRWA'!J13+'11. CRWA'!L13+'11. CRWA'!N13+'11. CRWA'!P13+'11. CRWA'!R13</f>
        <v>33608765.619999997</v>
      </c>
      <c r="E13" s="672">
        <f>'11. CRWA'!D13+'11. CRWA'!F13+'11. CRWA'!H13+'11. CRWA'!J13+'11. CRWA'!L13+'11. CRWA'!N13+'11. CRWA'!P13+'11. CRWA'!R13</f>
        <v>33608765.619999997</v>
      </c>
      <c r="F13" s="672">
        <f>'11. CRWA'!S13</f>
        <v>71265968.223499417</v>
      </c>
      <c r="G13" s="674">
        <f>F13-'12. CRM'!V12</f>
        <v>71265968.223499417</v>
      </c>
      <c r="H13" s="670">
        <f t="shared" si="0"/>
        <v>0.6811832371679678</v>
      </c>
    </row>
    <row r="14" spans="1:9">
      <c r="A14" s="75">
        <v>7</v>
      </c>
      <c r="B14" s="57" t="s">
        <v>73</v>
      </c>
      <c r="C14" s="672">
        <f>'11. CRWA'!C14+'11. CRWA'!E14+'11. CRWA'!G14+'11. CRWA'!I14+'11. CRWA'!K14+'11. CRWA'!M14+'11. CRWA'!O14+'11. CRWA'!Q14</f>
        <v>277715676.08457172</v>
      </c>
      <c r="D14" s="673">
        <f>'4. Off-Balance'!E7-D13</f>
        <v>62381305.410000004</v>
      </c>
      <c r="E14" s="672">
        <f>'11. CRWA'!D14+'11. CRWA'!F14+'11. CRWA'!H14+'11. CRWA'!J14+'11. CRWA'!L14+'11. CRWA'!N14+'11. CRWA'!P14+'11. CRWA'!R14</f>
        <v>23720460.379999999</v>
      </c>
      <c r="F14" s="672">
        <f>'11. CRWA'!S14</f>
        <v>301436136.46457171</v>
      </c>
      <c r="G14" s="674">
        <f>F14-'12. CRM'!V13</f>
        <v>274322642.13657171</v>
      </c>
      <c r="H14" s="670">
        <f t="shared" si="0"/>
        <v>0.9100522762598946</v>
      </c>
    </row>
    <row r="15" spans="1:9">
      <c r="A15" s="75">
        <v>8</v>
      </c>
      <c r="B15" s="57" t="s">
        <v>74</v>
      </c>
      <c r="C15" s="672">
        <f>'11. CRWA'!C15+'11. CRWA'!E15+'11. CRWA'!G15+'11. CRWA'!I15+'11. CRWA'!K15+'11. CRWA'!M15+'11. CRWA'!O15+'11. CRWA'!Q15</f>
        <v>0</v>
      </c>
      <c r="D15" s="673"/>
      <c r="E15" s="672">
        <f>'11. CRWA'!D15+'11. CRWA'!F15+'11. CRWA'!H15+'11. CRWA'!J15+'11. CRWA'!L15+'11. CRWA'!N15+'11. CRWA'!P15+'11. CRWA'!R15</f>
        <v>26734.190000000006</v>
      </c>
      <c r="F15" s="672">
        <f>'11. CRWA'!S15</f>
        <v>26734.190000000006</v>
      </c>
      <c r="G15" s="674">
        <f>F15-'12. CRM'!V14</f>
        <v>26734.190000000006</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553773.74500000034</v>
      </c>
      <c r="D17" s="673"/>
      <c r="E17" s="672">
        <f>'11. CRWA'!D17+'11. CRWA'!F17+'11. CRWA'!H17+'11. CRWA'!J17+'11. CRWA'!L17+'11. CRWA'!N17+'11. CRWA'!P17+'11. CRWA'!R17</f>
        <v>0</v>
      </c>
      <c r="F17" s="672">
        <f>'11. CRWA'!S17</f>
        <v>553773.74500000034</v>
      </c>
      <c r="G17" s="674">
        <f>F17-'12. CRM'!V16</f>
        <v>553773.74500000034</v>
      </c>
      <c r="H17" s="670">
        <f t="shared" si="0"/>
        <v>1</v>
      </c>
    </row>
    <row r="18" spans="1:8">
      <c r="A18" s="75">
        <v>11</v>
      </c>
      <c r="B18" s="57" t="s">
        <v>70</v>
      </c>
      <c r="C18" s="672">
        <f>'11. CRWA'!C18+'11. CRWA'!E18+'11. CRWA'!G18+'11. CRWA'!I18+'11. CRWA'!K18+'11. CRWA'!M18+'11. CRWA'!O18+'11. CRWA'!Q18</f>
        <v>0</v>
      </c>
      <c r="D18" s="673"/>
      <c r="E18" s="672">
        <f>'11. CRWA'!D18+'11. CRWA'!F18+'11. CRWA'!H18+'11. CRWA'!J18+'11. CRWA'!L18+'11. CRWA'!N18+'11. CRWA'!P18+'11. CRWA'!R18</f>
        <v>0</v>
      </c>
      <c r="F18" s="672">
        <f>'11. CRWA'!S18</f>
        <v>0</v>
      </c>
      <c r="G18" s="674">
        <f>F18-'12. CRM'!V17</f>
        <v>0</v>
      </c>
      <c r="H18" s="670">
        <f t="shared" si="0"/>
        <v>0</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22950880.414504923</v>
      </c>
      <c r="D21" s="673"/>
      <c r="E21" s="672">
        <f>'11. CRWA'!D21+'11. CRWA'!F21+'11. CRWA'!H21+'11. CRWA'!J21+'11. CRWA'!L21+'11. CRWA'!N21+'11. CRWA'!P21+'11. CRWA'!R21</f>
        <v>0</v>
      </c>
      <c r="F21" s="672">
        <f>'11. CRWA'!S21</f>
        <v>19671753.194504924</v>
      </c>
      <c r="G21" s="674">
        <f>F21-'12. CRM'!V20</f>
        <v>19527083.776375558</v>
      </c>
      <c r="H21" s="670">
        <f t="shared" si="0"/>
        <v>0.85082068416140022</v>
      </c>
    </row>
    <row r="22" spans="1:8" ht="13.5" thickBot="1">
      <c r="A22" s="137"/>
      <c r="B22" s="144" t="s">
        <v>68</v>
      </c>
      <c r="C22" s="675">
        <f>SUM(C8:C21)</f>
        <v>418625505.04894346</v>
      </c>
      <c r="D22" s="675">
        <f>SUM(D8:D21)</f>
        <v>95990071.030000001</v>
      </c>
      <c r="E22" s="675">
        <f>SUM(E8:E21)</f>
        <v>57355960.189999998</v>
      </c>
      <c r="F22" s="675">
        <f>SUM(F8:F21)</f>
        <v>433449059.42087346</v>
      </c>
      <c r="G22" s="675">
        <f>SUM(G8:G21)</f>
        <v>406190895.67474407</v>
      </c>
      <c r="H22" s="671">
        <f>G22/(C22+E22)</f>
        <v>0.85337544702677781</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954</v>
      </c>
    </row>
    <row r="2" spans="1:11" ht="15">
      <c r="A2" s="527" t="s">
        <v>189</v>
      </c>
      <c r="B2" s="529">
        <f>'1. key ratios'!B2</f>
        <v>44926</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19423742.516767118</v>
      </c>
      <c r="G8" s="679">
        <v>79367588.904958859</v>
      </c>
      <c r="H8" s="680">
        <f>G8+F8</f>
        <v>98791331.421725973</v>
      </c>
      <c r="I8" s="681">
        <v>13941541.221890399</v>
      </c>
      <c r="J8" s="679">
        <v>40883410.097315073</v>
      </c>
      <c r="K8" s="680">
        <f>I8+J8</f>
        <v>54824951.31920547</v>
      </c>
    </row>
    <row r="9" spans="1:11">
      <c r="A9" s="267" t="s">
        <v>492</v>
      </c>
      <c r="B9" s="259"/>
      <c r="C9" s="676"/>
      <c r="D9" s="259"/>
      <c r="E9" s="268"/>
      <c r="F9" s="676"/>
      <c r="G9" s="259"/>
      <c r="H9" s="268"/>
      <c r="I9" s="259"/>
      <c r="J9" s="259"/>
      <c r="K9" s="268"/>
    </row>
    <row r="10" spans="1:11">
      <c r="A10" s="269">
        <v>2</v>
      </c>
      <c r="B10" s="243" t="s">
        <v>493</v>
      </c>
      <c r="C10" s="678">
        <v>1687545.1200547956</v>
      </c>
      <c r="D10" s="682">
        <v>19672857.082526039</v>
      </c>
      <c r="E10" s="680">
        <f>C10+D10</f>
        <v>21360402.202580836</v>
      </c>
      <c r="F10" s="678">
        <v>473103.76863068488</v>
      </c>
      <c r="G10" s="682">
        <v>4779040.2402319154</v>
      </c>
      <c r="H10" s="680">
        <f>G10+F10</f>
        <v>5252144.0088626007</v>
      </c>
      <c r="I10" s="681">
        <v>107876.99462328776</v>
      </c>
      <c r="J10" s="682">
        <v>1295569.088552054</v>
      </c>
      <c r="K10" s="680">
        <f>I10+J10</f>
        <v>1403446.0831753418</v>
      </c>
    </row>
    <row r="11" spans="1:11">
      <c r="A11" s="269">
        <v>3</v>
      </c>
      <c r="B11" s="243" t="s">
        <v>494</v>
      </c>
      <c r="C11" s="678">
        <v>19484951.846958917</v>
      </c>
      <c r="D11" s="682">
        <v>227356519.12312329</v>
      </c>
      <c r="E11" s="680">
        <f t="shared" ref="E11:E16" si="0">C11+D11</f>
        <v>246841470.97008219</v>
      </c>
      <c r="F11" s="683">
        <v>8831079.8853363059</v>
      </c>
      <c r="G11" s="681">
        <v>59067609.65811649</v>
      </c>
      <c r="H11" s="680">
        <f t="shared" ref="H11:H16" si="1">G11+F11</f>
        <v>67898689.543452799</v>
      </c>
      <c r="I11" s="683">
        <v>7579568.8698041067</v>
      </c>
      <c r="J11" s="681">
        <v>57913741.864856139</v>
      </c>
      <c r="K11" s="680">
        <f t="shared" ref="K11:K16" si="2">I11+J11</f>
        <v>65493310.734660245</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29663224.83060275</v>
      </c>
      <c r="D13" s="682">
        <v>75412178.326273963</v>
      </c>
      <c r="E13" s="680">
        <f t="shared" si="0"/>
        <v>105075403.15687671</v>
      </c>
      <c r="F13" s="678">
        <v>3017656.5756520522</v>
      </c>
      <c r="G13" s="682">
        <v>7562106.9952863054</v>
      </c>
      <c r="H13" s="680">
        <f t="shared" si="1"/>
        <v>10579763.570938358</v>
      </c>
      <c r="I13" s="681">
        <v>1483254.1804260276</v>
      </c>
      <c r="J13" s="682">
        <v>3770608.9163136915</v>
      </c>
      <c r="K13" s="680">
        <f t="shared" si="2"/>
        <v>5253863.0967397187</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2064029.4694794531</v>
      </c>
      <c r="D15" s="682">
        <v>1384191.1976986299</v>
      </c>
      <c r="E15" s="680">
        <f t="shared" si="0"/>
        <v>3448220.6671780832</v>
      </c>
      <c r="F15" s="678">
        <v>11699.967123287672</v>
      </c>
      <c r="G15" s="682">
        <v>8735.5167671232866</v>
      </c>
      <c r="H15" s="680">
        <f t="shared" si="1"/>
        <v>20435.483890410957</v>
      </c>
      <c r="I15" s="681">
        <v>11699.967123287672</v>
      </c>
      <c r="J15" s="682">
        <v>8735.5167671232866</v>
      </c>
      <c r="K15" s="680">
        <f t="shared" si="2"/>
        <v>20435.483890410957</v>
      </c>
    </row>
    <row r="16" spans="1:11">
      <c r="A16" s="269">
        <v>8</v>
      </c>
      <c r="B16" s="245" t="s">
        <v>499</v>
      </c>
      <c r="C16" s="686">
        <f>SUM(C10:C15)</f>
        <v>52899751.267095923</v>
      </c>
      <c r="D16" s="687">
        <f>SUM(D10:D15)</f>
        <v>323825745.72962195</v>
      </c>
      <c r="E16" s="680">
        <f t="shared" si="0"/>
        <v>376725496.99671787</v>
      </c>
      <c r="F16" s="688">
        <f>SUM(F10:F15)</f>
        <v>12333540.19674233</v>
      </c>
      <c r="G16" s="689">
        <f>SUM(G10:G15)</f>
        <v>71417492.410401836</v>
      </c>
      <c r="H16" s="680">
        <f t="shared" si="1"/>
        <v>83751032.607144162</v>
      </c>
      <c r="I16" s="687">
        <f>SUM(I10:I15)</f>
        <v>9182400.0119767096</v>
      </c>
      <c r="J16" s="689">
        <f>SUM(J10:J15)</f>
        <v>62988655.386489011</v>
      </c>
      <c r="K16" s="680">
        <f t="shared" si="2"/>
        <v>72171055.398465723</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92933812.472828984</v>
      </c>
      <c r="D19" s="682">
        <v>182640749.78512165</v>
      </c>
      <c r="E19" s="680">
        <f t="shared" ref="E19:E21" si="3">C19+D19</f>
        <v>275574562.25795066</v>
      </c>
      <c r="F19" s="678">
        <v>10887189.681363838</v>
      </c>
      <c r="G19" s="682">
        <v>6878012.9713630164</v>
      </c>
      <c r="H19" s="680">
        <f t="shared" ref="H19:H21" si="4">F19+G19</f>
        <v>17765202.652726855</v>
      </c>
      <c r="I19" s="681">
        <v>16369390.976240549</v>
      </c>
      <c r="J19" s="682">
        <v>52474076.89878767</v>
      </c>
      <c r="K19" s="680">
        <f t="shared" ref="K19:K21" si="5">I19+J19</f>
        <v>68843467.875028223</v>
      </c>
    </row>
    <row r="20" spans="1:11">
      <c r="A20" s="269">
        <v>11</v>
      </c>
      <c r="B20" s="243" t="s">
        <v>503</v>
      </c>
      <c r="C20" s="683">
        <v>3702678.5442091264</v>
      </c>
      <c r="D20" s="690">
        <v>17767922.183567796</v>
      </c>
      <c r="E20" s="680">
        <f t="shared" si="3"/>
        <v>21470600.727776922</v>
      </c>
      <c r="F20" s="683">
        <v>382585.52164937044</v>
      </c>
      <c r="G20" s="690">
        <v>112347.71001809819</v>
      </c>
      <c r="H20" s="680">
        <f t="shared" si="4"/>
        <v>494933.23166746862</v>
      </c>
      <c r="I20" s="691">
        <v>382585.52164937044</v>
      </c>
      <c r="J20" s="690">
        <v>112347.71001809819</v>
      </c>
      <c r="K20" s="680">
        <f t="shared" si="5"/>
        <v>494933.23166746862</v>
      </c>
    </row>
    <row r="21" spans="1:11" ht="13.5" thickBot="1">
      <c r="A21" s="196">
        <v>12</v>
      </c>
      <c r="B21" s="270" t="s">
        <v>504</v>
      </c>
      <c r="C21" s="692">
        <f>SUM(C18:C20)</f>
        <v>96636491.017038107</v>
      </c>
      <c r="D21" s="693">
        <f>SUM(D18:D20)</f>
        <v>200408671.96868944</v>
      </c>
      <c r="E21" s="694">
        <f t="shared" si="3"/>
        <v>297045162.98572755</v>
      </c>
      <c r="F21" s="695">
        <f>SUM(F18:F20)</f>
        <v>11269775.203013208</v>
      </c>
      <c r="G21" s="696">
        <f>SUM(G18:G20)</f>
        <v>6990360.6813811148</v>
      </c>
      <c r="H21" s="694">
        <f t="shared" si="4"/>
        <v>18260135.884394322</v>
      </c>
      <c r="I21" s="693">
        <f>SUM(I18:I20)</f>
        <v>16751976.497889919</v>
      </c>
      <c r="J21" s="696">
        <f>SUM(J18:J20)</f>
        <v>52586424.608805768</v>
      </c>
      <c r="K21" s="694">
        <f t="shared" si="5"/>
        <v>69338401.106695682</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19423742.516767118</v>
      </c>
      <c r="G23" s="698">
        <f>G8</f>
        <v>79367588.904958859</v>
      </c>
      <c r="H23" s="699">
        <f>F23+G23</f>
        <v>98791331.421725973</v>
      </c>
      <c r="I23" s="697">
        <f>I8</f>
        <v>13941541.221890399</v>
      </c>
      <c r="J23" s="698">
        <f>J8</f>
        <v>40883410.097315073</v>
      </c>
      <c r="K23" s="699">
        <f>I23+J23</f>
        <v>54824951.31920547</v>
      </c>
    </row>
    <row r="24" spans="1:11" ht="13.5" thickBot="1">
      <c r="A24" s="250">
        <v>14</v>
      </c>
      <c r="B24" s="247" t="s">
        <v>507</v>
      </c>
      <c r="C24" s="271"/>
      <c r="D24" s="253"/>
      <c r="E24" s="254"/>
      <c r="F24" s="700">
        <f>F16-F21</f>
        <v>1063764.993729122</v>
      </c>
      <c r="G24" s="701">
        <f>G16-G21</f>
        <v>64427131.729020722</v>
      </c>
      <c r="H24" s="702">
        <f>F24+G24</f>
        <v>65490896.722749844</v>
      </c>
      <c r="I24" s="703">
        <f>I16-MIN(I16*75%,I21)</f>
        <v>2295600.0029941779</v>
      </c>
      <c r="J24" s="704">
        <f>J16-MIN(J16*75%,J21)</f>
        <v>15747163.846622251</v>
      </c>
      <c r="K24" s="702">
        <f t="shared" ref="K24" si="6">I24+J24</f>
        <v>18042763.849616431</v>
      </c>
    </row>
    <row r="25" spans="1:11" ht="13.5" thickBot="1">
      <c r="A25" s="251">
        <v>15</v>
      </c>
      <c r="B25" s="248" t="s">
        <v>508</v>
      </c>
      <c r="C25" s="252"/>
      <c r="D25" s="252"/>
      <c r="E25" s="252"/>
      <c r="F25" s="705">
        <f t="shared" ref="F25:G25" si="7">F23/F24</f>
        <v>18.259430072685017</v>
      </c>
      <c r="G25" s="706">
        <f t="shared" si="7"/>
        <v>1.2318969784155132</v>
      </c>
      <c r="H25" s="707">
        <f>H23/H24</f>
        <v>1.5084742516192853</v>
      </c>
      <c r="I25" s="705">
        <f t="shared" ref="I25:J25" si="8">I23/I24</f>
        <v>6.0731578688387717</v>
      </c>
      <c r="J25" s="706">
        <f t="shared" si="8"/>
        <v>2.5962395829192135</v>
      </c>
      <c r="K25" s="707">
        <f>K23/K24</f>
        <v>3.0386115883443758</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954</v>
      </c>
    </row>
    <row r="2" spans="1:14" ht="14.25" customHeight="1">
      <c r="A2" s="527" t="s">
        <v>189</v>
      </c>
      <c r="B2" s="529">
        <f>'1. key ratios'!B2</f>
        <v>44926</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954</v>
      </c>
    </row>
    <row r="2" spans="1:3" ht="15.75">
      <c r="A2" s="527" t="s">
        <v>189</v>
      </c>
      <c r="B2" s="529">
        <f>'1. key ratios'!B2</f>
        <v>44926</v>
      </c>
    </row>
    <row r="3" spans="1:3">
      <c r="A3" s="262"/>
      <c r="B3"/>
    </row>
    <row r="4" spans="1:3">
      <c r="A4" s="262" t="s">
        <v>597</v>
      </c>
      <c r="B4" t="s">
        <v>556</v>
      </c>
    </row>
    <row r="5" spans="1:3">
      <c r="A5" s="314"/>
      <c r="B5" s="314" t="s">
        <v>557</v>
      </c>
      <c r="C5" s="326"/>
    </row>
    <row r="6" spans="1:3">
      <c r="A6" s="315">
        <v>1</v>
      </c>
      <c r="B6" s="327" t="s">
        <v>608</v>
      </c>
      <c r="C6" s="708">
        <v>418867483.83894342</v>
      </c>
    </row>
    <row r="7" spans="1:3">
      <c r="A7" s="315">
        <v>2</v>
      </c>
      <c r="B7" s="327" t="s">
        <v>558</v>
      </c>
      <c r="C7" s="708">
        <v>-241978.79</v>
      </c>
    </row>
    <row r="8" spans="1:3">
      <c r="A8" s="316">
        <v>3</v>
      </c>
      <c r="B8" s="329" t="s">
        <v>559</v>
      </c>
      <c r="C8" s="330">
        <f>C6+C7</f>
        <v>418625505.0489434</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95990071.029999986</v>
      </c>
    </row>
    <row r="29" spans="1:3">
      <c r="A29" s="318">
        <v>18</v>
      </c>
      <c r="B29" s="327" t="s">
        <v>583</v>
      </c>
      <c r="C29" s="708">
        <f>'8. LI2'!C10</f>
        <v>-38634110.840000018</v>
      </c>
    </row>
    <row r="30" spans="1:3">
      <c r="A30" s="321">
        <v>19</v>
      </c>
      <c r="B30" s="336" t="s">
        <v>584</v>
      </c>
      <c r="C30" s="330">
        <f>C28+C29</f>
        <v>57355960.189999968</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111095599.92396201</v>
      </c>
    </row>
    <row r="36" spans="1:3">
      <c r="A36" s="321">
        <v>21</v>
      </c>
      <c r="B36" s="336" t="s">
        <v>591</v>
      </c>
      <c r="C36" s="330">
        <f>C8+C18+C26+C30</f>
        <v>475981465.23894334</v>
      </c>
    </row>
    <row r="37" spans="1:3">
      <c r="A37" s="323"/>
      <c r="B37" s="323" t="s">
        <v>556</v>
      </c>
      <c r="C37" s="331"/>
    </row>
    <row r="38" spans="1:3">
      <c r="A38" s="321">
        <v>22</v>
      </c>
      <c r="B38" s="336" t="s">
        <v>556</v>
      </c>
      <c r="C38" s="709">
        <f>IFERROR(C35/C36,0)</f>
        <v>0.23340320587523691</v>
      </c>
    </row>
    <row r="39" spans="1:3">
      <c r="A39" s="323"/>
      <c r="B39" s="323" t="s">
        <v>592</v>
      </c>
      <c r="C39" s="331"/>
    </row>
    <row r="40" spans="1:3">
      <c r="A40" s="324" t="s">
        <v>593</v>
      </c>
      <c r="B40" s="332" t="s">
        <v>594</v>
      </c>
      <c r="C40" s="338"/>
    </row>
    <row r="41" spans="1:3">
      <c r="A41" s="325" t="s">
        <v>595</v>
      </c>
      <c r="B41" s="333" t="s">
        <v>596</v>
      </c>
      <c r="C41" s="338"/>
    </row>
    <row r="43" spans="1:3">
      <c r="B43" s="348"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954</v>
      </c>
    </row>
    <row r="2" spans="1:7" ht="15.75">
      <c r="A2" s="527" t="s">
        <v>189</v>
      </c>
      <c r="B2" s="529">
        <f>'1. key ratios'!B2</f>
        <v>44926</v>
      </c>
    </row>
    <row r="3" spans="1:7">
      <c r="B3" s="371"/>
    </row>
    <row r="4" spans="1:7" ht="15.75" thickBot="1">
      <c r="A4" s="262" t="s">
        <v>658</v>
      </c>
      <c r="B4" s="372" t="s">
        <v>623</v>
      </c>
    </row>
    <row r="5" spans="1:7">
      <c r="A5" s="373"/>
      <c r="B5" s="374"/>
      <c r="C5" s="817" t="s">
        <v>624</v>
      </c>
      <c r="D5" s="817"/>
      <c r="E5" s="817"/>
      <c r="F5" s="817"/>
      <c r="G5" s="818" t="s">
        <v>625</v>
      </c>
    </row>
    <row r="6" spans="1:7">
      <c r="A6" s="375"/>
      <c r="B6" s="376"/>
      <c r="C6" s="712" t="s">
        <v>626</v>
      </c>
      <c r="D6" s="713" t="s">
        <v>627</v>
      </c>
      <c r="E6" s="713" t="s">
        <v>628</v>
      </c>
      <c r="F6" s="713" t="s">
        <v>629</v>
      </c>
      <c r="G6" s="819"/>
    </row>
    <row r="7" spans="1:7">
      <c r="A7" s="377"/>
      <c r="B7" s="378" t="s">
        <v>630</v>
      </c>
      <c r="C7" s="379"/>
      <c r="D7" s="379"/>
      <c r="E7" s="379"/>
      <c r="F7" s="379"/>
      <c r="G7" s="380"/>
    </row>
    <row r="8" spans="1:7">
      <c r="A8" s="381">
        <v>1</v>
      </c>
      <c r="B8" s="382" t="s">
        <v>631</v>
      </c>
      <c r="C8" s="714">
        <f>SUM(C9:C10)</f>
        <v>111095599.92396201</v>
      </c>
      <c r="D8" s="714">
        <f>SUM(D9:D10)</f>
        <v>0</v>
      </c>
      <c r="E8" s="714">
        <f>SUM(E9:E10)</f>
        <v>0</v>
      </c>
      <c r="F8" s="714">
        <f>SUM(F9:F10)</f>
        <v>55774558.079999998</v>
      </c>
      <c r="G8" s="715">
        <f>SUM(G9:G10)</f>
        <v>166870158.00396201</v>
      </c>
    </row>
    <row r="9" spans="1:7">
      <c r="A9" s="381">
        <v>2</v>
      </c>
      <c r="B9" s="385" t="s">
        <v>88</v>
      </c>
      <c r="C9" s="383">
        <v>111095599.92396201</v>
      </c>
      <c r="D9" s="383"/>
      <c r="E9" s="383"/>
      <c r="F9" s="383"/>
      <c r="G9" s="384">
        <v>111095599.92396201</v>
      </c>
    </row>
    <row r="10" spans="1:7">
      <c r="A10" s="381">
        <v>3</v>
      </c>
      <c r="B10" s="385" t="s">
        <v>632</v>
      </c>
      <c r="C10" s="386"/>
      <c r="D10" s="386"/>
      <c r="E10" s="386"/>
      <c r="F10" s="383">
        <v>55774558.079999998</v>
      </c>
      <c r="G10" s="384">
        <v>55774558.079999998</v>
      </c>
    </row>
    <row r="11" spans="1:7" ht="26.25">
      <c r="A11" s="381">
        <v>4</v>
      </c>
      <c r="B11" s="382" t="s">
        <v>633</v>
      </c>
      <c r="C11" s="714">
        <f t="shared" ref="C11:F11" si="0">SUM(C12:C13)</f>
        <v>5766666.73999999</v>
      </c>
      <c r="D11" s="714">
        <f t="shared" si="0"/>
        <v>10526159.170000002</v>
      </c>
      <c r="E11" s="714">
        <f t="shared" si="0"/>
        <v>5307506.2200000007</v>
      </c>
      <c r="F11" s="714">
        <f t="shared" si="0"/>
        <v>18500</v>
      </c>
      <c r="G11" s="715">
        <f>SUM(G12:G13)</f>
        <v>12783109.499500012</v>
      </c>
    </row>
    <row r="12" spans="1:7">
      <c r="A12" s="381">
        <v>5</v>
      </c>
      <c r="B12" s="385" t="s">
        <v>634</v>
      </c>
      <c r="C12" s="383">
        <v>610378.87000000023</v>
      </c>
      <c r="D12" s="387">
        <v>1771796.14</v>
      </c>
      <c r="E12" s="383">
        <v>1985310.4</v>
      </c>
      <c r="F12" s="383">
        <v>18500</v>
      </c>
      <c r="G12" s="384">
        <v>4166686.1395000033</v>
      </c>
    </row>
    <row r="13" spans="1:7">
      <c r="A13" s="381">
        <v>6</v>
      </c>
      <c r="B13" s="385" t="s">
        <v>635</v>
      </c>
      <c r="C13" s="383">
        <v>5156287.8699999899</v>
      </c>
      <c r="D13" s="387">
        <v>8754363.0300000012</v>
      </c>
      <c r="E13" s="383">
        <v>3322195.8200000003</v>
      </c>
      <c r="F13" s="383">
        <v>0</v>
      </c>
      <c r="G13" s="384">
        <v>8616423.3600000087</v>
      </c>
    </row>
    <row r="14" spans="1:7">
      <c r="A14" s="381">
        <v>7</v>
      </c>
      <c r="B14" s="382" t="s">
        <v>636</v>
      </c>
      <c r="C14" s="714">
        <f t="shared" ref="C14:F14" si="1">SUM(C15:C16)</f>
        <v>93164382.460000008</v>
      </c>
      <c r="D14" s="714">
        <f t="shared" si="1"/>
        <v>116356072.88</v>
      </c>
      <c r="E14" s="714">
        <f t="shared" si="1"/>
        <v>932240.6</v>
      </c>
      <c r="F14" s="714">
        <f t="shared" si="1"/>
        <v>0</v>
      </c>
      <c r="G14" s="715">
        <f>SUM(G15:G16)</f>
        <v>51574782.75000003</v>
      </c>
    </row>
    <row r="15" spans="1:7" ht="51.75">
      <c r="A15" s="381">
        <v>8</v>
      </c>
      <c r="B15" s="385" t="s">
        <v>637</v>
      </c>
      <c r="C15" s="716">
        <v>83669088.930000007</v>
      </c>
      <c r="D15" s="716">
        <v>18548235.969999999</v>
      </c>
      <c r="E15" s="716">
        <v>522200</v>
      </c>
      <c r="F15" s="716">
        <v>0</v>
      </c>
      <c r="G15" s="717">
        <v>51369762.450000033</v>
      </c>
    </row>
    <row r="16" spans="1:7" ht="26.25">
      <c r="A16" s="381">
        <v>9</v>
      </c>
      <c r="B16" s="385" t="s">
        <v>638</v>
      </c>
      <c r="C16" s="716">
        <v>9495293.5299999975</v>
      </c>
      <c r="D16" s="716">
        <v>97807836.909999996</v>
      </c>
      <c r="E16" s="716">
        <v>410040.6</v>
      </c>
      <c r="F16" s="716">
        <v>0</v>
      </c>
      <c r="G16" s="717">
        <v>205020.3</v>
      </c>
    </row>
    <row r="17" spans="1:7">
      <c r="A17" s="381">
        <v>10</v>
      </c>
      <c r="B17" s="382" t="s">
        <v>639</v>
      </c>
      <c r="C17" s="383"/>
      <c r="D17" s="387"/>
      <c r="E17" s="383"/>
      <c r="F17" s="383"/>
      <c r="G17" s="384"/>
    </row>
    <row r="18" spans="1:7">
      <c r="A18" s="381">
        <v>11</v>
      </c>
      <c r="B18" s="382" t="s">
        <v>95</v>
      </c>
      <c r="C18" s="714">
        <f>SUM(C19:C20)</f>
        <v>19313449.423895709</v>
      </c>
      <c r="D18" s="718">
        <f t="shared" ref="D18:G18" si="2">SUM(D19:D20)</f>
        <v>0</v>
      </c>
      <c r="E18" s="714">
        <f t="shared" si="2"/>
        <v>0</v>
      </c>
      <c r="F18" s="714">
        <f t="shared" si="2"/>
        <v>0</v>
      </c>
      <c r="G18" s="715">
        <f t="shared" si="2"/>
        <v>0</v>
      </c>
    </row>
    <row r="19" spans="1:7">
      <c r="A19" s="381">
        <v>12</v>
      </c>
      <c r="B19" s="385" t="s">
        <v>640</v>
      </c>
      <c r="C19" s="386"/>
      <c r="D19" s="387"/>
      <c r="E19" s="383"/>
      <c r="F19" s="383"/>
      <c r="G19" s="384"/>
    </row>
    <row r="20" spans="1:7" ht="26.25">
      <c r="A20" s="381">
        <v>13</v>
      </c>
      <c r="B20" s="385" t="s">
        <v>641</v>
      </c>
      <c r="C20" s="383">
        <v>19313449.423895709</v>
      </c>
      <c r="D20" s="383"/>
      <c r="E20" s="383"/>
      <c r="F20" s="383"/>
      <c r="G20" s="384"/>
    </row>
    <row r="21" spans="1:7">
      <c r="A21" s="388">
        <v>14</v>
      </c>
      <c r="B21" s="389" t="s">
        <v>642</v>
      </c>
      <c r="C21" s="386"/>
      <c r="D21" s="386"/>
      <c r="E21" s="386"/>
      <c r="F21" s="386"/>
      <c r="G21" s="390">
        <f>SUM(G8,G11,G14,G17,G18)</f>
        <v>231228050.25346205</v>
      </c>
    </row>
    <row r="22" spans="1:7">
      <c r="A22" s="391"/>
      <c r="B22" s="408" t="s">
        <v>643</v>
      </c>
      <c r="C22" s="392"/>
      <c r="D22" s="393"/>
      <c r="E22" s="392"/>
      <c r="F22" s="392"/>
      <c r="G22" s="394"/>
    </row>
    <row r="23" spans="1:7">
      <c r="A23" s="381">
        <v>15</v>
      </c>
      <c r="B23" s="382" t="s">
        <v>491</v>
      </c>
      <c r="C23" s="395">
        <v>113978188.87021926</v>
      </c>
      <c r="D23" s="396">
        <v>0</v>
      </c>
      <c r="E23" s="395">
        <v>0</v>
      </c>
      <c r="F23" s="395">
        <v>0</v>
      </c>
      <c r="G23" s="384">
        <v>3338475.5040109628</v>
      </c>
    </row>
    <row r="24" spans="1:7">
      <c r="A24" s="381">
        <v>16</v>
      </c>
      <c r="B24" s="382" t="s">
        <v>644</v>
      </c>
      <c r="C24" s="714">
        <f>SUM(C25:C27,C29,C31)</f>
        <v>89173.03774</v>
      </c>
      <c r="D24" s="718">
        <f t="shared" ref="D24:G24" si="3">SUM(D25:D27,D29,D31)</f>
        <v>141304863.3602002</v>
      </c>
      <c r="E24" s="714">
        <f t="shared" si="3"/>
        <v>58333147.292600051</v>
      </c>
      <c r="F24" s="714">
        <f t="shared" si="3"/>
        <v>71746992.660079673</v>
      </c>
      <c r="G24" s="715">
        <f t="shared" si="3"/>
        <v>142087998.63650885</v>
      </c>
    </row>
    <row r="25" spans="1:7" ht="26.25">
      <c r="A25" s="381">
        <v>17</v>
      </c>
      <c r="B25" s="385" t="s">
        <v>645</v>
      </c>
      <c r="C25" s="383"/>
      <c r="D25" s="387"/>
      <c r="E25" s="383"/>
      <c r="F25" s="383"/>
      <c r="G25" s="384">
        <v>0</v>
      </c>
    </row>
    <row r="26" spans="1:7" ht="26.25">
      <c r="A26" s="381">
        <v>18</v>
      </c>
      <c r="B26" s="385" t="s">
        <v>646</v>
      </c>
      <c r="C26" s="383">
        <v>89173.03774</v>
      </c>
      <c r="D26" s="387">
        <v>58281789.733199991</v>
      </c>
      <c r="E26" s="383">
        <v>15426386.058399998</v>
      </c>
      <c r="F26" s="383">
        <v>0</v>
      </c>
      <c r="G26" s="384">
        <v>16468837.444840997</v>
      </c>
    </row>
    <row r="27" spans="1:7">
      <c r="A27" s="381">
        <v>19</v>
      </c>
      <c r="B27" s="385" t="s">
        <v>647</v>
      </c>
      <c r="C27" s="383">
        <v>0</v>
      </c>
      <c r="D27" s="387">
        <v>82852839.866800219</v>
      </c>
      <c r="E27" s="383">
        <v>42617417.494200051</v>
      </c>
      <c r="F27" s="383">
        <v>52815095.831400082</v>
      </c>
      <c r="G27" s="384">
        <v>109302925.19519021</v>
      </c>
    </row>
    <row r="28" spans="1:7">
      <c r="A28" s="381">
        <v>20</v>
      </c>
      <c r="B28" s="397" t="s">
        <v>648</v>
      </c>
      <c r="C28" s="383"/>
      <c r="D28" s="387"/>
      <c r="E28" s="383"/>
      <c r="F28" s="383"/>
      <c r="G28" s="384"/>
    </row>
    <row r="29" spans="1:7">
      <c r="A29" s="381">
        <v>21</v>
      </c>
      <c r="B29" s="385" t="s">
        <v>649</v>
      </c>
      <c r="C29" s="383">
        <v>0</v>
      </c>
      <c r="D29" s="387">
        <v>170233.7601999999</v>
      </c>
      <c r="E29" s="383">
        <v>289343.74000000005</v>
      </c>
      <c r="F29" s="383">
        <v>2994153.9474000004</v>
      </c>
      <c r="G29" s="384">
        <v>2769154.5473900004</v>
      </c>
    </row>
    <row r="30" spans="1:7">
      <c r="A30" s="381">
        <v>22</v>
      </c>
      <c r="B30" s="397" t="s">
        <v>648</v>
      </c>
      <c r="C30" s="383"/>
      <c r="D30" s="387"/>
      <c r="E30" s="383"/>
      <c r="F30" s="383"/>
      <c r="G30" s="384"/>
    </row>
    <row r="31" spans="1:7" ht="26.25">
      <c r="A31" s="381">
        <v>23</v>
      </c>
      <c r="B31" s="385" t="s">
        <v>650</v>
      </c>
      <c r="C31" s="383"/>
      <c r="D31" s="387"/>
      <c r="E31" s="383"/>
      <c r="F31" s="383">
        <v>15937742.881279586</v>
      </c>
      <c r="G31" s="384">
        <v>13547081.449087648</v>
      </c>
    </row>
    <row r="32" spans="1:7">
      <c r="A32" s="381">
        <v>24</v>
      </c>
      <c r="B32" s="382" t="s">
        <v>651</v>
      </c>
      <c r="C32" s="383">
        <v>0</v>
      </c>
      <c r="D32" s="387"/>
      <c r="E32" s="383"/>
      <c r="F32" s="383"/>
      <c r="G32" s="384">
        <v>0</v>
      </c>
    </row>
    <row r="33" spans="1:7">
      <c r="A33" s="381">
        <v>25</v>
      </c>
      <c r="B33" s="382" t="s">
        <v>165</v>
      </c>
      <c r="C33" s="714">
        <f>SUM(C34:C35)</f>
        <v>14744009.921229966</v>
      </c>
      <c r="D33" s="714">
        <f>SUM(D34:D35)</f>
        <v>2338600</v>
      </c>
      <c r="E33" s="714">
        <f>SUM(E34:E35)</f>
        <v>1000000</v>
      </c>
      <c r="F33" s="714">
        <f>SUM(F34:F35)</f>
        <v>9642774.1185999941</v>
      </c>
      <c r="G33" s="715">
        <f>SUM(G34:G35)</f>
        <v>24386784.039829962</v>
      </c>
    </row>
    <row r="34" spans="1:7">
      <c r="A34" s="381">
        <v>26</v>
      </c>
      <c r="B34" s="385" t="s">
        <v>652</v>
      </c>
      <c r="C34" s="386"/>
      <c r="D34" s="387"/>
      <c r="E34" s="383"/>
      <c r="F34" s="383"/>
      <c r="G34" s="384"/>
    </row>
    <row r="35" spans="1:7">
      <c r="A35" s="381">
        <v>27</v>
      </c>
      <c r="B35" s="385" t="s">
        <v>653</v>
      </c>
      <c r="C35" s="383">
        <v>14744009.921229966</v>
      </c>
      <c r="D35" s="387">
        <v>2338600</v>
      </c>
      <c r="E35" s="383">
        <v>1000000</v>
      </c>
      <c r="F35" s="383">
        <v>9642774.1185999941</v>
      </c>
      <c r="G35" s="384">
        <v>24386784.039829962</v>
      </c>
    </row>
    <row r="36" spans="1:7">
      <c r="A36" s="381">
        <v>28</v>
      </c>
      <c r="B36" s="382" t="s">
        <v>654</v>
      </c>
      <c r="C36" s="383">
        <v>53468.380000000012</v>
      </c>
      <c r="D36" s="387">
        <v>22752571.306200001</v>
      </c>
      <c r="E36" s="383">
        <v>6422530.2634000005</v>
      </c>
      <c r="F36" s="383">
        <v>66195151.401999995</v>
      </c>
      <c r="G36" s="384">
        <v>12849456.286259999</v>
      </c>
    </row>
    <row r="37" spans="1:7">
      <c r="A37" s="388">
        <v>29</v>
      </c>
      <c r="B37" s="389" t="s">
        <v>655</v>
      </c>
      <c r="C37" s="386"/>
      <c r="D37" s="386"/>
      <c r="E37" s="386"/>
      <c r="F37" s="386"/>
      <c r="G37" s="390">
        <f>SUM(G23:G24,G32:G33,G36)</f>
        <v>182662714.46660981</v>
      </c>
    </row>
    <row r="38" spans="1:7">
      <c r="A38" s="377"/>
      <c r="B38" s="398"/>
      <c r="C38" s="399"/>
      <c r="D38" s="399"/>
      <c r="E38" s="399"/>
      <c r="F38" s="399"/>
      <c r="G38" s="400"/>
    </row>
    <row r="39" spans="1:7" ht="15.75" thickBot="1">
      <c r="A39" s="401">
        <v>30</v>
      </c>
      <c r="B39" s="402" t="s">
        <v>623</v>
      </c>
      <c r="C39" s="271"/>
      <c r="D39" s="253"/>
      <c r="E39" s="253"/>
      <c r="F39" s="403"/>
      <c r="G39" s="404">
        <f>IFERROR(G21/G37,0)</f>
        <v>1.2658743790634395</v>
      </c>
    </row>
    <row r="42" spans="1:7" ht="39">
      <c r="B42" s="24" t="s">
        <v>656</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954</v>
      </c>
    </row>
    <row r="2" spans="1:8">
      <c r="A2" s="527" t="s">
        <v>189</v>
      </c>
      <c r="B2" s="529">
        <v>44926</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4Q-2022</v>
      </c>
      <c r="D5" s="530" t="str">
        <f>IF(INT(MONTH($B$2))=3, "4"&amp;"Q"&amp;"-"&amp;YEAR($B$2)-1, IF(INT(MONTH($B$2))=6, "1"&amp;"Q"&amp;"-"&amp;YEAR($B$2), IF(INT(MONTH($B$2))=9, "2"&amp;"Q"&amp;"-"&amp;YEAR($B$2),IF(INT(MONTH($B$2))=12, "3"&amp;"Q"&amp;"-"&amp;YEAR($B$2), 0))))</f>
        <v>3Q-2022</v>
      </c>
      <c r="E5" s="530" t="str">
        <f>IF(INT(MONTH($B$2))=3, "3"&amp;"Q"&amp;"-"&amp;YEAR($B$2)-1, IF(INT(MONTH($B$2))=6, "4"&amp;"Q"&amp;"-"&amp;YEAR($B$2)-1, IF(INT(MONTH($B$2))=9, "1"&amp;"Q"&amp;"-"&amp;YEAR($B$2),IF(INT(MONTH($B$2))=12, "2"&amp;"Q"&amp;"-"&amp;YEAR($B$2), 0))))</f>
        <v>2Q-2022</v>
      </c>
      <c r="F5" s="530" t="str">
        <f>IF(INT(MONTH($B$2))=3, "2"&amp;"Q"&amp;"-"&amp;YEAR($B$2)-1, IF(INT(MONTH($B$2))=6, "3"&amp;"Q"&amp;"-"&amp;YEAR($B$2)-1, IF(INT(MONTH($B$2))=9, "4"&amp;"Q"&amp;"-"&amp;YEAR($B$2)-1,IF(INT(MONTH($B$2))=12, "1"&amp;"Q"&amp;"-"&amp;YEAR($B$2), 0))))</f>
        <v>1Q-2022</v>
      </c>
      <c r="G5" s="531" t="str">
        <f>IF(INT(MONTH($B$2))=3, "1"&amp;"Q"&amp;"-"&amp;YEAR($B$2)-1, IF(INT(MONTH($B$2))=6, "2"&amp;"Q"&amp;"-"&amp;YEAR($B$2)-1, IF(INT(MONTH($B$2))=9, "3"&amp;"Q"&amp;"-"&amp;YEAR($B$2)-1,IF(INT(MONTH($B$2))=12, "4"&amp;"Q"&amp;"-"&amp;YEAR($B$2)-1, 0))))</f>
        <v>4Q-2021</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111095599.92396201</v>
      </c>
      <c r="D8" s="533">
        <v>108015685.42111553</v>
      </c>
      <c r="E8" s="533">
        <v>103115610.2218947</v>
      </c>
      <c r="F8" s="533">
        <v>98827281.936013564</v>
      </c>
      <c r="G8" s="534">
        <v>94391539.438289478</v>
      </c>
    </row>
    <row r="9" spans="1:8" ht="15">
      <c r="A9" s="352">
        <v>2</v>
      </c>
      <c r="B9" s="353" t="s">
        <v>89</v>
      </c>
      <c r="C9" s="532">
        <v>111095599.92396201</v>
      </c>
      <c r="D9" s="533">
        <v>108015685.42111553</v>
      </c>
      <c r="E9" s="533">
        <v>103115610.2218947</v>
      </c>
      <c r="F9" s="533">
        <v>98827281.936013564</v>
      </c>
      <c r="G9" s="534">
        <v>94391539.438289478</v>
      </c>
    </row>
    <row r="10" spans="1:8" ht="15">
      <c r="A10" s="352">
        <v>3</v>
      </c>
      <c r="B10" s="353" t="s">
        <v>88</v>
      </c>
      <c r="C10" s="532">
        <v>116172986.11989631</v>
      </c>
      <c r="D10" s="533">
        <v>113349434.0005872</v>
      </c>
      <c r="E10" s="533">
        <v>108155050.23530801</v>
      </c>
      <c r="F10" s="533">
        <v>103889686.47667365</v>
      </c>
      <c r="G10" s="534">
        <v>99323573.353612155</v>
      </c>
    </row>
    <row r="11" spans="1:8" ht="15">
      <c r="A11" s="352">
        <v>4</v>
      </c>
      <c r="B11" s="353" t="s">
        <v>614</v>
      </c>
      <c r="C11" s="532">
        <v>39546178.399916351</v>
      </c>
      <c r="D11" s="533">
        <v>42079324.841049828</v>
      </c>
      <c r="E11" s="533">
        <v>40253514.95966386</v>
      </c>
      <c r="F11" s="533">
        <v>37226442.465223998</v>
      </c>
      <c r="G11" s="534">
        <v>30365791.76327312</v>
      </c>
    </row>
    <row r="12" spans="1:8" ht="15">
      <c r="A12" s="352">
        <v>5</v>
      </c>
      <c r="B12" s="353" t="s">
        <v>615</v>
      </c>
      <c r="C12" s="532">
        <v>52747565.525203176</v>
      </c>
      <c r="D12" s="533">
        <v>56133703.288483441</v>
      </c>
      <c r="E12" s="533">
        <v>53695890.925003864</v>
      </c>
      <c r="F12" s="533">
        <v>49645661.87830551</v>
      </c>
      <c r="G12" s="534">
        <v>40497710.010722086</v>
      </c>
    </row>
    <row r="13" spans="1:8" ht="15">
      <c r="A13" s="352">
        <v>6</v>
      </c>
      <c r="B13" s="353" t="s">
        <v>616</v>
      </c>
      <c r="C13" s="532">
        <v>77511989.422811836</v>
      </c>
      <c r="D13" s="533">
        <v>82243994.484565258</v>
      </c>
      <c r="E13" s="533">
        <v>78878230.883147791</v>
      </c>
      <c r="F13" s="533">
        <v>73122385.552514225</v>
      </c>
      <c r="G13" s="534">
        <v>68536720.062944934</v>
      </c>
    </row>
    <row r="14" spans="1:8" ht="15">
      <c r="A14" s="363"/>
      <c r="B14" s="364" t="s">
        <v>618</v>
      </c>
      <c r="C14" s="535"/>
      <c r="D14" s="535"/>
      <c r="E14" s="535"/>
      <c r="F14" s="535"/>
      <c r="G14" s="536"/>
    </row>
    <row r="15" spans="1:8" ht="25.5">
      <c r="A15" s="352">
        <v>7</v>
      </c>
      <c r="B15" s="353" t="s">
        <v>617</v>
      </c>
      <c r="C15" s="537">
        <v>447552269.36280602</v>
      </c>
      <c r="D15" s="533">
        <v>460845756.58156025</v>
      </c>
      <c r="E15" s="533">
        <v>438729862.48107547</v>
      </c>
      <c r="F15" s="533">
        <v>441999494.70743102</v>
      </c>
      <c r="G15" s="534">
        <v>429797061.35576224</v>
      </c>
    </row>
    <row r="16" spans="1:8" ht="15">
      <c r="A16" s="363"/>
      <c r="B16" s="364" t="s">
        <v>622</v>
      </c>
      <c r="C16" s="535"/>
      <c r="D16" s="535"/>
      <c r="E16" s="535"/>
      <c r="F16" s="535"/>
      <c r="G16" s="536"/>
    </row>
    <row r="17" spans="1:7" s="3" customFormat="1" ht="15">
      <c r="A17" s="352"/>
      <c r="B17" s="365" t="s">
        <v>604</v>
      </c>
      <c r="C17" s="538"/>
      <c r="D17" s="533"/>
      <c r="E17" s="533"/>
      <c r="F17" s="533"/>
      <c r="G17" s="534"/>
    </row>
    <row r="18" spans="1:7" ht="15">
      <c r="A18" s="351">
        <v>8</v>
      </c>
      <c r="B18" s="366" t="s">
        <v>612</v>
      </c>
      <c r="C18" s="539">
        <v>0.2482293299107437</v>
      </c>
      <c r="D18" s="540">
        <v>0.23438576547248507</v>
      </c>
      <c r="E18" s="540">
        <v>0.23503212122093142</v>
      </c>
      <c r="F18" s="540">
        <v>0.22359139121059282</v>
      </c>
      <c r="G18" s="541">
        <v>0.21961885718934077</v>
      </c>
    </row>
    <row r="19" spans="1:7" ht="15" customHeight="1">
      <c r="A19" s="351">
        <v>9</v>
      </c>
      <c r="B19" s="366" t="s">
        <v>611</v>
      </c>
      <c r="C19" s="539">
        <v>0.2482293299107437</v>
      </c>
      <c r="D19" s="540">
        <v>0.23438576547248507</v>
      </c>
      <c r="E19" s="540">
        <v>0.23503212122093142</v>
      </c>
      <c r="F19" s="540">
        <v>0.22359139121059282</v>
      </c>
      <c r="G19" s="541">
        <v>0.21961885718934077</v>
      </c>
    </row>
    <row r="20" spans="1:7" ht="15">
      <c r="A20" s="351">
        <v>10</v>
      </c>
      <c r="B20" s="366" t="s">
        <v>613</v>
      </c>
      <c r="C20" s="539">
        <v>0.25957411920912693</v>
      </c>
      <c r="D20" s="540">
        <v>0.2459595914289962</v>
      </c>
      <c r="E20" s="540">
        <v>0.24651855158360289</v>
      </c>
      <c r="F20" s="540">
        <v>0.23504480824223672</v>
      </c>
      <c r="G20" s="541">
        <v>0.23109411925782711</v>
      </c>
    </row>
    <row r="21" spans="1:7" ht="15">
      <c r="A21" s="351">
        <v>11</v>
      </c>
      <c r="B21" s="353" t="s">
        <v>614</v>
      </c>
      <c r="C21" s="539">
        <v>8.8361027542591758E-2</v>
      </c>
      <c r="D21" s="540">
        <v>9.1308912450846547E-2</v>
      </c>
      <c r="E21" s="540">
        <v>9.1750114140908723E-2</v>
      </c>
      <c r="F21" s="540">
        <v>8.4222816792731817E-2</v>
      </c>
      <c r="G21" s="541">
        <v>7.0651464362009669E-2</v>
      </c>
    </row>
    <row r="22" spans="1:7" ht="15">
      <c r="A22" s="351">
        <v>12</v>
      </c>
      <c r="B22" s="353" t="s">
        <v>615</v>
      </c>
      <c r="C22" s="539">
        <v>0.11785788864460796</v>
      </c>
      <c r="D22" s="540">
        <v>0.12180583739095127</v>
      </c>
      <c r="E22" s="540">
        <v>0.12238941434564424</v>
      </c>
      <c r="F22" s="540">
        <v>0.1123206303915959</v>
      </c>
      <c r="G22" s="541">
        <v>9.4225190565461595E-2</v>
      </c>
    </row>
    <row r="23" spans="1:7" ht="15">
      <c r="A23" s="351">
        <v>13</v>
      </c>
      <c r="B23" s="353" t="s">
        <v>616</v>
      </c>
      <c r="C23" s="539">
        <v>0.17319092032125777</v>
      </c>
      <c r="D23" s="540">
        <v>0.17846316974822737</v>
      </c>
      <c r="E23" s="540">
        <v>0.17978769541029405</v>
      </c>
      <c r="F23" s="540">
        <v>0.16543545055614942</v>
      </c>
      <c r="G23" s="541">
        <v>0.15946297968336742</v>
      </c>
    </row>
    <row r="24" spans="1:7" ht="15">
      <c r="A24" s="363"/>
      <c r="B24" s="364" t="s">
        <v>6</v>
      </c>
      <c r="C24" s="535"/>
      <c r="D24" s="535"/>
      <c r="E24" s="535"/>
      <c r="F24" s="535"/>
      <c r="G24" s="536"/>
    </row>
    <row r="25" spans="1:7" ht="15" customHeight="1">
      <c r="A25" s="367">
        <v>14</v>
      </c>
      <c r="B25" s="368" t="s">
        <v>7</v>
      </c>
      <c r="C25" s="542">
        <v>7.1533897398314727E-2</v>
      </c>
      <c r="D25" s="543">
        <v>6.9323935917644186E-2</v>
      </c>
      <c r="E25" s="543">
        <v>6.5363720416624624E-2</v>
      </c>
      <c r="F25" s="543">
        <v>6.310912285263591E-2</v>
      </c>
      <c r="G25" s="544">
        <v>6.0645098206081605E-2</v>
      </c>
    </row>
    <row r="26" spans="1:7" ht="15">
      <c r="A26" s="367">
        <v>15</v>
      </c>
      <c r="B26" s="368" t="s">
        <v>8</v>
      </c>
      <c r="C26" s="542">
        <v>1.7726777996849765E-2</v>
      </c>
      <c r="D26" s="543">
        <v>1.6254578585638401E-2</v>
      </c>
      <c r="E26" s="543">
        <v>1.4700230406153612E-2</v>
      </c>
      <c r="F26" s="543">
        <v>1.5241362930500317E-2</v>
      </c>
      <c r="G26" s="544">
        <v>1.27317933077205E-2</v>
      </c>
    </row>
    <row r="27" spans="1:7" ht="15">
      <c r="A27" s="367">
        <v>16</v>
      </c>
      <c r="B27" s="368" t="s">
        <v>9</v>
      </c>
      <c r="C27" s="542">
        <v>4.4731743523914035E-2</v>
      </c>
      <c r="D27" s="543">
        <v>4.9287157635566188E-2</v>
      </c>
      <c r="E27" s="543">
        <v>4.5985376465826705E-2</v>
      </c>
      <c r="F27" s="543">
        <v>4.0685832785419741E-2</v>
      </c>
      <c r="G27" s="544">
        <v>3.8802065051453394E-2</v>
      </c>
    </row>
    <row r="28" spans="1:7" ht="15">
      <c r="A28" s="367">
        <v>17</v>
      </c>
      <c r="B28" s="368" t="s">
        <v>224</v>
      </c>
      <c r="C28" s="542">
        <v>5.3807119401464959E-2</v>
      </c>
      <c r="D28" s="543">
        <v>5.3069357332005795E-2</v>
      </c>
      <c r="E28" s="543">
        <v>5.0663490010471005E-2</v>
      </c>
      <c r="F28" s="543">
        <v>4.7867759922135593E-2</v>
      </c>
      <c r="G28" s="544">
        <v>4.7913304898361105E-2</v>
      </c>
    </row>
    <row r="29" spans="1:7" ht="15">
      <c r="A29" s="367">
        <v>18</v>
      </c>
      <c r="B29" s="368" t="s">
        <v>10</v>
      </c>
      <c r="C29" s="542">
        <v>4.1286729727955371E-2</v>
      </c>
      <c r="D29" s="543">
        <v>4.535760469972934E-2</v>
      </c>
      <c r="E29" s="543">
        <v>4.4138673584522711E-2</v>
      </c>
      <c r="F29" s="543">
        <v>4.5167881572930627E-2</v>
      </c>
      <c r="G29" s="544">
        <v>3.0891846404561427E-2</v>
      </c>
    </row>
    <row r="30" spans="1:7" ht="15">
      <c r="A30" s="367">
        <v>19</v>
      </c>
      <c r="B30" s="368" t="s">
        <v>11</v>
      </c>
      <c r="C30" s="542">
        <v>0.16145554332190271</v>
      </c>
      <c r="D30" s="543">
        <v>0.17966446601688946</v>
      </c>
      <c r="E30" s="543">
        <v>0.17692251238848036</v>
      </c>
      <c r="F30" s="543">
        <v>0.18197728344349209</v>
      </c>
      <c r="G30" s="544">
        <v>0.12713781187574952</v>
      </c>
    </row>
    <row r="31" spans="1:7" ht="15">
      <c r="A31" s="363"/>
      <c r="B31" s="364" t="s">
        <v>12</v>
      </c>
      <c r="C31" s="535"/>
      <c r="D31" s="535"/>
      <c r="E31" s="535"/>
      <c r="F31" s="535"/>
      <c r="G31" s="536"/>
    </row>
    <row r="32" spans="1:7" ht="15">
      <c r="A32" s="367">
        <v>20</v>
      </c>
      <c r="B32" s="368" t="s">
        <v>13</v>
      </c>
      <c r="C32" s="542">
        <v>2.4380094855071009E-2</v>
      </c>
      <c r="D32" s="543">
        <v>2.8265026263008846E-2</v>
      </c>
      <c r="E32" s="543">
        <v>3.1793272706786099E-2</v>
      </c>
      <c r="F32" s="543">
        <v>4.3664209761993505E-2</v>
      </c>
      <c r="G32" s="544">
        <v>4.4892463194140371E-2</v>
      </c>
    </row>
    <row r="33" spans="1:7" ht="15" customHeight="1">
      <c r="A33" s="367">
        <v>21</v>
      </c>
      <c r="B33" s="368" t="s">
        <v>14</v>
      </c>
      <c r="C33" s="542">
        <v>2.6981304432221097E-2</v>
      </c>
      <c r="D33" s="543">
        <v>3.0938804531056994E-2</v>
      </c>
      <c r="E33" s="543">
        <v>3.2784036159047951E-2</v>
      </c>
      <c r="F33" s="543">
        <v>3.80624459497374E-2</v>
      </c>
      <c r="G33" s="544">
        <v>4.4301825005523099E-2</v>
      </c>
    </row>
    <row r="34" spans="1:7" ht="15">
      <c r="A34" s="367">
        <v>22</v>
      </c>
      <c r="B34" s="368" t="s">
        <v>15</v>
      </c>
      <c r="C34" s="542">
        <v>0.46305961220141145</v>
      </c>
      <c r="D34" s="543">
        <v>0.55026036863305616</v>
      </c>
      <c r="E34" s="543">
        <v>0.6366650409119371</v>
      </c>
      <c r="F34" s="543">
        <v>0.68932753333814445</v>
      </c>
      <c r="G34" s="544">
        <v>0.68670573055008355</v>
      </c>
    </row>
    <row r="35" spans="1:7" ht="15" customHeight="1">
      <c r="A35" s="367">
        <v>23</v>
      </c>
      <c r="B35" s="368" t="s">
        <v>16</v>
      </c>
      <c r="C35" s="542">
        <v>0.55202739502102027</v>
      </c>
      <c r="D35" s="543">
        <v>0.59384448327133066</v>
      </c>
      <c r="E35" s="543">
        <v>0.66739250025924512</v>
      </c>
      <c r="F35" s="543">
        <v>0.67843974773577032</v>
      </c>
      <c r="G35" s="544">
        <v>0.66342292371955547</v>
      </c>
    </row>
    <row r="36" spans="1:7" ht="15">
      <c r="A36" s="367">
        <v>24</v>
      </c>
      <c r="B36" s="368" t="s">
        <v>17</v>
      </c>
      <c r="C36" s="542">
        <v>9.1431647580834344E-2</v>
      </c>
      <c r="D36" s="543">
        <v>0.11972762844349358</v>
      </c>
      <c r="E36" s="543">
        <v>9.8644695728322518E-2</v>
      </c>
      <c r="F36" s="543">
        <v>6.6903534745348853E-2</v>
      </c>
      <c r="G36" s="544">
        <v>7.8794316306747283E-2</v>
      </c>
    </row>
    <row r="37" spans="1:7" ht="15" customHeight="1">
      <c r="A37" s="363"/>
      <c r="B37" s="364" t="s">
        <v>18</v>
      </c>
      <c r="C37" s="535"/>
      <c r="D37" s="535"/>
      <c r="E37" s="535"/>
      <c r="F37" s="535"/>
      <c r="G37" s="536"/>
    </row>
    <row r="38" spans="1:7" ht="15" customHeight="1">
      <c r="A38" s="367">
        <v>25</v>
      </c>
      <c r="B38" s="368" t="s">
        <v>19</v>
      </c>
      <c r="C38" s="545">
        <v>0.24914921189230418</v>
      </c>
      <c r="D38" s="546">
        <v>0.15710923277885569</v>
      </c>
      <c r="E38" s="546">
        <v>0.17281157625092275</v>
      </c>
      <c r="F38" s="546">
        <v>0.2432166731999956</v>
      </c>
      <c r="G38" s="547">
        <v>0.18312355387542167</v>
      </c>
    </row>
    <row r="39" spans="1:7" ht="15" customHeight="1">
      <c r="A39" s="367">
        <v>26</v>
      </c>
      <c r="B39" s="368" t="s">
        <v>20</v>
      </c>
      <c r="C39" s="545">
        <v>0.76892545530979173</v>
      </c>
      <c r="D39" s="546">
        <v>0.82225848263923629</v>
      </c>
      <c r="E39" s="546">
        <v>0.91570934719187502</v>
      </c>
      <c r="F39" s="546">
        <v>0.92638084918734687</v>
      </c>
      <c r="G39" s="547">
        <v>0.91024141756054833</v>
      </c>
    </row>
    <row r="40" spans="1:7" ht="15" customHeight="1">
      <c r="A40" s="367">
        <v>27</v>
      </c>
      <c r="B40" s="369" t="s">
        <v>21</v>
      </c>
      <c r="C40" s="545">
        <v>0.2268974261944201</v>
      </c>
      <c r="D40" s="546">
        <v>0.18261594663740496</v>
      </c>
      <c r="E40" s="546">
        <v>0.16843183148370816</v>
      </c>
      <c r="F40" s="546">
        <v>0.17217382356191499</v>
      </c>
      <c r="G40" s="547">
        <v>0.14342699142330984</v>
      </c>
    </row>
    <row r="41" spans="1:7" ht="15" customHeight="1">
      <c r="A41" s="370"/>
      <c r="B41" s="364" t="s">
        <v>525</v>
      </c>
      <c r="C41" s="535"/>
      <c r="D41" s="535"/>
      <c r="E41" s="535"/>
      <c r="F41" s="535"/>
      <c r="G41" s="536"/>
    </row>
    <row r="42" spans="1:7" ht="15" customHeight="1">
      <c r="A42" s="367">
        <v>28</v>
      </c>
      <c r="B42" s="407" t="s">
        <v>509</v>
      </c>
      <c r="C42" s="548">
        <v>101467169.72</v>
      </c>
      <c r="D42" s="549">
        <v>89137438.829999998</v>
      </c>
      <c r="E42" s="549">
        <v>106179025.34999998</v>
      </c>
      <c r="F42" s="549">
        <v>119202950.7</v>
      </c>
      <c r="G42" s="550">
        <v>125961060.67</v>
      </c>
    </row>
    <row r="43" spans="1:7" ht="15">
      <c r="A43" s="367">
        <v>29</v>
      </c>
      <c r="B43" s="368" t="s">
        <v>510</v>
      </c>
      <c r="C43" s="548">
        <v>59257735.987993032</v>
      </c>
      <c r="D43" s="549">
        <v>67044637.556638002</v>
      </c>
      <c r="E43" s="549">
        <v>73976166.371080011</v>
      </c>
      <c r="F43" s="549">
        <v>76582814.708628148</v>
      </c>
      <c r="G43" s="550">
        <v>62369833.322127774</v>
      </c>
    </row>
    <row r="44" spans="1:7" ht="15">
      <c r="A44" s="405">
        <v>30</v>
      </c>
      <c r="B44" s="406" t="s">
        <v>508</v>
      </c>
      <c r="C44" s="551">
        <v>1.7123025041078106</v>
      </c>
      <c r="D44" s="552">
        <v>1.3295237632494983</v>
      </c>
      <c r="E44" s="552">
        <v>1.4353139741979011</v>
      </c>
      <c r="F44" s="552">
        <v>1.5565234988231647</v>
      </c>
      <c r="G44" s="553">
        <v>2.0195830894630773</v>
      </c>
    </row>
    <row r="45" spans="1:7" ht="15">
      <c r="A45" s="405"/>
      <c r="B45" s="364" t="s">
        <v>623</v>
      </c>
      <c r="C45" s="554"/>
      <c r="D45" s="555"/>
      <c r="E45" s="555"/>
      <c r="F45" s="555"/>
      <c r="G45" s="556"/>
    </row>
    <row r="46" spans="1:7" ht="15">
      <c r="A46" s="405">
        <v>31</v>
      </c>
      <c r="B46" s="406" t="s">
        <v>630</v>
      </c>
      <c r="C46" s="554">
        <v>231228050.25346208</v>
      </c>
      <c r="D46" s="555">
        <v>233594681.10261557</v>
      </c>
      <c r="E46" s="555">
        <v>216035611.71239471</v>
      </c>
      <c r="F46" s="555">
        <v>230296060.9620136</v>
      </c>
      <c r="G46" s="556">
        <v>225376140.44278947</v>
      </c>
    </row>
    <row r="47" spans="1:7" ht="15">
      <c r="A47" s="405">
        <v>32</v>
      </c>
      <c r="B47" s="406" t="s">
        <v>643</v>
      </c>
      <c r="C47" s="554">
        <v>182662714.46660978</v>
      </c>
      <c r="D47" s="555">
        <v>197363686.82135105</v>
      </c>
      <c r="E47" s="555">
        <v>196066292.09883821</v>
      </c>
      <c r="F47" s="555">
        <v>192417041.2049503</v>
      </c>
      <c r="G47" s="556">
        <v>186291223.8106674</v>
      </c>
    </row>
    <row r="48" spans="1:7" thickBot="1">
      <c r="A48" s="105">
        <v>33</v>
      </c>
      <c r="B48" s="213" t="s">
        <v>657</v>
      </c>
      <c r="C48" s="557">
        <v>1.2658743790634399</v>
      </c>
      <c r="D48" s="558">
        <v>1.183574774391299</v>
      </c>
      <c r="E48" s="558">
        <v>1.101849835582599</v>
      </c>
      <c r="F48" s="558">
        <v>1.1968589659203677</v>
      </c>
      <c r="G48" s="559">
        <v>1.209805463900141</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954</v>
      </c>
    </row>
    <row r="2" spans="1:8" ht="15">
      <c r="A2" s="527" t="s">
        <v>189</v>
      </c>
      <c r="B2" s="529">
        <f>'1. key ratios'!B2</f>
        <v>44926</v>
      </c>
    </row>
    <row r="3" spans="1:8">
      <c r="A3" s="415" t="s">
        <v>663</v>
      </c>
      <c r="B3" s="416"/>
    </row>
    <row r="5" spans="1:8" ht="12.75" customHeight="1">
      <c r="A5" s="820" t="s">
        <v>664</v>
      </c>
      <c r="B5" s="821"/>
      <c r="C5" s="826" t="s">
        <v>665</v>
      </c>
      <c r="D5" s="827"/>
      <c r="E5" s="827"/>
      <c r="F5" s="827"/>
      <c r="G5" s="827"/>
      <c r="H5" s="828"/>
    </row>
    <row r="6" spans="1:8">
      <c r="A6" s="822"/>
      <c r="B6" s="823"/>
      <c r="C6" s="829"/>
      <c r="D6" s="830"/>
      <c r="E6" s="830"/>
      <c r="F6" s="830"/>
      <c r="G6" s="830"/>
      <c r="H6" s="831"/>
    </row>
    <row r="7" spans="1:8" ht="25.5">
      <c r="A7" s="824"/>
      <c r="B7" s="825"/>
      <c r="C7" s="417" t="s">
        <v>666</v>
      </c>
      <c r="D7" s="417" t="s">
        <v>667</v>
      </c>
      <c r="E7" s="417" t="s">
        <v>668</v>
      </c>
      <c r="F7" s="417" t="s">
        <v>669</v>
      </c>
      <c r="G7" s="522" t="s">
        <v>941</v>
      </c>
      <c r="H7" s="417" t="s">
        <v>68</v>
      </c>
    </row>
    <row r="8" spans="1:8">
      <c r="A8" s="418">
        <v>1</v>
      </c>
      <c r="B8" s="419" t="s">
        <v>216</v>
      </c>
      <c r="C8" s="721">
        <v>39829551.57</v>
      </c>
      <c r="D8" s="721">
        <v>5099144.66</v>
      </c>
      <c r="E8" s="721">
        <v>1464395.7432974058</v>
      </c>
      <c r="F8" s="721">
        <v>0</v>
      </c>
      <c r="G8" s="721"/>
      <c r="H8" s="722">
        <f>SUM(C8:G8)</f>
        <v>46393091.97329741</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47714317.840879999</v>
      </c>
      <c r="D13" s="721">
        <v>17940541.140000001</v>
      </c>
      <c r="E13" s="721">
        <v>5357223.8506894046</v>
      </c>
      <c r="F13" s="721">
        <v>0</v>
      </c>
      <c r="G13" s="721"/>
      <c r="H13" s="722">
        <f t="shared" si="0"/>
        <v>71012082.831569403</v>
      </c>
    </row>
    <row r="14" spans="1:8">
      <c r="A14" s="418">
        <v>7</v>
      </c>
      <c r="B14" s="419" t="s">
        <v>73</v>
      </c>
      <c r="C14" s="721"/>
      <c r="D14" s="721">
        <v>177126949.45352882</v>
      </c>
      <c r="E14" s="721">
        <v>73923128.034042984</v>
      </c>
      <c r="F14" s="721">
        <v>26959404.311000001</v>
      </c>
      <c r="G14" s="721">
        <v>257616.87100000001</v>
      </c>
      <c r="H14" s="722">
        <f t="shared" si="0"/>
        <v>278267098.66957182</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691</v>
      </c>
      <c r="C17" s="721"/>
      <c r="D17" s="721">
        <v>298467.39400000038</v>
      </c>
      <c r="E17" s="721">
        <v>1918.8599999999988</v>
      </c>
      <c r="F17" s="721">
        <v>0</v>
      </c>
      <c r="G17" s="721">
        <v>253387.49100000004</v>
      </c>
      <c r="H17" s="722">
        <f t="shared" si="0"/>
        <v>553773.74500000034</v>
      </c>
    </row>
    <row r="18" spans="1:8">
      <c r="A18" s="418">
        <v>11</v>
      </c>
      <c r="B18" s="419" t="s">
        <v>70</v>
      </c>
      <c r="C18" s="721"/>
      <c r="D18" s="721">
        <v>0</v>
      </c>
      <c r="E18" s="721">
        <v>0</v>
      </c>
      <c r="F18" s="721">
        <v>0</v>
      </c>
      <c r="G18" s="721">
        <v>0</v>
      </c>
      <c r="H18" s="722">
        <f t="shared" si="0"/>
        <v>0</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670</v>
      </c>
      <c r="C21" s="721">
        <v>3279127.22</v>
      </c>
      <c r="D21" s="721">
        <v>359682.94700000004</v>
      </c>
      <c r="E21" s="721">
        <v>3049951.5929999994</v>
      </c>
      <c r="F21" s="721">
        <v>3819925.0130000003</v>
      </c>
      <c r="G21" s="721">
        <v>12444544.801504919</v>
      </c>
      <c r="H21" s="722">
        <f t="shared" si="0"/>
        <v>22953231.574504919</v>
      </c>
    </row>
    <row r="22" spans="1:8">
      <c r="A22" s="423">
        <v>15</v>
      </c>
      <c r="B22" s="420" t="s">
        <v>68</v>
      </c>
      <c r="C22" s="722">
        <f>+SUM(C8:C16)+SUM(C18:C21)</f>
        <v>90822996.630879998</v>
      </c>
      <c r="D22" s="722">
        <f t="shared" ref="D22:G22" si="1">+SUM(D8:D16)+SUM(D18:D21)</f>
        <v>200526318.20052883</v>
      </c>
      <c r="E22" s="722">
        <f t="shared" si="1"/>
        <v>83794699.221029788</v>
      </c>
      <c r="F22" s="722">
        <f t="shared" si="1"/>
        <v>30779329.324000001</v>
      </c>
      <c r="G22" s="722">
        <f t="shared" si="1"/>
        <v>12702161.672504919</v>
      </c>
      <c r="H22" s="722">
        <f>+SUM(H8:H16)+SUM(H18:H21)</f>
        <v>418625505.04894358</v>
      </c>
    </row>
    <row r="26" spans="1:8" ht="38.25">
      <c r="B26" s="720" t="s">
        <v>940</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954</v>
      </c>
      <c r="E1" s="413"/>
      <c r="F1" s="413"/>
      <c r="G1" s="413"/>
    </row>
    <row r="2" spans="1:9" ht="15">
      <c r="A2" s="527" t="s">
        <v>189</v>
      </c>
      <c r="B2" s="529">
        <f>'1. key ratios'!B2</f>
        <v>44926</v>
      </c>
      <c r="E2" s="413"/>
      <c r="F2" s="413"/>
      <c r="G2" s="413"/>
    </row>
    <row r="3" spans="1:9">
      <c r="A3" s="415" t="s">
        <v>671</v>
      </c>
      <c r="B3" s="416"/>
      <c r="E3" s="413"/>
      <c r="F3" s="413"/>
      <c r="G3" s="413"/>
    </row>
    <row r="4" spans="1:9">
      <c r="C4" s="425" t="s">
        <v>672</v>
      </c>
      <c r="D4" s="425" t="s">
        <v>673</v>
      </c>
      <c r="E4" s="425" t="s">
        <v>674</v>
      </c>
      <c r="F4" s="425" t="s">
        <v>675</v>
      </c>
      <c r="G4" s="425" t="s">
        <v>676</v>
      </c>
      <c r="H4" s="425" t="s">
        <v>677</v>
      </c>
      <c r="I4" s="425" t="s">
        <v>678</v>
      </c>
    </row>
    <row r="5" spans="1:9" ht="33.950000000000003" customHeight="1">
      <c r="A5" s="820" t="s">
        <v>681</v>
      </c>
      <c r="B5" s="821"/>
      <c r="C5" s="834" t="s">
        <v>682</v>
      </c>
      <c r="D5" s="834"/>
      <c r="E5" s="834" t="s">
        <v>683</v>
      </c>
      <c r="F5" s="834" t="s">
        <v>684</v>
      </c>
      <c r="G5" s="832" t="s">
        <v>685</v>
      </c>
      <c r="H5" s="832" t="s">
        <v>686</v>
      </c>
      <c r="I5" s="521" t="s">
        <v>687</v>
      </c>
    </row>
    <row r="6" spans="1:9" ht="38.25">
      <c r="A6" s="824"/>
      <c r="B6" s="825"/>
      <c r="C6" s="473" t="s">
        <v>688</v>
      </c>
      <c r="D6" s="473" t="s">
        <v>689</v>
      </c>
      <c r="E6" s="834"/>
      <c r="F6" s="834"/>
      <c r="G6" s="833"/>
      <c r="H6" s="833"/>
      <c r="I6" s="521" t="s">
        <v>690</v>
      </c>
    </row>
    <row r="7" spans="1:9">
      <c r="A7" s="426">
        <v>1</v>
      </c>
      <c r="B7" s="419" t="s">
        <v>216</v>
      </c>
      <c r="C7" s="723">
        <v>0</v>
      </c>
      <c r="D7" s="723">
        <v>46393091.973297402</v>
      </c>
      <c r="E7" s="723">
        <v>0</v>
      </c>
      <c r="F7" s="723">
        <v>28748.651327148116</v>
      </c>
      <c r="G7" s="723"/>
      <c r="H7" s="723"/>
      <c r="I7" s="724">
        <f t="shared" ref="I7:I23" si="0">C7+D7-E7-F7-G7</f>
        <v>46364343.321970254</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71012082.831569403</v>
      </c>
      <c r="E12" s="723">
        <v>0</v>
      </c>
      <c r="F12" s="723">
        <v>106473.34027366132</v>
      </c>
      <c r="G12" s="723"/>
      <c r="H12" s="723"/>
      <c r="I12" s="724">
        <f t="shared" si="0"/>
        <v>70905609.49129574</v>
      </c>
    </row>
    <row r="13" spans="1:9">
      <c r="A13" s="426">
        <v>7</v>
      </c>
      <c r="B13" s="419" t="s">
        <v>73</v>
      </c>
      <c r="C13" s="723">
        <v>6181587.4800000004</v>
      </c>
      <c r="D13" s="723">
        <v>274285046.95757174</v>
      </c>
      <c r="E13" s="723">
        <v>2199535.7680000002</v>
      </c>
      <c r="F13" s="723">
        <v>5171518.6245738585</v>
      </c>
      <c r="G13" s="723"/>
      <c r="H13" s="723"/>
      <c r="I13" s="724">
        <f t="shared" si="0"/>
        <v>273095580.04499787</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691</v>
      </c>
      <c r="C16" s="723">
        <v>1043475.4500000002</v>
      </c>
      <c r="D16" s="723">
        <v>0</v>
      </c>
      <c r="E16" s="723">
        <v>489701.7049999999</v>
      </c>
      <c r="F16" s="723">
        <v>0</v>
      </c>
      <c r="G16" s="723"/>
      <c r="H16" s="723"/>
      <c r="I16" s="724">
        <f t="shared" si="0"/>
        <v>553773.74500000034</v>
      </c>
    </row>
    <row r="17" spans="1:9">
      <c r="A17" s="426">
        <v>11</v>
      </c>
      <c r="B17" s="419" t="s">
        <v>70</v>
      </c>
      <c r="C17" s="723">
        <v>0</v>
      </c>
      <c r="D17" s="723">
        <v>0</v>
      </c>
      <c r="E17" s="723">
        <v>0</v>
      </c>
      <c r="F17" s="723">
        <v>0</v>
      </c>
      <c r="G17" s="723"/>
      <c r="H17" s="723"/>
      <c r="I17" s="724">
        <f t="shared" si="0"/>
        <v>0</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670</v>
      </c>
      <c r="C20" s="723">
        <v>1881145.78</v>
      </c>
      <c r="D20" s="723">
        <v>22509956.462504923</v>
      </c>
      <c r="E20" s="723">
        <v>1195891.878</v>
      </c>
      <c r="F20" s="723">
        <v>141015.13579999999</v>
      </c>
      <c r="G20" s="723"/>
      <c r="H20" s="723"/>
      <c r="I20" s="724">
        <f t="shared" si="0"/>
        <v>23054195.228704926</v>
      </c>
    </row>
    <row r="21" spans="1:9" s="431" customFormat="1">
      <c r="A21" s="430">
        <v>15</v>
      </c>
      <c r="B21" s="420" t="s">
        <v>68</v>
      </c>
      <c r="C21" s="722">
        <f>SUM(C7:C15)+SUM(C17:C20)</f>
        <v>8062733.2600000007</v>
      </c>
      <c r="D21" s="722">
        <f t="shared" ref="D21:H21" si="1">SUM(D7:D15)+SUM(D17:D20)</f>
        <v>414200178.22494346</v>
      </c>
      <c r="E21" s="722">
        <f t="shared" si="1"/>
        <v>3395427.6460000002</v>
      </c>
      <c r="F21" s="722">
        <f t="shared" si="1"/>
        <v>5447755.7519746684</v>
      </c>
      <c r="G21" s="722">
        <v>0</v>
      </c>
      <c r="H21" s="722">
        <f t="shared" si="1"/>
        <v>0</v>
      </c>
      <c r="I21" s="724">
        <f t="shared" si="0"/>
        <v>413419728.08696878</v>
      </c>
    </row>
    <row r="22" spans="1:9">
      <c r="A22" s="432">
        <v>16</v>
      </c>
      <c r="B22" s="433" t="s">
        <v>692</v>
      </c>
      <c r="C22" s="723">
        <v>6713640.0799999991</v>
      </c>
      <c r="D22" s="723">
        <v>265585415.05230498</v>
      </c>
      <c r="E22" s="723">
        <v>2616159.7760000015</v>
      </c>
      <c r="F22" s="723">
        <v>4682202.0315999929</v>
      </c>
      <c r="G22" s="723">
        <v>0</v>
      </c>
      <c r="H22" s="723"/>
      <c r="I22" s="724">
        <f t="shared" si="0"/>
        <v>265000693.32470495</v>
      </c>
    </row>
    <row r="23" spans="1:9">
      <c r="A23" s="432">
        <v>17</v>
      </c>
      <c r="B23" s="433" t="s">
        <v>693</v>
      </c>
      <c r="C23" s="723">
        <v>0</v>
      </c>
      <c r="D23" s="723">
        <v>39708749.499253504</v>
      </c>
      <c r="E23" s="723">
        <v>0</v>
      </c>
      <c r="F23" s="723">
        <v>765553.72037467</v>
      </c>
      <c r="G23" s="723"/>
      <c r="H23" s="723"/>
      <c r="I23" s="724">
        <f t="shared" si="0"/>
        <v>38943195.77887883</v>
      </c>
    </row>
    <row r="26" spans="1:9" ht="42.6" customHeight="1">
      <c r="B26" s="720" t="s">
        <v>940</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954</v>
      </c>
    </row>
    <row r="2" spans="1:9" ht="15">
      <c r="A2" s="527" t="s">
        <v>189</v>
      </c>
      <c r="B2" s="529">
        <f>'1. key ratios'!B2</f>
        <v>44926</v>
      </c>
    </row>
    <row r="3" spans="1:9">
      <c r="A3" s="415" t="s">
        <v>694</v>
      </c>
      <c r="B3" s="416"/>
    </row>
    <row r="4" spans="1:9">
      <c r="C4" s="425" t="s">
        <v>672</v>
      </c>
      <c r="D4" s="425" t="s">
        <v>673</v>
      </c>
      <c r="E4" s="425" t="s">
        <v>674</v>
      </c>
      <c r="F4" s="425" t="s">
        <v>675</v>
      </c>
      <c r="G4" s="425" t="s">
        <v>676</v>
      </c>
      <c r="H4" s="425" t="s">
        <v>677</v>
      </c>
      <c r="I4" s="425" t="s">
        <v>678</v>
      </c>
    </row>
    <row r="5" spans="1:9" ht="41.45" customHeight="1">
      <c r="A5" s="820" t="s">
        <v>951</v>
      </c>
      <c r="B5" s="821"/>
      <c r="C5" s="834" t="s">
        <v>682</v>
      </c>
      <c r="D5" s="834"/>
      <c r="E5" s="834" t="s">
        <v>683</v>
      </c>
      <c r="F5" s="834" t="s">
        <v>684</v>
      </c>
      <c r="G5" s="832" t="s">
        <v>685</v>
      </c>
      <c r="H5" s="832" t="s">
        <v>686</v>
      </c>
      <c r="I5" s="521" t="s">
        <v>687</v>
      </c>
    </row>
    <row r="6" spans="1:9" ht="41.45" customHeight="1">
      <c r="A6" s="824"/>
      <c r="B6" s="825"/>
      <c r="C6" s="473" t="s">
        <v>688</v>
      </c>
      <c r="D6" s="473" t="s">
        <v>689</v>
      </c>
      <c r="E6" s="834"/>
      <c r="F6" s="834"/>
      <c r="G6" s="833"/>
      <c r="H6" s="833"/>
      <c r="I6" s="521" t="s">
        <v>690</v>
      </c>
    </row>
    <row r="7" spans="1:9">
      <c r="A7" s="427">
        <v>1</v>
      </c>
      <c r="B7" s="435" t="s">
        <v>695</v>
      </c>
      <c r="C7" s="723">
        <v>7152.79</v>
      </c>
      <c r="D7" s="723">
        <v>60791575.725602448</v>
      </c>
      <c r="E7" s="723">
        <v>7152.79</v>
      </c>
      <c r="F7" s="723">
        <v>312530.14952714817</v>
      </c>
      <c r="G7" s="723"/>
      <c r="H7" s="723"/>
      <c r="I7" s="724">
        <f t="shared" ref="I7:I34" si="0">C7+D7-E7-F7-G7</f>
        <v>60479045.576075301</v>
      </c>
    </row>
    <row r="8" spans="1:9">
      <c r="A8" s="427">
        <v>2</v>
      </c>
      <c r="B8" s="435" t="s">
        <v>696</v>
      </c>
      <c r="C8" s="723">
        <v>0</v>
      </c>
      <c r="D8" s="723">
        <v>139647702.37942508</v>
      </c>
      <c r="E8" s="723">
        <v>0</v>
      </c>
      <c r="F8" s="723">
        <v>1416838.3552113019</v>
      </c>
      <c r="G8" s="723"/>
      <c r="H8" s="723"/>
      <c r="I8" s="724">
        <f t="shared" si="0"/>
        <v>138230864.02421379</v>
      </c>
    </row>
    <row r="9" spans="1:9">
      <c r="A9" s="427">
        <v>3</v>
      </c>
      <c r="B9" s="435" t="s">
        <v>697</v>
      </c>
      <c r="C9" s="723"/>
      <c r="D9" s="723"/>
      <c r="E9" s="723"/>
      <c r="F9" s="723"/>
      <c r="G9" s="723"/>
      <c r="H9" s="723"/>
      <c r="I9" s="724">
        <f t="shared" si="0"/>
        <v>0</v>
      </c>
    </row>
    <row r="10" spans="1:9">
      <c r="A10" s="427">
        <v>4</v>
      </c>
      <c r="B10" s="435" t="s">
        <v>698</v>
      </c>
      <c r="C10" s="723">
        <v>0</v>
      </c>
      <c r="D10" s="723">
        <v>14470018.799999999</v>
      </c>
      <c r="E10" s="723">
        <v>0</v>
      </c>
      <c r="F10" s="723">
        <v>250114.52579999997</v>
      </c>
      <c r="G10" s="723"/>
      <c r="H10" s="723"/>
      <c r="I10" s="724">
        <f t="shared" si="0"/>
        <v>14219904.274199998</v>
      </c>
    </row>
    <row r="11" spans="1:9">
      <c r="A11" s="427">
        <v>5</v>
      </c>
      <c r="B11" s="435" t="s">
        <v>699</v>
      </c>
      <c r="C11" s="723">
        <v>0</v>
      </c>
      <c r="D11" s="723">
        <v>15578719.310679998</v>
      </c>
      <c r="E11" s="723">
        <v>0</v>
      </c>
      <c r="F11" s="723">
        <v>308976.63199119997</v>
      </c>
      <c r="G11" s="723"/>
      <c r="H11" s="723"/>
      <c r="I11" s="724">
        <f t="shared" si="0"/>
        <v>15269742.678688798</v>
      </c>
    </row>
    <row r="12" spans="1:9">
      <c r="A12" s="427">
        <v>6</v>
      </c>
      <c r="B12" s="435" t="s">
        <v>700</v>
      </c>
      <c r="C12" s="723">
        <v>14576.03</v>
      </c>
      <c r="D12" s="723">
        <v>952174.99</v>
      </c>
      <c r="E12" s="723">
        <v>11403.365</v>
      </c>
      <c r="F12" s="723">
        <v>18981.591199999999</v>
      </c>
      <c r="G12" s="723"/>
      <c r="H12" s="723"/>
      <c r="I12" s="724">
        <f t="shared" si="0"/>
        <v>936366.0638</v>
      </c>
    </row>
    <row r="13" spans="1:9">
      <c r="A13" s="427">
        <v>7</v>
      </c>
      <c r="B13" s="435" t="s">
        <v>701</v>
      </c>
      <c r="C13" s="723">
        <v>0</v>
      </c>
      <c r="D13" s="723">
        <v>16108141.920000002</v>
      </c>
      <c r="E13" s="723">
        <v>0</v>
      </c>
      <c r="F13" s="723">
        <v>321591.55440000002</v>
      </c>
      <c r="G13" s="723"/>
      <c r="H13" s="723"/>
      <c r="I13" s="724">
        <f t="shared" si="0"/>
        <v>15786550.365600001</v>
      </c>
    </row>
    <row r="14" spans="1:9">
      <c r="A14" s="427">
        <v>8</v>
      </c>
      <c r="B14" s="435" t="s">
        <v>702</v>
      </c>
      <c r="C14" s="723">
        <v>663970.30999999994</v>
      </c>
      <c r="D14" s="723">
        <v>11048207.029999999</v>
      </c>
      <c r="E14" s="723">
        <v>365736.886</v>
      </c>
      <c r="F14" s="723">
        <v>220687.46520000001</v>
      </c>
      <c r="G14" s="723"/>
      <c r="H14" s="723"/>
      <c r="I14" s="724">
        <f t="shared" si="0"/>
        <v>11125752.9888</v>
      </c>
    </row>
    <row r="15" spans="1:9">
      <c r="A15" s="427">
        <v>9</v>
      </c>
      <c r="B15" s="435" t="s">
        <v>703</v>
      </c>
      <c r="C15" s="723">
        <v>0</v>
      </c>
      <c r="D15" s="723">
        <v>5020494.09034169</v>
      </c>
      <c r="E15" s="723">
        <v>0</v>
      </c>
      <c r="F15" s="723">
        <v>100000.0000068338</v>
      </c>
      <c r="G15" s="723"/>
      <c r="H15" s="723"/>
      <c r="I15" s="724">
        <f t="shared" si="0"/>
        <v>4920494.090334856</v>
      </c>
    </row>
    <row r="16" spans="1:9">
      <c r="A16" s="427">
        <v>10</v>
      </c>
      <c r="B16" s="435" t="s">
        <v>704</v>
      </c>
      <c r="C16" s="723">
        <v>366163.57</v>
      </c>
      <c r="D16" s="723">
        <v>14497861.34</v>
      </c>
      <c r="E16" s="723">
        <v>112776.07900000001</v>
      </c>
      <c r="F16" s="723">
        <v>181078.43039999998</v>
      </c>
      <c r="G16" s="723"/>
      <c r="H16" s="723"/>
      <c r="I16" s="724">
        <f t="shared" si="0"/>
        <v>14570170.400599999</v>
      </c>
    </row>
    <row r="17" spans="1:10">
      <c r="A17" s="427">
        <v>11</v>
      </c>
      <c r="B17" s="435" t="s">
        <v>705</v>
      </c>
      <c r="C17" s="723">
        <v>25805.440000000002</v>
      </c>
      <c r="D17" s="723">
        <v>19873467.919999998</v>
      </c>
      <c r="E17" s="723">
        <v>25805.440000000002</v>
      </c>
      <c r="F17" s="723">
        <v>391264.51780000003</v>
      </c>
      <c r="G17" s="723"/>
      <c r="H17" s="723"/>
      <c r="I17" s="724">
        <f t="shared" si="0"/>
        <v>19482203.402199998</v>
      </c>
    </row>
    <row r="18" spans="1:10">
      <c r="A18" s="427">
        <v>12</v>
      </c>
      <c r="B18" s="435" t="s">
        <v>706</v>
      </c>
      <c r="C18" s="723">
        <v>143135.35999999999</v>
      </c>
      <c r="D18" s="723">
        <v>33942057.130000003</v>
      </c>
      <c r="E18" s="723">
        <v>90006.34</v>
      </c>
      <c r="F18" s="723">
        <v>622091.24359999993</v>
      </c>
      <c r="G18" s="723"/>
      <c r="H18" s="723"/>
      <c r="I18" s="724">
        <f t="shared" si="0"/>
        <v>33373094.906399999</v>
      </c>
    </row>
    <row r="19" spans="1:10">
      <c r="A19" s="427">
        <v>13</v>
      </c>
      <c r="B19" s="435" t="s">
        <v>707</v>
      </c>
      <c r="C19" s="723">
        <v>27735.559999999998</v>
      </c>
      <c r="D19" s="723">
        <v>2302414.13</v>
      </c>
      <c r="E19" s="723">
        <v>138703.736</v>
      </c>
      <c r="F19" s="723">
        <v>23173.581800000004</v>
      </c>
      <c r="G19" s="723"/>
      <c r="H19" s="723"/>
      <c r="I19" s="724">
        <f t="shared" si="0"/>
        <v>2168272.3722000001</v>
      </c>
    </row>
    <row r="20" spans="1:10">
      <c r="A20" s="427">
        <v>14</v>
      </c>
      <c r="B20" s="435" t="s">
        <v>708</v>
      </c>
      <c r="C20" s="723">
        <v>5112810.9300000006</v>
      </c>
      <c r="D20" s="723">
        <v>7545031.1099999994</v>
      </c>
      <c r="E20" s="723">
        <v>1569383.3790000002</v>
      </c>
      <c r="F20" s="723">
        <v>150555.76879999996</v>
      </c>
      <c r="G20" s="723"/>
      <c r="H20" s="723"/>
      <c r="I20" s="724">
        <f t="shared" si="0"/>
        <v>10937902.892199999</v>
      </c>
    </row>
    <row r="21" spans="1:10">
      <c r="A21" s="427">
        <v>15</v>
      </c>
      <c r="B21" s="435" t="s">
        <v>709</v>
      </c>
      <c r="C21" s="723">
        <v>0</v>
      </c>
      <c r="D21" s="723">
        <v>1527565.19</v>
      </c>
      <c r="E21" s="723">
        <v>0</v>
      </c>
      <c r="F21" s="723">
        <v>30303.272799999999</v>
      </c>
      <c r="G21" s="723"/>
      <c r="H21" s="723"/>
      <c r="I21" s="724">
        <f t="shared" si="0"/>
        <v>1497261.9172</v>
      </c>
    </row>
    <row r="22" spans="1:10">
      <c r="A22" s="427">
        <v>16</v>
      </c>
      <c r="B22" s="435" t="s">
        <v>710</v>
      </c>
      <c r="C22" s="723">
        <v>0</v>
      </c>
      <c r="D22" s="723">
        <v>0</v>
      </c>
      <c r="E22" s="723">
        <v>0</v>
      </c>
      <c r="F22" s="723">
        <v>0</v>
      </c>
      <c r="G22" s="723"/>
      <c r="H22" s="723"/>
      <c r="I22" s="724">
        <f t="shared" si="0"/>
        <v>0</v>
      </c>
    </row>
    <row r="23" spans="1:10">
      <c r="A23" s="427">
        <v>17</v>
      </c>
      <c r="B23" s="435" t="s">
        <v>711</v>
      </c>
      <c r="C23" s="723">
        <v>0</v>
      </c>
      <c r="D23" s="723">
        <v>0</v>
      </c>
      <c r="E23" s="723">
        <v>0</v>
      </c>
      <c r="F23" s="723">
        <v>0</v>
      </c>
      <c r="G23" s="723"/>
      <c r="H23" s="723"/>
      <c r="I23" s="724">
        <f t="shared" si="0"/>
        <v>0</v>
      </c>
    </row>
    <row r="24" spans="1:10">
      <c r="A24" s="427">
        <v>18</v>
      </c>
      <c r="B24" s="435" t="s">
        <v>712</v>
      </c>
      <c r="C24" s="723">
        <v>0</v>
      </c>
      <c r="D24" s="723">
        <v>24341353.18</v>
      </c>
      <c r="E24" s="723">
        <v>0</v>
      </c>
      <c r="F24" s="723">
        <v>481799.18779999996</v>
      </c>
      <c r="G24" s="723"/>
      <c r="H24" s="723"/>
      <c r="I24" s="724">
        <f t="shared" si="0"/>
        <v>23859553.992199998</v>
      </c>
    </row>
    <row r="25" spans="1:10">
      <c r="A25" s="427">
        <v>19</v>
      </c>
      <c r="B25" s="435" t="s">
        <v>713</v>
      </c>
      <c r="C25" s="723">
        <v>0</v>
      </c>
      <c r="D25" s="723">
        <v>5493045.4400000004</v>
      </c>
      <c r="E25" s="723">
        <v>0</v>
      </c>
      <c r="F25" s="723">
        <v>109810.579</v>
      </c>
      <c r="G25" s="723"/>
      <c r="H25" s="723"/>
      <c r="I25" s="724">
        <f t="shared" si="0"/>
        <v>5383234.8610000005</v>
      </c>
    </row>
    <row r="26" spans="1:10">
      <c r="A26" s="427">
        <v>20</v>
      </c>
      <c r="B26" s="435" t="s">
        <v>714</v>
      </c>
      <c r="C26" s="723">
        <v>38897.530000000006</v>
      </c>
      <c r="D26" s="723">
        <v>13201576.869999999</v>
      </c>
      <c r="E26" s="723">
        <v>38318.321000000004</v>
      </c>
      <c r="F26" s="723">
        <v>263180.44500000001</v>
      </c>
      <c r="G26" s="723"/>
      <c r="H26" s="723"/>
      <c r="I26" s="724">
        <f t="shared" si="0"/>
        <v>12938975.633999998</v>
      </c>
      <c r="J26" s="436"/>
    </row>
    <row r="27" spans="1:10">
      <c r="A27" s="427">
        <v>21</v>
      </c>
      <c r="B27" s="435" t="s">
        <v>715</v>
      </c>
      <c r="C27" s="723">
        <v>80741.600000000006</v>
      </c>
      <c r="D27" s="723">
        <v>0</v>
      </c>
      <c r="E27" s="723">
        <v>24222.480000000007</v>
      </c>
      <c r="F27" s="723">
        <v>0</v>
      </c>
      <c r="G27" s="723"/>
      <c r="H27" s="723"/>
      <c r="I27" s="724">
        <f t="shared" si="0"/>
        <v>56519.119999999995</v>
      </c>
      <c r="J27" s="436"/>
    </row>
    <row r="28" spans="1:10">
      <c r="A28" s="427">
        <v>22</v>
      </c>
      <c r="B28" s="435" t="s">
        <v>716</v>
      </c>
      <c r="C28" s="723">
        <v>0</v>
      </c>
      <c r="D28" s="723">
        <v>0</v>
      </c>
      <c r="E28" s="723">
        <v>0</v>
      </c>
      <c r="F28" s="723">
        <v>0</v>
      </c>
      <c r="G28" s="723"/>
      <c r="H28" s="723"/>
      <c r="I28" s="724">
        <f t="shared" si="0"/>
        <v>0</v>
      </c>
      <c r="J28" s="436"/>
    </row>
    <row r="29" spans="1:10">
      <c r="A29" s="427">
        <v>23</v>
      </c>
      <c r="B29" s="435" t="s">
        <v>717</v>
      </c>
      <c r="C29" s="723">
        <v>42632.49</v>
      </c>
      <c r="D29" s="723">
        <v>12317705.43638931</v>
      </c>
      <c r="E29" s="723">
        <v>42632.49</v>
      </c>
      <c r="F29" s="723">
        <v>241337.39703818617</v>
      </c>
      <c r="G29" s="723"/>
      <c r="H29" s="723"/>
      <c r="I29" s="724">
        <f t="shared" si="0"/>
        <v>12076368.039351124</v>
      </c>
      <c r="J29" s="436"/>
    </row>
    <row r="30" spans="1:10">
      <c r="A30" s="427">
        <v>24</v>
      </c>
      <c r="B30" s="435" t="s">
        <v>718</v>
      </c>
      <c r="C30" s="723">
        <v>0</v>
      </c>
      <c r="D30" s="723">
        <v>0</v>
      </c>
      <c r="E30" s="723">
        <v>0</v>
      </c>
      <c r="F30" s="723">
        <v>0</v>
      </c>
      <c r="G30" s="723"/>
      <c r="H30" s="723"/>
      <c r="I30" s="724">
        <f t="shared" si="0"/>
        <v>0</v>
      </c>
      <c r="J30" s="436"/>
    </row>
    <row r="31" spans="1:10">
      <c r="A31" s="427">
        <v>25</v>
      </c>
      <c r="B31" s="435" t="s">
        <v>719</v>
      </c>
      <c r="C31" s="723">
        <v>190018.47</v>
      </c>
      <c r="D31" s="723">
        <v>172557.66</v>
      </c>
      <c r="E31" s="723">
        <v>190018.47</v>
      </c>
      <c r="F31" s="723">
        <v>3441.0545999999999</v>
      </c>
      <c r="G31" s="723"/>
      <c r="H31" s="723"/>
      <c r="I31" s="724">
        <f t="shared" si="0"/>
        <v>169116.6054</v>
      </c>
      <c r="J31" s="436"/>
    </row>
    <row r="32" spans="1:10">
      <c r="A32" s="427">
        <v>26</v>
      </c>
      <c r="B32" s="435" t="s">
        <v>720</v>
      </c>
      <c r="C32" s="723">
        <v>0</v>
      </c>
      <c r="D32" s="723">
        <v>0</v>
      </c>
      <c r="E32" s="723">
        <v>0</v>
      </c>
      <c r="F32" s="723">
        <v>0</v>
      </c>
      <c r="G32" s="723"/>
      <c r="H32" s="723"/>
      <c r="I32" s="724">
        <f t="shared" si="0"/>
        <v>0</v>
      </c>
      <c r="J32" s="436"/>
    </row>
    <row r="33" spans="1:10">
      <c r="A33" s="427">
        <v>27</v>
      </c>
      <c r="B33" s="428" t="s">
        <v>165</v>
      </c>
      <c r="C33" s="723">
        <v>1349093.18</v>
      </c>
      <c r="D33" s="723">
        <v>15368508.572504923</v>
      </c>
      <c r="E33" s="723">
        <v>779267.87</v>
      </c>
      <c r="F33" s="723"/>
      <c r="G33" s="723"/>
      <c r="H33" s="723"/>
      <c r="I33" s="724">
        <f t="shared" si="0"/>
        <v>15938333.882504923</v>
      </c>
      <c r="J33" s="436"/>
    </row>
    <row r="34" spans="1:10">
      <c r="A34" s="427">
        <v>28</v>
      </c>
      <c r="B34" s="437" t="s">
        <v>68</v>
      </c>
      <c r="C34" s="722">
        <f>SUM(C7:C33)</f>
        <v>8062733.2599999998</v>
      </c>
      <c r="D34" s="722">
        <f t="shared" ref="D34:H34" si="1">SUM(D7:D33)</f>
        <v>414200178.22494358</v>
      </c>
      <c r="E34" s="722">
        <f t="shared" si="1"/>
        <v>3395427.6460000006</v>
      </c>
      <c r="F34" s="722">
        <f t="shared" si="1"/>
        <v>5447755.7519746702</v>
      </c>
      <c r="G34" s="722">
        <v>0</v>
      </c>
      <c r="H34" s="722">
        <f t="shared" si="1"/>
        <v>0</v>
      </c>
      <c r="I34" s="724">
        <f t="shared" si="0"/>
        <v>413419728.0869689</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93.28515625" style="413" bestFit="1" customWidth="1"/>
    <col min="3" max="3" width="31" style="413" bestFit="1" customWidth="1"/>
    <col min="4" max="4" width="33.42578125" style="434" bestFit="1" customWidth="1"/>
    <col min="5" max="16384" width="9.140625" style="413"/>
  </cols>
  <sheetData>
    <row r="1" spans="1:4" ht="15">
      <c r="A1" s="527" t="s">
        <v>188</v>
      </c>
      <c r="B1" s="528" t="s">
        <v>954</v>
      </c>
      <c r="D1" s="413"/>
    </row>
    <row r="2" spans="1:4" ht="15">
      <c r="A2" s="527" t="s">
        <v>189</v>
      </c>
      <c r="B2" s="529">
        <f>'1. key ratios'!B2</f>
        <v>44926</v>
      </c>
      <c r="D2" s="413"/>
    </row>
    <row r="3" spans="1:4">
      <c r="A3" s="415" t="s">
        <v>721</v>
      </c>
      <c r="B3" s="416"/>
      <c r="D3" s="413"/>
    </row>
    <row r="5" spans="1:4" ht="63.75">
      <c r="A5" s="835" t="s">
        <v>722</v>
      </c>
      <c r="B5" s="835"/>
      <c r="C5" s="522" t="s">
        <v>723</v>
      </c>
      <c r="D5" s="522" t="s">
        <v>724</v>
      </c>
    </row>
    <row r="6" spans="1:4" ht="25.5">
      <c r="A6" s="441">
        <v>1</v>
      </c>
      <c r="B6" s="442" t="s">
        <v>725</v>
      </c>
      <c r="C6" s="725">
        <v>8585820.9483999982</v>
      </c>
      <c r="D6" s="725">
        <v>728650.49586220272</v>
      </c>
    </row>
    <row r="7" spans="1:4">
      <c r="A7" s="443">
        <v>2</v>
      </c>
      <c r="B7" s="442" t="s">
        <v>726</v>
      </c>
      <c r="C7" s="725">
        <f>SUM(C8:C11)</f>
        <v>1936182.1062874652</v>
      </c>
      <c r="D7" s="725">
        <f>SUM(D8:D11)</f>
        <v>140000</v>
      </c>
    </row>
    <row r="8" spans="1:4">
      <c r="A8" s="444">
        <v>2.1</v>
      </c>
      <c r="B8" s="445" t="s">
        <v>727</v>
      </c>
      <c r="C8" s="723">
        <v>1780712.6229971664</v>
      </c>
      <c r="D8" s="723">
        <v>140000</v>
      </c>
    </row>
    <row r="9" spans="1:4">
      <c r="A9" s="444">
        <v>2.2000000000000002</v>
      </c>
      <c r="B9" s="445" t="s">
        <v>728</v>
      </c>
      <c r="C9" s="723">
        <v>17714.398999999998</v>
      </c>
      <c r="D9" s="723">
        <v>0</v>
      </c>
    </row>
    <row r="10" spans="1:4">
      <c r="A10" s="444">
        <v>2.2999999999999998</v>
      </c>
      <c r="B10" s="445" t="s">
        <v>729</v>
      </c>
      <c r="C10" s="723">
        <v>137755.08429029878</v>
      </c>
      <c r="D10" s="723">
        <v>0</v>
      </c>
    </row>
    <row r="11" spans="1:4">
      <c r="A11" s="444">
        <v>2.4</v>
      </c>
      <c r="B11" s="445" t="s">
        <v>730</v>
      </c>
      <c r="C11" s="723">
        <v>0</v>
      </c>
      <c r="D11" s="723">
        <v>0</v>
      </c>
    </row>
    <row r="12" spans="1:4">
      <c r="A12" s="441">
        <v>3</v>
      </c>
      <c r="B12" s="442" t="s">
        <v>731</v>
      </c>
      <c r="C12" s="725">
        <f>SUM(C13:C18)</f>
        <v>3223641.2470874651</v>
      </c>
      <c r="D12" s="725">
        <f>SUM(D13:D18)</f>
        <v>103096.77548753249</v>
      </c>
    </row>
    <row r="13" spans="1:4">
      <c r="A13" s="444">
        <v>3.1</v>
      </c>
      <c r="B13" s="445" t="s">
        <v>732</v>
      </c>
      <c r="C13" s="723"/>
      <c r="D13" s="723"/>
    </row>
    <row r="14" spans="1:4">
      <c r="A14" s="444">
        <v>3.2</v>
      </c>
      <c r="B14" s="445" t="s">
        <v>733</v>
      </c>
      <c r="C14" s="723">
        <v>2376485.128522228</v>
      </c>
      <c r="D14" s="723">
        <v>84314.763079744967</v>
      </c>
    </row>
    <row r="15" spans="1:4">
      <c r="A15" s="444">
        <v>3.3</v>
      </c>
      <c r="B15" s="445" t="s">
        <v>734</v>
      </c>
      <c r="C15" s="723">
        <v>749089.60979999998</v>
      </c>
      <c r="D15" s="723">
        <v>0</v>
      </c>
    </row>
    <row r="16" spans="1:4">
      <c r="A16" s="444">
        <v>3.4</v>
      </c>
      <c r="B16" s="445" t="s">
        <v>735</v>
      </c>
      <c r="C16" s="723">
        <v>0</v>
      </c>
      <c r="D16" s="723"/>
    </row>
    <row r="17" spans="1:4" ht="25.5">
      <c r="A17" s="443">
        <v>3.5</v>
      </c>
      <c r="B17" s="445" t="s">
        <v>736</v>
      </c>
      <c r="C17" s="723">
        <v>98066.508765236998</v>
      </c>
      <c r="D17" s="723">
        <v>18782.01240778753</v>
      </c>
    </row>
    <row r="18" spans="1:4">
      <c r="A18" s="444">
        <v>3.6</v>
      </c>
      <c r="B18" s="445" t="s">
        <v>737</v>
      </c>
      <c r="C18" s="723">
        <v>0</v>
      </c>
      <c r="D18" s="723">
        <v>0</v>
      </c>
    </row>
    <row r="19" spans="1:4">
      <c r="A19" s="446">
        <v>4</v>
      </c>
      <c r="B19" s="442" t="s">
        <v>738</v>
      </c>
      <c r="C19" s="722">
        <f>C6+C7-C12</f>
        <v>7298361.8075999971</v>
      </c>
      <c r="D19" s="722">
        <f>D6+D7-D12</f>
        <v>765553.72037467023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954</v>
      </c>
      <c r="D1" s="413"/>
    </row>
    <row r="2" spans="1:4" ht="15">
      <c r="A2" s="527" t="s">
        <v>189</v>
      </c>
      <c r="B2" s="529">
        <f>'1. key ratios'!B2</f>
        <v>44926</v>
      </c>
      <c r="D2" s="413"/>
    </row>
    <row r="3" spans="1:4">
      <c r="A3" s="415" t="s">
        <v>739</v>
      </c>
      <c r="B3" s="416"/>
      <c r="D3" s="413"/>
    </row>
    <row r="4" spans="1:4">
      <c r="A4" s="415"/>
      <c r="D4" s="413"/>
    </row>
    <row r="5" spans="1:4" ht="15" customHeight="1">
      <c r="A5" s="836" t="s">
        <v>740</v>
      </c>
      <c r="B5" s="837"/>
      <c r="C5" s="826" t="s">
        <v>741</v>
      </c>
      <c r="D5" s="840" t="s">
        <v>742</v>
      </c>
    </row>
    <row r="6" spans="1:4">
      <c r="A6" s="838"/>
      <c r="B6" s="839"/>
      <c r="C6" s="829"/>
      <c r="D6" s="840"/>
    </row>
    <row r="7" spans="1:4">
      <c r="A7" s="437">
        <v>1</v>
      </c>
      <c r="B7" s="420" t="s">
        <v>743</v>
      </c>
      <c r="C7" s="723">
        <v>7843821.320000004</v>
      </c>
      <c r="D7" s="447"/>
    </row>
    <row r="8" spans="1:4">
      <c r="A8" s="428">
        <v>2</v>
      </c>
      <c r="B8" s="428" t="s">
        <v>744</v>
      </c>
      <c r="C8" s="723">
        <v>322739.40173532738</v>
      </c>
      <c r="D8" s="447"/>
    </row>
    <row r="9" spans="1:4">
      <c r="A9" s="428">
        <v>3</v>
      </c>
      <c r="B9" s="448" t="s">
        <v>745</v>
      </c>
      <c r="C9" s="723">
        <v>237939.35566188718</v>
      </c>
      <c r="D9" s="447"/>
    </row>
    <row r="10" spans="1:4">
      <c r="A10" s="428">
        <v>4</v>
      </c>
      <c r="B10" s="428" t="s">
        <v>746</v>
      </c>
      <c r="C10" s="725">
        <f>SUM(C11:C18)</f>
        <v>1809757.647397215</v>
      </c>
      <c r="D10" s="447"/>
    </row>
    <row r="11" spans="1:4">
      <c r="A11" s="428">
        <v>5</v>
      </c>
      <c r="B11" s="449" t="s">
        <v>747</v>
      </c>
      <c r="C11" s="723">
        <v>0</v>
      </c>
      <c r="D11" s="447"/>
    </row>
    <row r="12" spans="1:4">
      <c r="A12" s="428">
        <v>6</v>
      </c>
      <c r="B12" s="449" t="s">
        <v>748</v>
      </c>
      <c r="C12" s="723">
        <v>0</v>
      </c>
      <c r="D12" s="447"/>
    </row>
    <row r="13" spans="1:4">
      <c r="A13" s="428">
        <v>7</v>
      </c>
      <c r="B13" s="449" t="s">
        <v>749</v>
      </c>
      <c r="C13" s="723">
        <v>1715988.541028705</v>
      </c>
      <c r="D13" s="447"/>
    </row>
    <row r="14" spans="1:4">
      <c r="A14" s="428">
        <v>8</v>
      </c>
      <c r="B14" s="449" t="s">
        <v>750</v>
      </c>
      <c r="C14" s="723">
        <v>0</v>
      </c>
      <c r="D14" s="428"/>
    </row>
    <row r="15" spans="1:4">
      <c r="A15" s="428">
        <v>9</v>
      </c>
      <c r="B15" s="449" t="s">
        <v>751</v>
      </c>
      <c r="C15" s="723">
        <v>0</v>
      </c>
      <c r="D15" s="428"/>
    </row>
    <row r="16" spans="1:4">
      <c r="A16" s="428">
        <v>10</v>
      </c>
      <c r="B16" s="449" t="s">
        <v>752</v>
      </c>
      <c r="C16" s="723">
        <v>0</v>
      </c>
      <c r="D16" s="447"/>
    </row>
    <row r="17" spans="1:4">
      <c r="A17" s="428">
        <v>11</v>
      </c>
      <c r="B17" s="449" t="s">
        <v>753</v>
      </c>
      <c r="C17" s="723"/>
      <c r="D17" s="428"/>
    </row>
    <row r="18" spans="1:4" ht="25.5">
      <c r="A18" s="428">
        <v>12</v>
      </c>
      <c r="B18" s="449" t="s">
        <v>754</v>
      </c>
      <c r="C18" s="723">
        <v>93769.106368510154</v>
      </c>
      <c r="D18" s="447"/>
    </row>
    <row r="19" spans="1:4">
      <c r="A19" s="437">
        <v>13</v>
      </c>
      <c r="B19" s="450" t="s">
        <v>755</v>
      </c>
      <c r="C19" s="722">
        <f>C7+C8+C9-C10</f>
        <v>6594742.4300000034</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30" style="413" bestFit="1" customWidth="1"/>
    <col min="3" max="4" width="12.42578125" style="413" bestFit="1" customWidth="1"/>
    <col min="5" max="6" width="17.5703125" style="413" bestFit="1" customWidth="1"/>
    <col min="7" max="7" width="11.42578125" style="413" bestFit="1" customWidth="1"/>
    <col min="8" max="11" width="17.5703125" style="413" bestFit="1" customWidth="1"/>
    <col min="12" max="12" width="11.42578125" style="413" bestFit="1" customWidth="1"/>
    <col min="13" max="15" width="17.5703125" style="413" bestFit="1" customWidth="1"/>
    <col min="16" max="16" width="18.42578125" style="413" bestFit="1" customWidth="1"/>
    <col min="17" max="19" width="16.5703125" style="413" bestFit="1" customWidth="1"/>
    <col min="20" max="20" width="15.28515625" style="413" bestFit="1" customWidth="1"/>
    <col min="21" max="21" width="9.28515625" style="413" bestFit="1" customWidth="1"/>
    <col min="22" max="22" width="20" style="413" customWidth="1"/>
    <col min="23" max="16384" width="9.140625" style="413"/>
  </cols>
  <sheetData>
    <row r="1" spans="1:22" ht="15">
      <c r="A1" s="527" t="s">
        <v>188</v>
      </c>
      <c r="B1" s="528" t="s">
        <v>954</v>
      </c>
    </row>
    <row r="2" spans="1:22" ht="15">
      <c r="A2" s="527" t="s">
        <v>189</v>
      </c>
      <c r="B2" s="529">
        <f>'1. key ratios'!B2</f>
        <v>44926</v>
      </c>
      <c r="C2" s="424"/>
    </row>
    <row r="3" spans="1:22">
      <c r="A3" s="415" t="s">
        <v>756</v>
      </c>
      <c r="B3" s="416"/>
    </row>
    <row r="5" spans="1:22" ht="15" customHeight="1">
      <c r="A5" s="826" t="s">
        <v>757</v>
      </c>
      <c r="B5" s="828"/>
      <c r="C5" s="843" t="s">
        <v>758</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759</v>
      </c>
      <c r="E6" s="848"/>
      <c r="F6" s="849"/>
      <c r="G6" s="850" t="s">
        <v>760</v>
      </c>
      <c r="H6" s="851"/>
      <c r="I6" s="851"/>
      <c r="J6" s="851"/>
      <c r="K6" s="852"/>
      <c r="L6" s="524"/>
      <c r="M6" s="853" t="s">
        <v>761</v>
      </c>
      <c r="N6" s="853"/>
      <c r="O6" s="833"/>
      <c r="P6" s="833"/>
      <c r="Q6" s="833"/>
      <c r="R6" s="833"/>
      <c r="S6" s="833"/>
      <c r="T6" s="833"/>
      <c r="U6" s="833"/>
      <c r="V6" s="453"/>
    </row>
    <row r="7" spans="1:22" ht="38.25">
      <c r="A7" s="829"/>
      <c r="B7" s="831"/>
      <c r="C7" s="847"/>
      <c r="D7" s="454"/>
      <c r="E7" s="521" t="s">
        <v>762</v>
      </c>
      <c r="F7" s="726" t="s">
        <v>763</v>
      </c>
      <c r="G7" s="424"/>
      <c r="H7" s="726" t="s">
        <v>762</v>
      </c>
      <c r="I7" s="521" t="s">
        <v>789</v>
      </c>
      <c r="J7" s="521" t="s">
        <v>764</v>
      </c>
      <c r="K7" s="726" t="s">
        <v>765</v>
      </c>
      <c r="L7" s="520"/>
      <c r="M7" s="473" t="s">
        <v>766</v>
      </c>
      <c r="N7" s="521" t="s">
        <v>764</v>
      </c>
      <c r="O7" s="521" t="s">
        <v>767</v>
      </c>
      <c r="P7" s="521" t="s">
        <v>768</v>
      </c>
      <c r="Q7" s="521" t="s">
        <v>769</v>
      </c>
      <c r="R7" s="521" t="s">
        <v>770</v>
      </c>
      <c r="S7" s="521" t="s">
        <v>771</v>
      </c>
      <c r="T7" s="455" t="s">
        <v>772</v>
      </c>
      <c r="U7" s="521" t="s">
        <v>773</v>
      </c>
      <c r="V7" s="452"/>
    </row>
    <row r="8" spans="1:22">
      <c r="A8" s="456">
        <v>1</v>
      </c>
      <c r="B8" s="420" t="s">
        <v>774</v>
      </c>
      <c r="C8" s="727">
        <f>SUM(C9:C14)</f>
        <v>270496996.39000005</v>
      </c>
      <c r="D8" s="727">
        <f t="shared" ref="D8:U8" si="0">SUM(D9:D14)</f>
        <v>262768448.70000002</v>
      </c>
      <c r="E8" s="727">
        <f t="shared" si="0"/>
        <v>109949.92</v>
      </c>
      <c r="F8" s="727">
        <f t="shared" si="0"/>
        <v>0</v>
      </c>
      <c r="G8" s="727">
        <f t="shared" si="0"/>
        <v>1133805.26</v>
      </c>
      <c r="H8" s="727">
        <f t="shared" si="0"/>
        <v>0</v>
      </c>
      <c r="I8" s="727">
        <f t="shared" si="0"/>
        <v>0</v>
      </c>
      <c r="J8" s="727">
        <f t="shared" si="0"/>
        <v>0</v>
      </c>
      <c r="K8" s="727">
        <f t="shared" si="0"/>
        <v>0</v>
      </c>
      <c r="L8" s="727">
        <f t="shared" si="0"/>
        <v>6594742.4300000006</v>
      </c>
      <c r="M8" s="727">
        <f t="shared" si="0"/>
        <v>156640.20000000001</v>
      </c>
      <c r="N8" s="727">
        <f t="shared" si="0"/>
        <v>0</v>
      </c>
      <c r="O8" s="727">
        <f t="shared" si="0"/>
        <v>430466.74000000005</v>
      </c>
      <c r="P8" s="727">
        <f t="shared" si="0"/>
        <v>8574.5800000000017</v>
      </c>
      <c r="Q8" s="727">
        <f t="shared" si="0"/>
        <v>20523.749999999996</v>
      </c>
      <c r="R8" s="727">
        <f t="shared" si="0"/>
        <v>362965.73</v>
      </c>
      <c r="S8" s="727">
        <f t="shared" si="0"/>
        <v>202138.96000000002</v>
      </c>
      <c r="T8" s="727">
        <f t="shared" si="0"/>
        <v>18805.690000000002</v>
      </c>
      <c r="U8" s="727">
        <f t="shared" si="0"/>
        <v>745957.77</v>
      </c>
      <c r="V8" s="436"/>
    </row>
    <row r="9" spans="1:22">
      <c r="A9" s="427">
        <v>1.1000000000000001</v>
      </c>
      <c r="B9" s="457" t="s">
        <v>775</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776</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777</v>
      </c>
      <c r="C11" s="728">
        <v>15901981.109999998</v>
      </c>
      <c r="D11" s="723">
        <v>15901981.109999998</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778</v>
      </c>
      <c r="C12" s="728">
        <v>44479294.200000003</v>
      </c>
      <c r="D12" s="723">
        <v>44479294.200000003</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779</v>
      </c>
      <c r="C13" s="728">
        <v>202482131.85000005</v>
      </c>
      <c r="D13" s="723">
        <v>195289325.50000003</v>
      </c>
      <c r="E13" s="723">
        <v>109949.92</v>
      </c>
      <c r="F13" s="723">
        <v>0</v>
      </c>
      <c r="G13" s="723">
        <v>1129967.54</v>
      </c>
      <c r="H13" s="723">
        <v>0</v>
      </c>
      <c r="I13" s="723">
        <v>0</v>
      </c>
      <c r="J13" s="723">
        <v>0</v>
      </c>
      <c r="K13" s="723">
        <v>0</v>
      </c>
      <c r="L13" s="723">
        <v>6062838.8100000005</v>
      </c>
      <c r="M13" s="723">
        <v>0</v>
      </c>
      <c r="N13" s="723">
        <v>0</v>
      </c>
      <c r="O13" s="723">
        <v>425764.42000000004</v>
      </c>
      <c r="P13" s="723">
        <v>0</v>
      </c>
      <c r="Q13" s="723">
        <v>0</v>
      </c>
      <c r="R13" s="723">
        <v>361982.13</v>
      </c>
      <c r="S13" s="723">
        <v>103816.47</v>
      </c>
      <c r="T13" s="723">
        <v>0</v>
      </c>
      <c r="U13" s="723">
        <v>382410.53</v>
      </c>
      <c r="V13" s="436"/>
    </row>
    <row r="14" spans="1:22">
      <c r="A14" s="427">
        <v>1.6</v>
      </c>
      <c r="B14" s="457" t="s">
        <v>780</v>
      </c>
      <c r="C14" s="728">
        <v>7633589.2300000023</v>
      </c>
      <c r="D14" s="723">
        <v>7097847.8899999997</v>
      </c>
      <c r="E14" s="723">
        <v>0</v>
      </c>
      <c r="F14" s="723">
        <v>0</v>
      </c>
      <c r="G14" s="723">
        <v>3837.72</v>
      </c>
      <c r="H14" s="723">
        <v>0</v>
      </c>
      <c r="I14" s="723">
        <v>0</v>
      </c>
      <c r="J14" s="723">
        <v>0</v>
      </c>
      <c r="K14" s="723">
        <v>0</v>
      </c>
      <c r="L14" s="723">
        <v>531903.62</v>
      </c>
      <c r="M14" s="723">
        <v>156640.20000000001</v>
      </c>
      <c r="N14" s="723">
        <v>0</v>
      </c>
      <c r="O14" s="723">
        <v>4702.3200000000006</v>
      </c>
      <c r="P14" s="723">
        <v>8574.5800000000017</v>
      </c>
      <c r="Q14" s="723">
        <v>20523.749999999996</v>
      </c>
      <c r="R14" s="723">
        <v>983.6</v>
      </c>
      <c r="S14" s="723">
        <v>98322.49</v>
      </c>
      <c r="T14" s="723">
        <v>18805.690000000002</v>
      </c>
      <c r="U14" s="723">
        <v>363547.23999999993</v>
      </c>
      <c r="V14" s="436"/>
    </row>
    <row r="15" spans="1:22">
      <c r="A15" s="456">
        <v>2</v>
      </c>
      <c r="B15" s="437" t="s">
        <v>781</v>
      </c>
      <c r="C15" s="727">
        <f>SUM(C16:C21)</f>
        <v>39186261.878733501</v>
      </c>
      <c r="D15" s="727">
        <f t="shared" ref="D15:U15" si="1">SUM(D16:D21)</f>
        <v>39186261.878733501</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775</v>
      </c>
      <c r="C16" s="728">
        <v>0</v>
      </c>
      <c r="D16" s="723">
        <v>0</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776</v>
      </c>
      <c r="C17" s="728">
        <v>2346008.4263574057</v>
      </c>
      <c r="D17" s="723">
        <v>2346008.4263574057</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777</v>
      </c>
      <c r="C18" s="728">
        <v>5323667.0136830658</v>
      </c>
      <c r="D18" s="723">
        <v>5323667.0136830658</v>
      </c>
      <c r="E18" s="723"/>
      <c r="F18" s="723"/>
      <c r="G18" s="723"/>
      <c r="H18" s="723"/>
      <c r="I18" s="723"/>
      <c r="J18" s="723"/>
      <c r="K18" s="723"/>
      <c r="L18" s="723"/>
      <c r="M18" s="723"/>
      <c r="N18" s="723"/>
      <c r="O18" s="723"/>
      <c r="P18" s="723"/>
      <c r="Q18" s="723"/>
      <c r="R18" s="723"/>
      <c r="S18" s="723"/>
      <c r="T18" s="723"/>
      <c r="U18" s="723"/>
      <c r="V18" s="436"/>
    </row>
    <row r="19" spans="1:22">
      <c r="A19" s="427">
        <v>2.4</v>
      </c>
      <c r="B19" s="457" t="s">
        <v>778</v>
      </c>
      <c r="C19" s="728">
        <v>2702000</v>
      </c>
      <c r="D19" s="723">
        <v>2702000</v>
      </c>
      <c r="E19" s="723"/>
      <c r="F19" s="723"/>
      <c r="G19" s="723"/>
      <c r="H19" s="723"/>
      <c r="I19" s="723"/>
      <c r="J19" s="723"/>
      <c r="K19" s="723"/>
      <c r="L19" s="723"/>
      <c r="M19" s="723"/>
      <c r="N19" s="723"/>
      <c r="O19" s="723"/>
      <c r="P19" s="723"/>
      <c r="Q19" s="723"/>
      <c r="R19" s="723"/>
      <c r="S19" s="723"/>
      <c r="T19" s="723"/>
      <c r="U19" s="723"/>
      <c r="V19" s="436"/>
    </row>
    <row r="20" spans="1:22">
      <c r="A20" s="427">
        <v>2.5</v>
      </c>
      <c r="B20" s="457" t="s">
        <v>779</v>
      </c>
      <c r="C20" s="728">
        <v>28814586.438693032</v>
      </c>
      <c r="D20" s="723">
        <v>28814586.438693032</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780</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782</v>
      </c>
      <c r="C22" s="727">
        <f>SUM(C23:C28)</f>
        <v>95990071.030000001</v>
      </c>
      <c r="D22" s="727">
        <f t="shared" ref="D22:E22" si="2">SUM(D23:D28)</f>
        <v>95936602.650000006</v>
      </c>
      <c r="E22" s="727">
        <f t="shared" si="2"/>
        <v>0</v>
      </c>
      <c r="F22" s="458"/>
      <c r="G22" s="727">
        <f t="shared" ref="G22" si="3">SUM(G23:G28)</f>
        <v>0</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775</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776</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777</v>
      </c>
      <c r="C25" s="728">
        <v>67217531.24000001</v>
      </c>
      <c r="D25" s="723">
        <v>67217531.24000001</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778</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779</v>
      </c>
      <c r="C27" s="728">
        <v>28719071.409999996</v>
      </c>
      <c r="D27" s="723">
        <v>28719071.409999996</v>
      </c>
      <c r="E27" s="723"/>
      <c r="F27" s="458"/>
      <c r="G27" s="723">
        <v>0</v>
      </c>
      <c r="H27" s="458"/>
      <c r="I27" s="458"/>
      <c r="J27" s="458"/>
      <c r="K27" s="458"/>
      <c r="L27" s="723">
        <v>0</v>
      </c>
      <c r="M27" s="458"/>
      <c r="N27" s="458"/>
      <c r="O27" s="458"/>
      <c r="P27" s="458"/>
      <c r="Q27" s="458"/>
      <c r="R27" s="458"/>
      <c r="S27" s="458"/>
      <c r="T27" s="458"/>
      <c r="U27" s="723">
        <v>0</v>
      </c>
      <c r="V27" s="436"/>
    </row>
    <row r="28" spans="1:22">
      <c r="A28" s="427">
        <v>3.6</v>
      </c>
      <c r="B28" s="457" t="s">
        <v>780</v>
      </c>
      <c r="C28" s="728">
        <v>53468.380000000012</v>
      </c>
      <c r="D28" s="723">
        <v>0</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88.140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954</v>
      </c>
    </row>
    <row r="2" spans="1:21" ht="15">
      <c r="A2" s="527" t="s">
        <v>189</v>
      </c>
      <c r="B2" s="529">
        <f>'1. key ratios'!B2</f>
        <v>44926</v>
      </c>
    </row>
    <row r="3" spans="1:21">
      <c r="A3" s="415" t="s">
        <v>783</v>
      </c>
      <c r="B3" s="416"/>
      <c r="C3" s="416"/>
    </row>
    <row r="4" spans="1:21">
      <c r="A4" s="415"/>
      <c r="B4" s="416"/>
      <c r="C4" s="416"/>
    </row>
    <row r="5" spans="1:21" ht="13.5" customHeight="1">
      <c r="A5" s="854" t="s">
        <v>784</v>
      </c>
      <c r="B5" s="855"/>
      <c r="C5" s="860" t="s">
        <v>785</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786</v>
      </c>
      <c r="E6" s="861"/>
      <c r="F6" s="862"/>
      <c r="G6" s="860" t="s">
        <v>787</v>
      </c>
      <c r="H6" s="861"/>
      <c r="I6" s="861"/>
      <c r="J6" s="861"/>
      <c r="K6" s="862"/>
      <c r="L6" s="863" t="s">
        <v>788</v>
      </c>
      <c r="M6" s="864"/>
      <c r="N6" s="864"/>
      <c r="O6" s="864"/>
      <c r="P6" s="864"/>
      <c r="Q6" s="864"/>
      <c r="R6" s="864"/>
      <c r="S6" s="864"/>
      <c r="T6" s="865"/>
      <c r="U6" s="453"/>
    </row>
    <row r="7" spans="1:21" ht="25.5">
      <c r="A7" s="858"/>
      <c r="B7" s="859"/>
      <c r="C7" s="840"/>
      <c r="D7" s="434"/>
      <c r="E7" s="473" t="s">
        <v>762</v>
      </c>
      <c r="F7" s="726" t="s">
        <v>763</v>
      </c>
      <c r="G7" s="434"/>
      <c r="H7" s="473" t="s">
        <v>762</v>
      </c>
      <c r="I7" s="726" t="s">
        <v>789</v>
      </c>
      <c r="J7" s="726" t="s">
        <v>764</v>
      </c>
      <c r="K7" s="726" t="s">
        <v>765</v>
      </c>
      <c r="L7" s="729"/>
      <c r="M7" s="473" t="s">
        <v>766</v>
      </c>
      <c r="N7" s="726" t="s">
        <v>764</v>
      </c>
      <c r="O7" s="726" t="s">
        <v>767</v>
      </c>
      <c r="P7" s="726" t="s">
        <v>768</v>
      </c>
      <c r="Q7" s="726" t="s">
        <v>769</v>
      </c>
      <c r="R7" s="726" t="s">
        <v>770</v>
      </c>
      <c r="S7" s="726" t="s">
        <v>771</v>
      </c>
      <c r="T7" s="730" t="s">
        <v>772</v>
      </c>
      <c r="U7" s="452"/>
    </row>
    <row r="8" spans="1:21">
      <c r="A8" s="459">
        <v>1</v>
      </c>
      <c r="B8" s="450" t="s">
        <v>774</v>
      </c>
      <c r="C8" s="731">
        <v>270496996.39000005</v>
      </c>
      <c r="D8" s="723">
        <v>262768448.70000002</v>
      </c>
      <c r="E8" s="723">
        <v>109949.92</v>
      </c>
      <c r="F8" s="723">
        <v>0</v>
      </c>
      <c r="G8" s="723">
        <v>1133805.26</v>
      </c>
      <c r="H8" s="723">
        <v>0</v>
      </c>
      <c r="I8" s="723">
        <v>0</v>
      </c>
      <c r="J8" s="723">
        <v>0</v>
      </c>
      <c r="K8" s="723">
        <v>0</v>
      </c>
      <c r="L8" s="723">
        <v>6594742.4300000006</v>
      </c>
      <c r="M8" s="723">
        <v>156640.20000000001</v>
      </c>
      <c r="N8" s="723">
        <v>0</v>
      </c>
      <c r="O8" s="723">
        <v>430466.74000000005</v>
      </c>
      <c r="P8" s="723">
        <v>8574.5800000000017</v>
      </c>
      <c r="Q8" s="723">
        <v>20523.749999999996</v>
      </c>
      <c r="R8" s="723">
        <v>362965.73</v>
      </c>
      <c r="S8" s="723">
        <v>202138.96000000002</v>
      </c>
      <c r="T8" s="723">
        <v>18805.690000000002</v>
      </c>
      <c r="U8" s="436"/>
    </row>
    <row r="9" spans="1:21">
      <c r="A9" s="457">
        <v>1.1000000000000001</v>
      </c>
      <c r="B9" s="457" t="s">
        <v>790</v>
      </c>
      <c r="C9" s="728">
        <v>238074728.75999972</v>
      </c>
      <c r="D9" s="723">
        <v>230736343.11999974</v>
      </c>
      <c r="E9" s="723">
        <v>109949.92</v>
      </c>
      <c r="F9" s="723">
        <v>0</v>
      </c>
      <c r="G9" s="723">
        <v>1129967.54</v>
      </c>
      <c r="H9" s="723">
        <v>0</v>
      </c>
      <c r="I9" s="723">
        <v>0</v>
      </c>
      <c r="J9" s="723">
        <v>0</v>
      </c>
      <c r="K9" s="723">
        <v>0</v>
      </c>
      <c r="L9" s="723">
        <v>6208418.1000000006</v>
      </c>
      <c r="M9" s="723">
        <v>156640.20000000001</v>
      </c>
      <c r="N9" s="723">
        <v>0</v>
      </c>
      <c r="O9" s="723">
        <v>425764.42000000004</v>
      </c>
      <c r="P9" s="723">
        <v>4393.1400000000003</v>
      </c>
      <c r="Q9" s="723">
        <v>20523.750000000004</v>
      </c>
      <c r="R9" s="723">
        <v>361982.13</v>
      </c>
      <c r="S9" s="723">
        <v>139906.20000000001</v>
      </c>
      <c r="T9" s="723">
        <v>17372.810000000001</v>
      </c>
      <c r="U9" s="436"/>
    </row>
    <row r="10" spans="1:21">
      <c r="A10" s="460" t="s">
        <v>252</v>
      </c>
      <c r="B10" s="460" t="s">
        <v>791</v>
      </c>
      <c r="C10" s="732">
        <v>132295338.14000002</v>
      </c>
      <c r="D10" s="723">
        <v>125206725.16000001</v>
      </c>
      <c r="E10" s="723">
        <v>109949.92</v>
      </c>
      <c r="F10" s="723">
        <v>0</v>
      </c>
      <c r="G10" s="723">
        <v>1129967.54</v>
      </c>
      <c r="H10" s="723">
        <v>0</v>
      </c>
      <c r="I10" s="723">
        <v>0</v>
      </c>
      <c r="J10" s="723">
        <v>0</v>
      </c>
      <c r="K10" s="723">
        <v>0</v>
      </c>
      <c r="L10" s="723">
        <v>5958645.4399999995</v>
      </c>
      <c r="M10" s="723">
        <v>156640.20000000001</v>
      </c>
      <c r="N10" s="723">
        <v>0</v>
      </c>
      <c r="O10" s="723">
        <v>425764.42000000004</v>
      </c>
      <c r="P10" s="723">
        <v>0</v>
      </c>
      <c r="Q10" s="723">
        <v>20523.750000000004</v>
      </c>
      <c r="R10" s="723">
        <v>361982.13</v>
      </c>
      <c r="S10" s="723">
        <v>0</v>
      </c>
      <c r="T10" s="723">
        <v>0</v>
      </c>
      <c r="U10" s="436"/>
    </row>
    <row r="11" spans="1:21">
      <c r="A11" s="461" t="s">
        <v>792</v>
      </c>
      <c r="B11" s="462" t="s">
        <v>793</v>
      </c>
      <c r="C11" s="733">
        <v>58378611.810000002</v>
      </c>
      <c r="D11" s="723">
        <v>51370740.429999992</v>
      </c>
      <c r="E11" s="723">
        <v>109949.92</v>
      </c>
      <c r="F11" s="723">
        <v>0</v>
      </c>
      <c r="G11" s="723">
        <v>1129967.54</v>
      </c>
      <c r="H11" s="723">
        <v>0</v>
      </c>
      <c r="I11" s="723">
        <v>0</v>
      </c>
      <c r="J11" s="723">
        <v>0</v>
      </c>
      <c r="K11" s="723">
        <v>0</v>
      </c>
      <c r="L11" s="723">
        <v>5877903.8399999999</v>
      </c>
      <c r="M11" s="723">
        <v>75898.600000000006</v>
      </c>
      <c r="N11" s="723">
        <v>0</v>
      </c>
      <c r="O11" s="723">
        <v>425764.42000000004</v>
      </c>
      <c r="P11" s="723">
        <v>0</v>
      </c>
      <c r="Q11" s="723">
        <v>20523.750000000004</v>
      </c>
      <c r="R11" s="723">
        <v>361982.13</v>
      </c>
      <c r="S11" s="723">
        <v>0</v>
      </c>
      <c r="T11" s="723">
        <v>0</v>
      </c>
      <c r="U11" s="436"/>
    </row>
    <row r="12" spans="1:21">
      <c r="A12" s="461" t="s">
        <v>794</v>
      </c>
      <c r="B12" s="462" t="s">
        <v>795</v>
      </c>
      <c r="C12" s="733">
        <v>13858643.5</v>
      </c>
      <c r="D12" s="723">
        <v>13858643.5</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796</v>
      </c>
      <c r="B13" s="462" t="s">
        <v>797</v>
      </c>
      <c r="C13" s="733">
        <v>7184008.9600000009</v>
      </c>
      <c r="D13" s="723">
        <v>7184008.9600000009</v>
      </c>
      <c r="E13" s="723">
        <v>0</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436"/>
    </row>
    <row r="14" spans="1:21">
      <c r="A14" s="461" t="s">
        <v>798</v>
      </c>
      <c r="B14" s="462" t="s">
        <v>799</v>
      </c>
      <c r="C14" s="733">
        <v>52874073.870000005</v>
      </c>
      <c r="D14" s="723">
        <v>52793332.270000003</v>
      </c>
      <c r="E14" s="723">
        <v>0</v>
      </c>
      <c r="F14" s="723">
        <v>0</v>
      </c>
      <c r="G14" s="723">
        <v>0</v>
      </c>
      <c r="H14" s="723">
        <v>0</v>
      </c>
      <c r="I14" s="723">
        <v>0</v>
      </c>
      <c r="J14" s="723">
        <v>0</v>
      </c>
      <c r="K14" s="723">
        <v>0</v>
      </c>
      <c r="L14" s="723">
        <v>80741.600000000006</v>
      </c>
      <c r="M14" s="723">
        <v>80741.600000000006</v>
      </c>
      <c r="N14" s="723">
        <v>0</v>
      </c>
      <c r="O14" s="723">
        <v>0</v>
      </c>
      <c r="P14" s="723">
        <v>0</v>
      </c>
      <c r="Q14" s="723">
        <v>0</v>
      </c>
      <c r="R14" s="723">
        <v>0</v>
      </c>
      <c r="S14" s="723">
        <v>0</v>
      </c>
      <c r="T14" s="723">
        <v>0</v>
      </c>
      <c r="U14" s="436"/>
    </row>
    <row r="15" spans="1:21">
      <c r="A15" s="463">
        <v>1.2</v>
      </c>
      <c r="B15" s="464" t="s">
        <v>800</v>
      </c>
      <c r="C15" s="728">
        <v>6591952.4152000006</v>
      </c>
      <c r="D15" s="723">
        <v>4359599.5421999991</v>
      </c>
      <c r="E15" s="723">
        <v>2198.9983999999999</v>
      </c>
      <c r="F15" s="723">
        <v>0</v>
      </c>
      <c r="G15" s="723">
        <v>112996.754</v>
      </c>
      <c r="H15" s="723">
        <v>0</v>
      </c>
      <c r="I15" s="723">
        <v>0</v>
      </c>
      <c r="J15" s="723">
        <v>0</v>
      </c>
      <c r="K15" s="723">
        <v>0</v>
      </c>
      <c r="L15" s="723">
        <v>2119356.1189999999</v>
      </c>
      <c r="M15" s="723">
        <v>46992.06</v>
      </c>
      <c r="N15" s="723">
        <v>0</v>
      </c>
      <c r="O15" s="723">
        <v>127729.32600000002</v>
      </c>
      <c r="P15" s="723">
        <v>4393.1400000000003</v>
      </c>
      <c r="Q15" s="723">
        <v>20523.75</v>
      </c>
      <c r="R15" s="723">
        <v>108594.63900000001</v>
      </c>
      <c r="S15" s="723">
        <v>139906.20000000001</v>
      </c>
      <c r="T15" s="723">
        <v>17372.810000000001</v>
      </c>
      <c r="U15" s="436"/>
    </row>
    <row r="16" spans="1:21">
      <c r="A16" s="465">
        <v>1.3</v>
      </c>
      <c r="B16" s="464" t="s">
        <v>801</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802</v>
      </c>
      <c r="B17" s="468" t="s">
        <v>803</v>
      </c>
      <c r="C17" s="734">
        <v>229430101.40925062</v>
      </c>
      <c r="D17" s="723">
        <v>222091715.76925063</v>
      </c>
      <c r="E17" s="723">
        <v>109949.92</v>
      </c>
      <c r="F17" s="723">
        <v>0</v>
      </c>
      <c r="G17" s="723">
        <v>1129967.54</v>
      </c>
      <c r="H17" s="723">
        <v>0</v>
      </c>
      <c r="I17" s="723">
        <v>0</v>
      </c>
      <c r="J17" s="723">
        <v>0</v>
      </c>
      <c r="K17" s="723">
        <v>0</v>
      </c>
      <c r="L17" s="723">
        <v>6208418.1000000006</v>
      </c>
      <c r="M17" s="723">
        <v>156640.20000000001</v>
      </c>
      <c r="N17" s="723">
        <v>0</v>
      </c>
      <c r="O17" s="723">
        <v>425764.42000000004</v>
      </c>
      <c r="P17" s="723">
        <v>4393.1400000000003</v>
      </c>
      <c r="Q17" s="723">
        <v>20523.750000000004</v>
      </c>
      <c r="R17" s="723">
        <v>361982.13</v>
      </c>
      <c r="S17" s="723">
        <v>139906.20000000001</v>
      </c>
      <c r="T17" s="723">
        <v>17372.810000000001</v>
      </c>
      <c r="U17" s="440"/>
    </row>
    <row r="18" spans="1:21" s="434" customFormat="1" ht="25.5">
      <c r="A18" s="469" t="s">
        <v>804</v>
      </c>
      <c r="B18" s="469" t="s">
        <v>805</v>
      </c>
      <c r="C18" s="735">
        <v>101782262.4455505</v>
      </c>
      <c r="D18" s="723">
        <v>94694141.665550485</v>
      </c>
      <c r="E18" s="723">
        <v>109949.92</v>
      </c>
      <c r="F18" s="723">
        <v>0</v>
      </c>
      <c r="G18" s="723">
        <v>1129967.54</v>
      </c>
      <c r="H18" s="723">
        <v>0</v>
      </c>
      <c r="I18" s="723">
        <v>0</v>
      </c>
      <c r="J18" s="723">
        <v>0</v>
      </c>
      <c r="K18" s="723">
        <v>0</v>
      </c>
      <c r="L18" s="723">
        <v>5958153.2400000002</v>
      </c>
      <c r="M18" s="723">
        <v>156148</v>
      </c>
      <c r="N18" s="723">
        <v>0</v>
      </c>
      <c r="O18" s="723">
        <v>425764.42000000004</v>
      </c>
      <c r="P18" s="723">
        <v>0</v>
      </c>
      <c r="Q18" s="723">
        <v>20523.750000000004</v>
      </c>
      <c r="R18" s="723">
        <v>361982.13</v>
      </c>
      <c r="S18" s="723">
        <v>0</v>
      </c>
      <c r="T18" s="723">
        <v>0</v>
      </c>
      <c r="U18" s="440"/>
    </row>
    <row r="19" spans="1:21" s="434" customFormat="1">
      <c r="A19" s="467" t="s">
        <v>806</v>
      </c>
      <c r="B19" s="470" t="s">
        <v>807</v>
      </c>
      <c r="C19" s="736">
        <v>190286143.2187582</v>
      </c>
      <c r="D19" s="723">
        <v>170142838.97401193</v>
      </c>
      <c r="E19" s="723">
        <v>468796.99999999994</v>
      </c>
      <c r="F19" s="723">
        <v>0</v>
      </c>
      <c r="G19" s="723">
        <v>4256671.3521253709</v>
      </c>
      <c r="H19" s="723">
        <v>0</v>
      </c>
      <c r="I19" s="723">
        <v>0</v>
      </c>
      <c r="J19" s="723">
        <v>0</v>
      </c>
      <c r="K19" s="723">
        <v>0</v>
      </c>
      <c r="L19" s="723">
        <v>15886632.892620884</v>
      </c>
      <c r="M19" s="723">
        <v>162701.50999999995</v>
      </c>
      <c r="N19" s="723">
        <v>0</v>
      </c>
      <c r="O19" s="723">
        <v>4323199.9999999981</v>
      </c>
      <c r="P19" s="723">
        <v>0</v>
      </c>
      <c r="Q19" s="723">
        <v>71344.132620891105</v>
      </c>
      <c r="R19" s="723">
        <v>2647959.9999999995</v>
      </c>
      <c r="S19" s="723">
        <v>0</v>
      </c>
      <c r="T19" s="723">
        <v>0</v>
      </c>
      <c r="U19" s="440"/>
    </row>
    <row r="20" spans="1:21" s="434" customFormat="1">
      <c r="A20" s="469" t="s">
        <v>808</v>
      </c>
      <c r="B20" s="469" t="s">
        <v>809</v>
      </c>
      <c r="C20" s="735">
        <v>107091815.16869877</v>
      </c>
      <c r="D20" s="723">
        <v>88993289.003952533</v>
      </c>
      <c r="E20" s="723">
        <v>104859.07999999997</v>
      </c>
      <c r="F20" s="723">
        <v>0</v>
      </c>
      <c r="G20" s="723">
        <v>3126703.8121253708</v>
      </c>
      <c r="H20" s="723">
        <v>0</v>
      </c>
      <c r="I20" s="723">
        <v>0</v>
      </c>
      <c r="J20" s="723">
        <v>0</v>
      </c>
      <c r="K20" s="723">
        <v>0</v>
      </c>
      <c r="L20" s="723">
        <v>14971822.352620883</v>
      </c>
      <c r="M20" s="723">
        <v>82452.109999999957</v>
      </c>
      <c r="N20" s="723">
        <v>0</v>
      </c>
      <c r="O20" s="723">
        <v>3897435.5799999982</v>
      </c>
      <c r="P20" s="723">
        <v>0</v>
      </c>
      <c r="Q20" s="723">
        <v>71344.132620891105</v>
      </c>
      <c r="R20" s="723">
        <v>2285977.8699999996</v>
      </c>
      <c r="S20" s="723">
        <v>0</v>
      </c>
      <c r="T20" s="723">
        <v>0</v>
      </c>
      <c r="U20" s="440"/>
    </row>
    <row r="21" spans="1:21" s="434" customFormat="1">
      <c r="A21" s="471">
        <v>1.4</v>
      </c>
      <c r="B21" s="511" t="s">
        <v>942</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943</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59.710937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954</v>
      </c>
      <c r="F1" s="413"/>
      <c r="G1" s="413"/>
      <c r="J1" s="413"/>
      <c r="K1" s="413"/>
      <c r="L1" s="413"/>
      <c r="M1" s="413"/>
      <c r="N1" s="413"/>
    </row>
    <row r="2" spans="1:15" ht="15">
      <c r="A2" s="527" t="s">
        <v>189</v>
      </c>
      <c r="B2" s="529">
        <f>'1. key ratios'!B2</f>
        <v>44926</v>
      </c>
      <c r="F2" s="413"/>
      <c r="G2" s="413"/>
      <c r="J2" s="413"/>
      <c r="K2" s="413"/>
      <c r="L2" s="413"/>
      <c r="M2" s="413"/>
      <c r="N2" s="413"/>
    </row>
    <row r="3" spans="1:15">
      <c r="A3" s="415" t="s">
        <v>812</v>
      </c>
      <c r="B3" s="416"/>
      <c r="F3" s="413"/>
      <c r="G3" s="413"/>
      <c r="J3" s="413"/>
      <c r="K3" s="413"/>
      <c r="L3" s="413"/>
      <c r="M3" s="413"/>
      <c r="N3" s="413"/>
    </row>
    <row r="4" spans="1:15">
      <c r="F4" s="413"/>
      <c r="G4" s="413"/>
      <c r="J4" s="413"/>
      <c r="K4" s="413"/>
      <c r="L4" s="413"/>
      <c r="M4" s="413"/>
      <c r="N4" s="413"/>
    </row>
    <row r="5" spans="1:15" ht="37.5" customHeight="1">
      <c r="A5" s="820" t="s">
        <v>813</v>
      </c>
      <c r="B5" s="821"/>
      <c r="C5" s="866" t="s">
        <v>814</v>
      </c>
      <c r="D5" s="867"/>
      <c r="E5" s="867"/>
      <c r="F5" s="867"/>
      <c r="G5" s="867"/>
      <c r="H5" s="868"/>
      <c r="I5" s="869" t="s">
        <v>815</v>
      </c>
      <c r="J5" s="870"/>
      <c r="K5" s="870"/>
      <c r="L5" s="870"/>
      <c r="M5" s="870"/>
      <c r="N5" s="871"/>
      <c r="O5" s="872" t="s">
        <v>685</v>
      </c>
    </row>
    <row r="6" spans="1:15" ht="39.6" customHeight="1">
      <c r="A6" s="824"/>
      <c r="B6" s="825"/>
      <c r="C6" s="472"/>
      <c r="D6" s="473" t="s">
        <v>816</v>
      </c>
      <c r="E6" s="473" t="s">
        <v>817</v>
      </c>
      <c r="F6" s="473" t="s">
        <v>818</v>
      </c>
      <c r="G6" s="473" t="s">
        <v>819</v>
      </c>
      <c r="H6" s="473" t="s">
        <v>820</v>
      </c>
      <c r="I6" s="523"/>
      <c r="J6" s="473" t="s">
        <v>816</v>
      </c>
      <c r="K6" s="473" t="s">
        <v>817</v>
      </c>
      <c r="L6" s="473" t="s">
        <v>818</v>
      </c>
      <c r="M6" s="473" t="s">
        <v>819</v>
      </c>
      <c r="N6" s="473" t="s">
        <v>820</v>
      </c>
      <c r="O6" s="873"/>
    </row>
    <row r="7" spans="1:15" ht="18">
      <c r="A7" s="427">
        <v>1</v>
      </c>
      <c r="B7" s="435" t="s">
        <v>695</v>
      </c>
      <c r="C7" s="738">
        <v>14196227.699999999</v>
      </c>
      <c r="D7" s="723">
        <v>14189074.91</v>
      </c>
      <c r="E7" s="723">
        <v>0</v>
      </c>
      <c r="F7" s="739">
        <v>0</v>
      </c>
      <c r="G7" s="723">
        <v>0</v>
      </c>
      <c r="H7" s="723">
        <v>7152.79</v>
      </c>
      <c r="I7" s="723">
        <v>290934.28820000001</v>
      </c>
      <c r="J7" s="723">
        <v>283781.49820000003</v>
      </c>
      <c r="K7" s="723">
        <v>0</v>
      </c>
      <c r="L7" s="723">
        <v>0</v>
      </c>
      <c r="M7" s="723">
        <v>0</v>
      </c>
      <c r="N7" s="723">
        <v>7152.79</v>
      </c>
      <c r="O7" s="723"/>
    </row>
    <row r="8" spans="1:15">
      <c r="A8" s="427">
        <v>2</v>
      </c>
      <c r="B8" s="435" t="s">
        <v>696</v>
      </c>
      <c r="C8" s="738">
        <v>70017343.359999999</v>
      </c>
      <c r="D8" s="723">
        <v>70017343.359999999</v>
      </c>
      <c r="E8" s="723">
        <v>0</v>
      </c>
      <c r="F8" s="740">
        <v>0</v>
      </c>
      <c r="G8" s="740">
        <v>0</v>
      </c>
      <c r="H8" s="723">
        <v>0</v>
      </c>
      <c r="I8" s="723">
        <v>1027459.9248</v>
      </c>
      <c r="J8" s="740">
        <v>1027459.9248</v>
      </c>
      <c r="K8" s="740">
        <v>0</v>
      </c>
      <c r="L8" s="740">
        <v>0</v>
      </c>
      <c r="M8" s="740">
        <v>0</v>
      </c>
      <c r="N8" s="740">
        <v>0</v>
      </c>
      <c r="O8" s="723"/>
    </row>
    <row r="9" spans="1:15">
      <c r="A9" s="427">
        <v>3</v>
      </c>
      <c r="B9" s="435" t="s">
        <v>697</v>
      </c>
      <c r="C9" s="738">
        <v>0</v>
      </c>
      <c r="D9" s="723">
        <v>0</v>
      </c>
      <c r="E9" s="723">
        <v>0</v>
      </c>
      <c r="F9" s="741">
        <v>0</v>
      </c>
      <c r="G9" s="741">
        <v>0</v>
      </c>
      <c r="H9" s="723">
        <v>0</v>
      </c>
      <c r="I9" s="723">
        <v>0</v>
      </c>
      <c r="J9" s="741">
        <v>0</v>
      </c>
      <c r="K9" s="741">
        <v>0</v>
      </c>
      <c r="L9" s="741">
        <v>0</v>
      </c>
      <c r="M9" s="741">
        <v>0</v>
      </c>
      <c r="N9" s="741">
        <v>0</v>
      </c>
      <c r="O9" s="723"/>
    </row>
    <row r="10" spans="1:15">
      <c r="A10" s="427">
        <v>4</v>
      </c>
      <c r="B10" s="435" t="s">
        <v>698</v>
      </c>
      <c r="C10" s="738">
        <v>14397126.289999999</v>
      </c>
      <c r="D10" s="723">
        <v>14397126.289999999</v>
      </c>
      <c r="E10" s="723">
        <v>0</v>
      </c>
      <c r="F10" s="741">
        <v>0</v>
      </c>
      <c r="G10" s="741">
        <v>0</v>
      </c>
      <c r="H10" s="723">
        <v>0</v>
      </c>
      <c r="I10" s="723">
        <v>250114.52579999997</v>
      </c>
      <c r="J10" s="741">
        <v>250114.52579999997</v>
      </c>
      <c r="K10" s="741">
        <v>0</v>
      </c>
      <c r="L10" s="741">
        <v>0</v>
      </c>
      <c r="M10" s="741">
        <v>0</v>
      </c>
      <c r="N10" s="741">
        <v>0</v>
      </c>
      <c r="O10" s="723"/>
    </row>
    <row r="11" spans="1:15">
      <c r="A11" s="427">
        <v>5</v>
      </c>
      <c r="B11" s="435" t="s">
        <v>699</v>
      </c>
      <c r="C11" s="738">
        <v>12735505.41</v>
      </c>
      <c r="D11" s="723">
        <v>12735505.41</v>
      </c>
      <c r="E11" s="723">
        <v>0</v>
      </c>
      <c r="F11" s="741">
        <v>0</v>
      </c>
      <c r="G11" s="741">
        <v>0</v>
      </c>
      <c r="H11" s="723">
        <v>0</v>
      </c>
      <c r="I11" s="723">
        <v>254710.10819999999</v>
      </c>
      <c r="J11" s="741">
        <v>254710.10819999999</v>
      </c>
      <c r="K11" s="741">
        <v>0</v>
      </c>
      <c r="L11" s="741">
        <v>0</v>
      </c>
      <c r="M11" s="741">
        <v>0</v>
      </c>
      <c r="N11" s="741">
        <v>0</v>
      </c>
      <c r="O11" s="723"/>
    </row>
    <row r="12" spans="1:15">
      <c r="A12" s="427">
        <v>6</v>
      </c>
      <c r="B12" s="435" t="s">
        <v>700</v>
      </c>
      <c r="C12" s="738">
        <v>963596.97</v>
      </c>
      <c r="D12" s="723">
        <v>949079.56</v>
      </c>
      <c r="E12" s="723">
        <v>0</v>
      </c>
      <c r="F12" s="741">
        <v>0</v>
      </c>
      <c r="G12" s="741">
        <v>6228.09</v>
      </c>
      <c r="H12" s="723">
        <v>8289.32</v>
      </c>
      <c r="I12" s="723">
        <v>30384.956200000001</v>
      </c>
      <c r="J12" s="741">
        <v>18981.591199999999</v>
      </c>
      <c r="K12" s="741">
        <v>0</v>
      </c>
      <c r="L12" s="741">
        <v>0</v>
      </c>
      <c r="M12" s="741">
        <v>3114.0450000000001</v>
      </c>
      <c r="N12" s="741">
        <v>8289.32</v>
      </c>
      <c r="O12" s="723"/>
    </row>
    <row r="13" spans="1:15">
      <c r="A13" s="427">
        <v>7</v>
      </c>
      <c r="B13" s="435" t="s">
        <v>701</v>
      </c>
      <c r="C13" s="738">
        <v>16079577.720000001</v>
      </c>
      <c r="D13" s="723">
        <v>16079577.720000001</v>
      </c>
      <c r="E13" s="723">
        <v>0</v>
      </c>
      <c r="F13" s="741">
        <v>0</v>
      </c>
      <c r="G13" s="741">
        <v>0</v>
      </c>
      <c r="H13" s="723">
        <v>0</v>
      </c>
      <c r="I13" s="723">
        <v>321591.55440000002</v>
      </c>
      <c r="J13" s="741">
        <v>321591.55440000002</v>
      </c>
      <c r="K13" s="741">
        <v>0</v>
      </c>
      <c r="L13" s="741">
        <v>0</v>
      </c>
      <c r="M13" s="741">
        <v>0</v>
      </c>
      <c r="N13" s="741">
        <v>0</v>
      </c>
      <c r="O13" s="723"/>
    </row>
    <row r="14" spans="1:15">
      <c r="A14" s="427">
        <v>8</v>
      </c>
      <c r="B14" s="435" t="s">
        <v>702</v>
      </c>
      <c r="C14" s="738">
        <v>11698145.24</v>
      </c>
      <c r="D14" s="723">
        <v>11034373.26</v>
      </c>
      <c r="E14" s="723">
        <v>0</v>
      </c>
      <c r="F14" s="741">
        <v>425764.42000000004</v>
      </c>
      <c r="G14" s="741">
        <v>0</v>
      </c>
      <c r="H14" s="723">
        <v>238007.56</v>
      </c>
      <c r="I14" s="723">
        <v>586424.35120000003</v>
      </c>
      <c r="J14" s="741">
        <v>220687.46520000001</v>
      </c>
      <c r="K14" s="741">
        <v>0</v>
      </c>
      <c r="L14" s="741">
        <v>127729.32600000002</v>
      </c>
      <c r="M14" s="741">
        <v>0</v>
      </c>
      <c r="N14" s="741">
        <v>238007.56</v>
      </c>
      <c r="O14" s="723"/>
    </row>
    <row r="15" spans="1:15">
      <c r="A15" s="427">
        <v>9</v>
      </c>
      <c r="B15" s="435" t="s">
        <v>703</v>
      </c>
      <c r="C15" s="738">
        <v>0</v>
      </c>
      <c r="D15" s="723">
        <v>0</v>
      </c>
      <c r="E15" s="723">
        <v>0</v>
      </c>
      <c r="F15" s="741">
        <v>0</v>
      </c>
      <c r="G15" s="741">
        <v>0</v>
      </c>
      <c r="H15" s="723">
        <v>0</v>
      </c>
      <c r="I15" s="723">
        <v>0</v>
      </c>
      <c r="J15" s="741">
        <v>0</v>
      </c>
      <c r="K15" s="741">
        <v>0</v>
      </c>
      <c r="L15" s="741">
        <v>0</v>
      </c>
      <c r="M15" s="741">
        <v>0</v>
      </c>
      <c r="N15" s="741">
        <v>0</v>
      </c>
      <c r="O15" s="723"/>
    </row>
    <row r="16" spans="1:15" ht="25.5">
      <c r="A16" s="427">
        <v>10</v>
      </c>
      <c r="B16" s="435" t="s">
        <v>704</v>
      </c>
      <c r="C16" s="738">
        <v>14840685.090000002</v>
      </c>
      <c r="D16" s="723">
        <v>14474521.520000001</v>
      </c>
      <c r="E16" s="723">
        <v>0</v>
      </c>
      <c r="F16" s="741">
        <v>361982.13</v>
      </c>
      <c r="G16" s="741">
        <v>0</v>
      </c>
      <c r="H16" s="723">
        <v>4181.4399999999996</v>
      </c>
      <c r="I16" s="723">
        <v>293854.50940000004</v>
      </c>
      <c r="J16" s="741">
        <v>181078.43039999998</v>
      </c>
      <c r="K16" s="741">
        <v>0</v>
      </c>
      <c r="L16" s="741">
        <v>108594.63900000001</v>
      </c>
      <c r="M16" s="741">
        <v>0</v>
      </c>
      <c r="N16" s="741">
        <v>4181.4399999999996</v>
      </c>
      <c r="O16" s="723"/>
    </row>
    <row r="17" spans="1:15">
      <c r="A17" s="427">
        <v>11</v>
      </c>
      <c r="B17" s="435" t="s">
        <v>705</v>
      </c>
      <c r="C17" s="738">
        <v>19589031.329999998</v>
      </c>
      <c r="D17" s="723">
        <v>19563225.889999997</v>
      </c>
      <c r="E17" s="723">
        <v>0</v>
      </c>
      <c r="F17" s="741">
        <v>0</v>
      </c>
      <c r="G17" s="741">
        <v>0</v>
      </c>
      <c r="H17" s="723">
        <v>25805.440000000002</v>
      </c>
      <c r="I17" s="723">
        <v>417069.95780000003</v>
      </c>
      <c r="J17" s="741">
        <v>391264.51780000003</v>
      </c>
      <c r="K17" s="741">
        <v>0</v>
      </c>
      <c r="L17" s="741">
        <v>0</v>
      </c>
      <c r="M17" s="741">
        <v>0</v>
      </c>
      <c r="N17" s="741">
        <v>25805.440000000002</v>
      </c>
      <c r="O17" s="723"/>
    </row>
    <row r="18" spans="1:15">
      <c r="A18" s="427">
        <v>12</v>
      </c>
      <c r="B18" s="435" t="s">
        <v>706</v>
      </c>
      <c r="C18" s="738">
        <v>26949697.539999999</v>
      </c>
      <c r="D18" s="723">
        <v>26806562.18</v>
      </c>
      <c r="E18" s="723">
        <v>0</v>
      </c>
      <c r="F18" s="741">
        <v>75898.600000000006</v>
      </c>
      <c r="G18" s="741">
        <v>0</v>
      </c>
      <c r="H18" s="723">
        <v>67236.759999999995</v>
      </c>
      <c r="I18" s="723">
        <v>572097.58360000001</v>
      </c>
      <c r="J18" s="741">
        <v>482091.24359999993</v>
      </c>
      <c r="K18" s="741">
        <v>0</v>
      </c>
      <c r="L18" s="741">
        <v>22769.58</v>
      </c>
      <c r="M18" s="741">
        <v>0</v>
      </c>
      <c r="N18" s="741">
        <v>67236.759999999995</v>
      </c>
      <c r="O18" s="723"/>
    </row>
    <row r="19" spans="1:15">
      <c r="A19" s="427">
        <v>13</v>
      </c>
      <c r="B19" s="435" t="s">
        <v>707</v>
      </c>
      <c r="C19" s="738">
        <v>2320158.7199999997</v>
      </c>
      <c r="D19" s="723">
        <v>1158679.0900000001</v>
      </c>
      <c r="E19" s="723">
        <v>1133805.26</v>
      </c>
      <c r="F19" s="741">
        <v>0</v>
      </c>
      <c r="G19" s="741">
        <v>4702.3200000000006</v>
      </c>
      <c r="H19" s="723">
        <v>22972.05</v>
      </c>
      <c r="I19" s="723">
        <v>161877.31779999999</v>
      </c>
      <c r="J19" s="741">
        <v>23173.581800000004</v>
      </c>
      <c r="K19" s="741">
        <v>113380.526</v>
      </c>
      <c r="L19" s="741">
        <v>0</v>
      </c>
      <c r="M19" s="741">
        <v>2351.1600000000003</v>
      </c>
      <c r="N19" s="741">
        <v>22972.05</v>
      </c>
      <c r="O19" s="723"/>
    </row>
    <row r="20" spans="1:15">
      <c r="A20" s="427">
        <v>14</v>
      </c>
      <c r="B20" s="435" t="s">
        <v>708</v>
      </c>
      <c r="C20" s="738">
        <v>12522049.030000001</v>
      </c>
      <c r="D20" s="723">
        <v>7527788.4399999995</v>
      </c>
      <c r="E20" s="723">
        <v>0</v>
      </c>
      <c r="F20" s="741">
        <v>4892681.7300000004</v>
      </c>
      <c r="G20" s="741">
        <v>0</v>
      </c>
      <c r="H20" s="723">
        <v>101578.86</v>
      </c>
      <c r="I20" s="723">
        <v>1719939.1478000002</v>
      </c>
      <c r="J20" s="741">
        <v>150555.76879999996</v>
      </c>
      <c r="K20" s="741">
        <v>0</v>
      </c>
      <c r="L20" s="741">
        <v>1467804.5190000001</v>
      </c>
      <c r="M20" s="741">
        <v>0</v>
      </c>
      <c r="N20" s="741">
        <v>101578.86</v>
      </c>
      <c r="O20" s="723"/>
    </row>
    <row r="21" spans="1:15">
      <c r="A21" s="427">
        <v>15</v>
      </c>
      <c r="B21" s="435" t="s">
        <v>709</v>
      </c>
      <c r="C21" s="738">
        <v>1515163.64</v>
      </c>
      <c r="D21" s="723">
        <v>1515163.64</v>
      </c>
      <c r="E21" s="723">
        <v>0</v>
      </c>
      <c r="F21" s="741">
        <v>0</v>
      </c>
      <c r="G21" s="741">
        <v>0</v>
      </c>
      <c r="H21" s="723">
        <v>0</v>
      </c>
      <c r="I21" s="723">
        <v>30303.272799999999</v>
      </c>
      <c r="J21" s="741">
        <v>30303.272799999999</v>
      </c>
      <c r="K21" s="741">
        <v>0</v>
      </c>
      <c r="L21" s="741">
        <v>0</v>
      </c>
      <c r="M21" s="741">
        <v>0</v>
      </c>
      <c r="N21" s="741">
        <v>0</v>
      </c>
      <c r="O21" s="723"/>
    </row>
    <row r="22" spans="1:15">
      <c r="A22" s="427">
        <v>16</v>
      </c>
      <c r="B22" s="435" t="s">
        <v>710</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711</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712</v>
      </c>
      <c r="C24" s="738">
        <v>24089959.390000001</v>
      </c>
      <c r="D24" s="723">
        <v>24089959.390000001</v>
      </c>
      <c r="E24" s="723">
        <v>0</v>
      </c>
      <c r="F24" s="741">
        <v>0</v>
      </c>
      <c r="G24" s="741">
        <v>0</v>
      </c>
      <c r="H24" s="723">
        <v>0</v>
      </c>
      <c r="I24" s="723">
        <v>481799.18779999996</v>
      </c>
      <c r="J24" s="741">
        <v>481799.18779999996</v>
      </c>
      <c r="K24" s="741">
        <v>0</v>
      </c>
      <c r="L24" s="741">
        <v>0</v>
      </c>
      <c r="M24" s="741">
        <v>0</v>
      </c>
      <c r="N24" s="741">
        <v>0</v>
      </c>
      <c r="O24" s="723"/>
    </row>
    <row r="25" spans="1:15">
      <c r="A25" s="427">
        <v>19</v>
      </c>
      <c r="B25" s="435" t="s">
        <v>713</v>
      </c>
      <c r="C25" s="738">
        <v>5490528.9500000002</v>
      </c>
      <c r="D25" s="723">
        <v>5490528.9500000002</v>
      </c>
      <c r="E25" s="723">
        <v>0</v>
      </c>
      <c r="F25" s="741">
        <v>0</v>
      </c>
      <c r="G25" s="741">
        <v>0</v>
      </c>
      <c r="H25" s="723">
        <v>0</v>
      </c>
      <c r="I25" s="723">
        <v>109810.579</v>
      </c>
      <c r="J25" s="741">
        <v>109810.579</v>
      </c>
      <c r="K25" s="741">
        <v>0</v>
      </c>
      <c r="L25" s="741">
        <v>0</v>
      </c>
      <c r="M25" s="741">
        <v>0</v>
      </c>
      <c r="N25" s="741">
        <v>0</v>
      </c>
      <c r="O25" s="723"/>
    </row>
    <row r="26" spans="1:15">
      <c r="A26" s="427">
        <v>20</v>
      </c>
      <c r="B26" s="435" t="s">
        <v>714</v>
      </c>
      <c r="C26" s="738">
        <v>13197890.609999999</v>
      </c>
      <c r="D26" s="723">
        <v>13159022.25</v>
      </c>
      <c r="E26" s="723">
        <v>0</v>
      </c>
      <c r="F26" s="741">
        <v>785.77</v>
      </c>
      <c r="G26" s="741">
        <v>0</v>
      </c>
      <c r="H26" s="723">
        <v>38082.590000000004</v>
      </c>
      <c r="I26" s="723">
        <v>301498.766</v>
      </c>
      <c r="J26" s="741">
        <v>263180.44500000001</v>
      </c>
      <c r="K26" s="741">
        <v>0</v>
      </c>
      <c r="L26" s="741">
        <v>235.73099999999999</v>
      </c>
      <c r="M26" s="741">
        <v>0</v>
      </c>
      <c r="N26" s="741">
        <v>38082.590000000004</v>
      </c>
      <c r="O26" s="723"/>
    </row>
    <row r="27" spans="1:15">
      <c r="A27" s="427">
        <v>21</v>
      </c>
      <c r="B27" s="435" t="s">
        <v>715</v>
      </c>
      <c r="C27" s="738">
        <v>80741.600000000006</v>
      </c>
      <c r="D27" s="723">
        <v>0</v>
      </c>
      <c r="E27" s="723">
        <v>0</v>
      </c>
      <c r="F27" s="741">
        <v>80741.600000000006</v>
      </c>
      <c r="G27" s="741">
        <v>0</v>
      </c>
      <c r="H27" s="723">
        <v>0</v>
      </c>
      <c r="I27" s="723">
        <v>24222.480000000007</v>
      </c>
      <c r="J27" s="741">
        <v>0</v>
      </c>
      <c r="K27" s="741">
        <v>0</v>
      </c>
      <c r="L27" s="741">
        <v>24222.480000000007</v>
      </c>
      <c r="M27" s="741">
        <v>0</v>
      </c>
      <c r="N27" s="741">
        <v>0</v>
      </c>
      <c r="O27" s="723"/>
    </row>
    <row r="28" spans="1:15">
      <c r="A28" s="427">
        <v>22</v>
      </c>
      <c r="B28" s="435" t="s">
        <v>716</v>
      </c>
      <c r="C28" s="738">
        <v>0</v>
      </c>
      <c r="D28" s="723">
        <v>0</v>
      </c>
      <c r="E28" s="723">
        <v>0</v>
      </c>
      <c r="F28" s="741">
        <v>0</v>
      </c>
      <c r="G28" s="741">
        <v>0</v>
      </c>
      <c r="H28" s="723">
        <v>0</v>
      </c>
      <c r="I28" s="723">
        <v>0</v>
      </c>
      <c r="J28" s="741">
        <v>0</v>
      </c>
      <c r="K28" s="741">
        <v>0</v>
      </c>
      <c r="L28" s="741">
        <v>0</v>
      </c>
      <c r="M28" s="741">
        <v>0</v>
      </c>
      <c r="N28" s="741">
        <v>0</v>
      </c>
      <c r="O28" s="723"/>
    </row>
    <row r="29" spans="1:15">
      <c r="A29" s="427">
        <v>23</v>
      </c>
      <c r="B29" s="435" t="s">
        <v>717</v>
      </c>
      <c r="C29" s="738">
        <v>9451496.5999999996</v>
      </c>
      <c r="D29" s="723">
        <v>9408864.1099999994</v>
      </c>
      <c r="E29" s="723">
        <v>0</v>
      </c>
      <c r="F29" s="741">
        <v>0</v>
      </c>
      <c r="G29" s="741">
        <v>0</v>
      </c>
      <c r="H29" s="723">
        <v>42632.49</v>
      </c>
      <c r="I29" s="723">
        <v>230809.77219999998</v>
      </c>
      <c r="J29" s="741">
        <v>188177.28219999999</v>
      </c>
      <c r="K29" s="741">
        <v>0</v>
      </c>
      <c r="L29" s="741">
        <v>0</v>
      </c>
      <c r="M29" s="741">
        <v>0</v>
      </c>
      <c r="N29" s="741">
        <v>42632.49</v>
      </c>
      <c r="O29" s="723"/>
    </row>
    <row r="30" spans="1:15">
      <c r="A30" s="427">
        <v>24</v>
      </c>
      <c r="B30" s="435" t="s">
        <v>718</v>
      </c>
      <c r="C30" s="738">
        <v>0</v>
      </c>
      <c r="D30" s="723">
        <v>0</v>
      </c>
      <c r="E30" s="723">
        <v>0</v>
      </c>
      <c r="F30" s="741">
        <v>0</v>
      </c>
      <c r="G30" s="741">
        <v>0</v>
      </c>
      <c r="H30" s="723">
        <v>0</v>
      </c>
      <c r="I30" s="723">
        <v>0</v>
      </c>
      <c r="J30" s="741">
        <v>0</v>
      </c>
      <c r="K30" s="741">
        <v>0</v>
      </c>
      <c r="L30" s="741">
        <v>0</v>
      </c>
      <c r="M30" s="741">
        <v>0</v>
      </c>
      <c r="N30" s="741">
        <v>0</v>
      </c>
      <c r="O30" s="723"/>
    </row>
    <row r="31" spans="1:15">
      <c r="A31" s="427">
        <v>25</v>
      </c>
      <c r="B31" s="435" t="s">
        <v>719</v>
      </c>
      <c r="C31" s="738">
        <v>362071.2</v>
      </c>
      <c r="D31" s="723">
        <v>172052.73</v>
      </c>
      <c r="E31" s="723">
        <v>0</v>
      </c>
      <c r="F31" s="741">
        <v>0</v>
      </c>
      <c r="G31" s="741">
        <v>0</v>
      </c>
      <c r="H31" s="723">
        <v>190018.47</v>
      </c>
      <c r="I31" s="723">
        <v>193459.5246</v>
      </c>
      <c r="J31" s="741">
        <v>3441.0545999999999</v>
      </c>
      <c r="K31" s="741">
        <v>0</v>
      </c>
      <c r="L31" s="741">
        <v>0</v>
      </c>
      <c r="M31" s="741">
        <v>0</v>
      </c>
      <c r="N31" s="741">
        <v>190018.47</v>
      </c>
      <c r="O31" s="723"/>
    </row>
    <row r="32" spans="1:15">
      <c r="A32" s="427">
        <v>26</v>
      </c>
      <c r="B32" s="435" t="s">
        <v>821</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270496996.38999999</v>
      </c>
      <c r="D33" s="742">
        <f t="shared" ref="D33:N33" si="0">SUM(D7:D32)</f>
        <v>262768448.69999996</v>
      </c>
      <c r="E33" s="742">
        <f t="shared" si="0"/>
        <v>1133805.26</v>
      </c>
      <c r="F33" s="742">
        <f t="shared" si="0"/>
        <v>5837854.25</v>
      </c>
      <c r="G33" s="742">
        <f t="shared" si="0"/>
        <v>10930.41</v>
      </c>
      <c r="H33" s="742">
        <f t="shared" si="0"/>
        <v>745957.77</v>
      </c>
      <c r="I33" s="742">
        <f t="shared" si="0"/>
        <v>7298361.8076000009</v>
      </c>
      <c r="J33" s="742">
        <f t="shared" si="0"/>
        <v>4682202.0315999994</v>
      </c>
      <c r="K33" s="742">
        <f t="shared" si="0"/>
        <v>113380.526</v>
      </c>
      <c r="L33" s="742">
        <f t="shared" si="0"/>
        <v>1751356.2750000001</v>
      </c>
      <c r="M33" s="742">
        <f t="shared" si="0"/>
        <v>5465.2049999999999</v>
      </c>
      <c r="N33" s="742">
        <f t="shared" si="0"/>
        <v>745957.77</v>
      </c>
      <c r="O33" s="742">
        <v>0</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6.140625" style="476" bestFit="1" customWidth="1"/>
    <col min="3" max="3" width="18.28515625" style="476" bestFit="1" customWidth="1"/>
    <col min="4" max="4" width="25.7109375" style="476" bestFit="1" customWidth="1"/>
    <col min="5" max="5" width="23" style="476" bestFit="1" customWidth="1"/>
    <col min="6" max="6" width="25.140625" style="476" bestFit="1" customWidth="1"/>
    <col min="7" max="7" width="18.28515625" style="476" bestFit="1" customWidth="1"/>
    <col min="8" max="8" width="25.5703125" style="476" bestFit="1" customWidth="1"/>
    <col min="9" max="9" width="22.5703125" style="476" bestFit="1" customWidth="1"/>
    <col min="10" max="10" width="18.28515625" style="476" bestFit="1" customWidth="1"/>
    <col min="11" max="11" width="21.140625" style="476" bestFit="1" customWidth="1"/>
    <col min="12" max="16384" width="8.7109375" style="476"/>
  </cols>
  <sheetData>
    <row r="1" spans="1:11" s="413" customFormat="1" ht="15">
      <c r="A1" s="527" t="s">
        <v>188</v>
      </c>
      <c r="B1" s="528" t="s">
        <v>954</v>
      </c>
    </row>
    <row r="2" spans="1:11" s="413" customFormat="1" ht="15">
      <c r="A2" s="527" t="s">
        <v>189</v>
      </c>
      <c r="B2" s="529">
        <f>'1. key ratios'!B2</f>
        <v>44926</v>
      </c>
    </row>
    <row r="3" spans="1:11" s="413" customFormat="1" ht="12.75">
      <c r="A3" s="415" t="s">
        <v>822</v>
      </c>
      <c r="B3" s="416"/>
    </row>
    <row r="4" spans="1:11">
      <c r="C4" s="477" t="s">
        <v>672</v>
      </c>
      <c r="D4" s="477" t="s">
        <v>673</v>
      </c>
      <c r="E4" s="477" t="s">
        <v>674</v>
      </c>
      <c r="F4" s="477" t="s">
        <v>675</v>
      </c>
      <c r="G4" s="477" t="s">
        <v>676</v>
      </c>
      <c r="H4" s="477" t="s">
        <v>677</v>
      </c>
      <c r="I4" s="477" t="s">
        <v>678</v>
      </c>
      <c r="J4" s="477" t="s">
        <v>679</v>
      </c>
      <c r="K4" s="477" t="s">
        <v>680</v>
      </c>
    </row>
    <row r="5" spans="1:11" ht="104.1" customHeight="1">
      <c r="A5" s="874" t="s">
        <v>1026</v>
      </c>
      <c r="B5" s="875"/>
      <c r="C5" s="417" t="s">
        <v>823</v>
      </c>
      <c r="D5" s="417" t="s">
        <v>810</v>
      </c>
      <c r="E5" s="417" t="s">
        <v>811</v>
      </c>
      <c r="F5" s="417" t="s">
        <v>824</v>
      </c>
      <c r="G5" s="417" t="s">
        <v>825</v>
      </c>
      <c r="H5" s="417" t="s">
        <v>826</v>
      </c>
      <c r="I5" s="417" t="s">
        <v>827</v>
      </c>
      <c r="J5" s="417" t="s">
        <v>828</v>
      </c>
      <c r="K5" s="417" t="s">
        <v>829</v>
      </c>
    </row>
    <row r="6" spans="1:11" ht="12.75">
      <c r="A6" s="427">
        <v>1</v>
      </c>
      <c r="B6" s="427" t="s">
        <v>830</v>
      </c>
      <c r="C6" s="723">
        <v>29777828.055161711</v>
      </c>
      <c r="D6" s="723">
        <v>0</v>
      </c>
      <c r="E6" s="723">
        <v>0</v>
      </c>
      <c r="F6" s="723">
        <v>0</v>
      </c>
      <c r="G6" s="723">
        <v>94742838.445550501</v>
      </c>
      <c r="H6" s="723">
        <v>0</v>
      </c>
      <c r="I6" s="723">
        <v>26227765.863429435</v>
      </c>
      <c r="J6" s="723">
        <v>78681669.045109212</v>
      </c>
      <c r="K6" s="723">
        <v>41066894.980749145</v>
      </c>
    </row>
    <row r="7" spans="1:11" ht="12.75">
      <c r="A7" s="427">
        <v>2</v>
      </c>
      <c r="B7" s="428" t="s">
        <v>831</v>
      </c>
      <c r="C7" s="723">
        <v>0</v>
      </c>
      <c r="D7" s="723">
        <v>0</v>
      </c>
      <c r="E7" s="723">
        <v>0</v>
      </c>
      <c r="F7" s="723">
        <v>0</v>
      </c>
      <c r="G7" s="723">
        <v>0</v>
      </c>
      <c r="H7" s="723">
        <v>0</v>
      </c>
      <c r="I7" s="723">
        <v>0</v>
      </c>
      <c r="J7" s="723">
        <v>0</v>
      </c>
      <c r="K7" s="723">
        <v>31516586.438693032</v>
      </c>
    </row>
    <row r="8" spans="1:11" ht="12.75">
      <c r="A8" s="427">
        <v>3</v>
      </c>
      <c r="B8" s="428" t="s">
        <v>782</v>
      </c>
      <c r="C8" s="723">
        <v>782282.89</v>
      </c>
      <c r="D8" s="723"/>
      <c r="E8" s="723">
        <v>0</v>
      </c>
      <c r="F8" s="723">
        <v>0</v>
      </c>
      <c r="G8" s="723">
        <v>14695110</v>
      </c>
      <c r="H8" s="723">
        <v>0</v>
      </c>
      <c r="I8" s="723">
        <v>0</v>
      </c>
      <c r="J8" s="723">
        <v>12622182.52</v>
      </c>
      <c r="K8" s="723">
        <v>67890495.62746799</v>
      </c>
    </row>
    <row r="9" spans="1:11" ht="12.75">
      <c r="A9" s="427">
        <v>4</v>
      </c>
      <c r="B9" s="457" t="s">
        <v>832</v>
      </c>
      <c r="C9" s="723">
        <v>0</v>
      </c>
      <c r="D9" s="723"/>
      <c r="E9" s="723">
        <v>0</v>
      </c>
      <c r="F9" s="723">
        <v>0</v>
      </c>
      <c r="G9" s="723">
        <v>5958153.2400000002</v>
      </c>
      <c r="H9" s="723">
        <v>0</v>
      </c>
      <c r="I9" s="723">
        <v>0</v>
      </c>
      <c r="J9" s="723">
        <v>250264.86000000002</v>
      </c>
      <c r="K9" s="723">
        <v>386324.32999999984</v>
      </c>
    </row>
    <row r="10" spans="1:11" ht="12.75">
      <c r="A10" s="427">
        <v>5</v>
      </c>
      <c r="B10" s="478" t="s">
        <v>833</v>
      </c>
      <c r="C10" s="723"/>
      <c r="D10" s="723"/>
      <c r="E10" s="723"/>
      <c r="F10" s="723"/>
      <c r="G10" s="723"/>
      <c r="H10" s="723"/>
      <c r="I10" s="723"/>
      <c r="J10" s="723"/>
      <c r="K10" s="723"/>
    </row>
    <row r="11" spans="1:11" ht="12.75">
      <c r="A11" s="427">
        <v>6</v>
      </c>
      <c r="B11" s="478" t="s">
        <v>834</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954</v>
      </c>
    </row>
    <row r="2" spans="1:19" ht="15.75">
      <c r="A2" s="527" t="s">
        <v>189</v>
      </c>
      <c r="B2" s="529">
        <f>'1. key ratios'!B2</f>
        <v>44926</v>
      </c>
    </row>
    <row r="3" spans="1:19">
      <c r="A3" s="415" t="s">
        <v>972</v>
      </c>
      <c r="B3" s="413"/>
    </row>
    <row r="4" spans="1:19">
      <c r="A4" s="415"/>
      <c r="B4" s="413"/>
    </row>
    <row r="5" spans="1:19" ht="24" customHeight="1">
      <c r="A5" s="877" t="s">
        <v>973</v>
      </c>
      <c r="B5" s="877"/>
      <c r="C5" s="878" t="s">
        <v>785</v>
      </c>
      <c r="D5" s="878"/>
      <c r="E5" s="878"/>
      <c r="F5" s="878"/>
      <c r="G5" s="878"/>
      <c r="H5" s="878"/>
      <c r="I5" s="878" t="s">
        <v>974</v>
      </c>
      <c r="J5" s="878"/>
      <c r="K5" s="878"/>
      <c r="L5" s="878"/>
      <c r="M5" s="878"/>
      <c r="N5" s="878"/>
      <c r="O5" s="876" t="s">
        <v>975</v>
      </c>
      <c r="P5" s="876" t="s">
        <v>976</v>
      </c>
      <c r="Q5" s="876" t="s">
        <v>977</v>
      </c>
      <c r="R5" s="876" t="s">
        <v>978</v>
      </c>
      <c r="S5" s="876" t="s">
        <v>979</v>
      </c>
    </row>
    <row r="6" spans="1:19" ht="36" customHeight="1">
      <c r="A6" s="877"/>
      <c r="B6" s="877"/>
      <c r="C6" s="744"/>
      <c r="D6" s="473" t="s">
        <v>816</v>
      </c>
      <c r="E6" s="473" t="s">
        <v>817</v>
      </c>
      <c r="F6" s="473" t="s">
        <v>818</v>
      </c>
      <c r="G6" s="473" t="s">
        <v>819</v>
      </c>
      <c r="H6" s="473" t="s">
        <v>820</v>
      </c>
      <c r="I6" s="744"/>
      <c r="J6" s="473" t="s">
        <v>816</v>
      </c>
      <c r="K6" s="473" t="s">
        <v>817</v>
      </c>
      <c r="L6" s="473" t="s">
        <v>818</v>
      </c>
      <c r="M6" s="473" t="s">
        <v>819</v>
      </c>
      <c r="N6" s="473" t="s">
        <v>820</v>
      </c>
      <c r="O6" s="876"/>
      <c r="P6" s="876"/>
      <c r="Q6" s="876"/>
      <c r="R6" s="876"/>
      <c r="S6" s="876"/>
    </row>
    <row r="7" spans="1:19">
      <c r="A7" s="745">
        <v>1</v>
      </c>
      <c r="B7" s="746" t="s">
        <v>980</v>
      </c>
      <c r="C7" s="762">
        <f>SUM(D7:H7)</f>
        <v>0</v>
      </c>
      <c r="D7" s="762">
        <v>0</v>
      </c>
      <c r="E7" s="762">
        <v>0</v>
      </c>
      <c r="F7" s="762">
        <v>0</v>
      </c>
      <c r="G7" s="762">
        <v>0</v>
      </c>
      <c r="H7" s="762">
        <v>0</v>
      </c>
      <c r="I7" s="762">
        <f>SUM(J7:N7)</f>
        <v>0</v>
      </c>
      <c r="J7" s="762">
        <v>0</v>
      </c>
      <c r="K7" s="762">
        <v>0</v>
      </c>
      <c r="L7" s="762">
        <v>0</v>
      </c>
      <c r="M7" s="762">
        <v>0</v>
      </c>
      <c r="N7" s="762">
        <v>0</v>
      </c>
      <c r="O7" s="763">
        <v>0</v>
      </c>
      <c r="P7" s="764">
        <v>0</v>
      </c>
      <c r="Q7" s="764">
        <v>0</v>
      </c>
      <c r="R7" s="764">
        <v>0</v>
      </c>
      <c r="S7" s="765">
        <v>0</v>
      </c>
    </row>
    <row r="8" spans="1:19">
      <c r="A8" s="745">
        <v>2</v>
      </c>
      <c r="B8" s="748" t="s">
        <v>981</v>
      </c>
      <c r="C8" s="762">
        <f t="shared" ref="C8:C18" si="0">SUM(D8:H8)</f>
        <v>3861866.2699999991</v>
      </c>
      <c r="D8" s="762">
        <v>3558709.9899999993</v>
      </c>
      <c r="E8" s="762">
        <v>3837.72</v>
      </c>
      <c r="F8" s="762">
        <v>8883.76</v>
      </c>
      <c r="G8" s="762">
        <v>35594.519999999997</v>
      </c>
      <c r="H8" s="762">
        <v>254840.28</v>
      </c>
      <c r="I8" s="762">
        <f t="shared" ref="I8:I18" si="1">SUM(J8:N8)</f>
        <v>364469.50479999988</v>
      </c>
      <c r="J8" s="762">
        <v>70232.377799999973</v>
      </c>
      <c r="K8" s="762">
        <v>383.77199999999999</v>
      </c>
      <c r="L8" s="762">
        <v>0</v>
      </c>
      <c r="M8" s="762">
        <v>5465.2049999999999</v>
      </c>
      <c r="N8" s="762">
        <v>288388.14999999991</v>
      </c>
      <c r="O8" s="763">
        <v>133</v>
      </c>
      <c r="P8" s="764">
        <v>0.15198427075830045</v>
      </c>
      <c r="Q8" s="764">
        <v>0.17266255654165857</v>
      </c>
      <c r="R8" s="764">
        <v>0.127</v>
      </c>
      <c r="S8" s="765">
        <v>41.136375296480956</v>
      </c>
    </row>
    <row r="9" spans="1:19">
      <c r="A9" s="745">
        <v>3</v>
      </c>
      <c r="B9" s="748" t="s">
        <v>982</v>
      </c>
      <c r="C9" s="762">
        <f t="shared" si="0"/>
        <v>0</v>
      </c>
      <c r="D9" s="762">
        <v>0</v>
      </c>
      <c r="E9" s="762">
        <v>0</v>
      </c>
      <c r="F9" s="762">
        <v>0</v>
      </c>
      <c r="G9" s="762">
        <v>0</v>
      </c>
      <c r="H9" s="762">
        <v>0</v>
      </c>
      <c r="I9" s="762">
        <f t="shared" si="1"/>
        <v>0</v>
      </c>
      <c r="J9" s="762">
        <v>0</v>
      </c>
      <c r="K9" s="762">
        <v>0</v>
      </c>
      <c r="L9" s="762">
        <v>0</v>
      </c>
      <c r="M9" s="762">
        <v>0</v>
      </c>
      <c r="N9" s="762">
        <v>0</v>
      </c>
      <c r="O9" s="763">
        <v>0</v>
      </c>
      <c r="P9" s="764">
        <v>0</v>
      </c>
      <c r="Q9" s="764">
        <v>0</v>
      </c>
      <c r="R9" s="764">
        <v>0</v>
      </c>
      <c r="S9" s="765">
        <v>0</v>
      </c>
    </row>
    <row r="10" spans="1:19">
      <c r="A10" s="745">
        <v>4</v>
      </c>
      <c r="B10" s="748" t="s">
        <v>983</v>
      </c>
      <c r="C10" s="762">
        <f t="shared" si="0"/>
        <v>0</v>
      </c>
      <c r="D10" s="762">
        <v>0</v>
      </c>
      <c r="E10" s="762">
        <v>0</v>
      </c>
      <c r="F10" s="762">
        <v>0</v>
      </c>
      <c r="G10" s="762">
        <v>0</v>
      </c>
      <c r="H10" s="762">
        <v>0</v>
      </c>
      <c r="I10" s="762">
        <f t="shared" si="1"/>
        <v>0</v>
      </c>
      <c r="J10" s="762">
        <v>0</v>
      </c>
      <c r="K10" s="762">
        <v>0</v>
      </c>
      <c r="L10" s="762">
        <v>0</v>
      </c>
      <c r="M10" s="762">
        <v>0</v>
      </c>
      <c r="N10" s="762">
        <v>0</v>
      </c>
      <c r="O10" s="763">
        <v>0</v>
      </c>
      <c r="P10" s="764">
        <v>0</v>
      </c>
      <c r="Q10" s="764">
        <v>0</v>
      </c>
      <c r="R10" s="764">
        <v>0</v>
      </c>
      <c r="S10" s="765">
        <v>0</v>
      </c>
    </row>
    <row r="11" spans="1:19">
      <c r="A11" s="745">
        <v>5</v>
      </c>
      <c r="B11" s="748" t="s">
        <v>984</v>
      </c>
      <c r="C11" s="762">
        <f t="shared" si="0"/>
        <v>30473.74</v>
      </c>
      <c r="D11" s="762">
        <v>26483.510000000002</v>
      </c>
      <c r="E11" s="762">
        <v>0</v>
      </c>
      <c r="F11" s="762">
        <v>785.77</v>
      </c>
      <c r="G11" s="762">
        <v>400</v>
      </c>
      <c r="H11" s="762">
        <v>2804.46</v>
      </c>
      <c r="I11" s="762">
        <f t="shared" si="1"/>
        <v>3969.8611999999998</v>
      </c>
      <c r="J11" s="762">
        <v>529.67019999999991</v>
      </c>
      <c r="K11" s="762">
        <v>0</v>
      </c>
      <c r="L11" s="762">
        <v>235.73099999999999</v>
      </c>
      <c r="M11" s="762">
        <v>0</v>
      </c>
      <c r="N11" s="762">
        <v>3204.46</v>
      </c>
      <c r="O11" s="763">
        <v>38</v>
      </c>
      <c r="P11" s="764">
        <v>0.13683064172628628</v>
      </c>
      <c r="Q11" s="764">
        <v>0.15676187756570614</v>
      </c>
      <c r="R11" s="764">
        <v>0.13683064172628628</v>
      </c>
      <c r="S11" s="765">
        <v>1</v>
      </c>
    </row>
    <row r="12" spans="1:19">
      <c r="A12" s="745">
        <v>6</v>
      </c>
      <c r="B12" s="748" t="s">
        <v>985</v>
      </c>
      <c r="C12" s="762">
        <f t="shared" si="0"/>
        <v>0</v>
      </c>
      <c r="D12" s="762">
        <v>0</v>
      </c>
      <c r="E12" s="762">
        <v>0</v>
      </c>
      <c r="F12" s="762">
        <v>0</v>
      </c>
      <c r="G12" s="762">
        <v>0</v>
      </c>
      <c r="H12" s="762">
        <v>0</v>
      </c>
      <c r="I12" s="762">
        <f t="shared" si="1"/>
        <v>0</v>
      </c>
      <c r="J12" s="762">
        <v>0</v>
      </c>
      <c r="K12" s="762">
        <v>0</v>
      </c>
      <c r="L12" s="762">
        <v>0</v>
      </c>
      <c r="M12" s="762">
        <v>0</v>
      </c>
      <c r="N12" s="762">
        <v>0</v>
      </c>
      <c r="O12" s="763">
        <v>0</v>
      </c>
      <c r="P12" s="764">
        <v>0</v>
      </c>
      <c r="Q12" s="764">
        <v>0</v>
      </c>
      <c r="R12" s="764">
        <v>0</v>
      </c>
      <c r="S12" s="765">
        <v>0</v>
      </c>
    </row>
    <row r="13" spans="1:19">
      <c r="A13" s="745">
        <v>7</v>
      </c>
      <c r="B13" s="748" t="s">
        <v>986</v>
      </c>
      <c r="C13" s="762">
        <f>SUM(C14:C16)</f>
        <v>3741249.2199999997</v>
      </c>
      <c r="D13" s="762">
        <f t="shared" ref="D13:O13" si="2">SUM(D14:D16)</f>
        <v>3512654.3899999997</v>
      </c>
      <c r="E13" s="762">
        <f t="shared" si="2"/>
        <v>80741.600000000006</v>
      </c>
      <c r="F13" s="762">
        <f t="shared" si="2"/>
        <v>75898.600000000006</v>
      </c>
      <c r="G13" s="762">
        <f t="shared" si="2"/>
        <v>0</v>
      </c>
      <c r="H13" s="762">
        <f t="shared" si="2"/>
        <v>71954.63</v>
      </c>
      <c r="I13" s="762">
        <f t="shared" si="2"/>
        <v>189199.77780000001</v>
      </c>
      <c r="J13" s="762">
        <f t="shared" si="2"/>
        <v>70253.087800000023</v>
      </c>
      <c r="K13" s="762">
        <f t="shared" si="2"/>
        <v>0</v>
      </c>
      <c r="L13" s="762">
        <f t="shared" si="2"/>
        <v>46992.06</v>
      </c>
      <c r="M13" s="762">
        <f t="shared" si="2"/>
        <v>0</v>
      </c>
      <c r="N13" s="762">
        <f t="shared" si="2"/>
        <v>71954.63</v>
      </c>
      <c r="O13" s="762">
        <f t="shared" si="2"/>
        <v>31</v>
      </c>
      <c r="P13" s="764">
        <v>0.14500258811417016</v>
      </c>
      <c r="Q13" s="764">
        <v>0.16778840876105861</v>
      </c>
      <c r="R13" s="764">
        <v>0.13015492212760368</v>
      </c>
      <c r="S13" s="765">
        <v>92.248178855135635</v>
      </c>
    </row>
    <row r="14" spans="1:19">
      <c r="A14" s="749">
        <v>7.1</v>
      </c>
      <c r="B14" s="750" t="s">
        <v>987</v>
      </c>
      <c r="C14" s="766">
        <f t="shared" si="0"/>
        <v>2820965.1599999997</v>
      </c>
      <c r="D14" s="766">
        <v>2646608.9499999997</v>
      </c>
      <c r="E14" s="766">
        <v>80741.600000000006</v>
      </c>
      <c r="F14" s="766">
        <v>75898.600000000006</v>
      </c>
      <c r="G14" s="766">
        <v>0</v>
      </c>
      <c r="H14" s="766">
        <v>17716.010000000002</v>
      </c>
      <c r="I14" s="766">
        <f t="shared" si="1"/>
        <v>117640.24900000001</v>
      </c>
      <c r="J14" s="766">
        <v>52932.179000000018</v>
      </c>
      <c r="K14" s="766">
        <v>0</v>
      </c>
      <c r="L14" s="766">
        <v>46992.06</v>
      </c>
      <c r="M14" s="766">
        <v>0</v>
      </c>
      <c r="N14" s="766">
        <v>17716.010000000002</v>
      </c>
      <c r="O14" s="765">
        <v>23</v>
      </c>
      <c r="P14" s="764">
        <v>0.14500258811417016</v>
      </c>
      <c r="Q14" s="764">
        <v>0.16778840876105861</v>
      </c>
      <c r="R14" s="764">
        <v>0.13313038796374335</v>
      </c>
      <c r="S14" s="765">
        <v>82.924093244460025</v>
      </c>
    </row>
    <row r="15" spans="1:19" ht="25.5">
      <c r="A15" s="749">
        <v>7.2</v>
      </c>
      <c r="B15" s="750" t="s">
        <v>988</v>
      </c>
      <c r="C15" s="766">
        <f t="shared" si="0"/>
        <v>920284.05999999994</v>
      </c>
      <c r="D15" s="766">
        <v>866045.43999999994</v>
      </c>
      <c r="E15" s="766">
        <v>0</v>
      </c>
      <c r="F15" s="766">
        <v>0</v>
      </c>
      <c r="G15" s="766">
        <v>0</v>
      </c>
      <c r="H15" s="766">
        <v>54238.62</v>
      </c>
      <c r="I15" s="766">
        <f t="shared" si="1"/>
        <v>71559.5288</v>
      </c>
      <c r="J15" s="766">
        <v>17320.908800000001</v>
      </c>
      <c r="K15" s="766">
        <v>0</v>
      </c>
      <c r="L15" s="766">
        <v>0</v>
      </c>
      <c r="M15" s="766">
        <v>0</v>
      </c>
      <c r="N15" s="766">
        <v>54238.62</v>
      </c>
      <c r="O15" s="765">
        <v>8</v>
      </c>
      <c r="P15" s="764">
        <v>0</v>
      </c>
      <c r="Q15" s="764">
        <v>0</v>
      </c>
      <c r="R15" s="764">
        <v>0.12106198756709555</v>
      </c>
      <c r="S15" s="765">
        <v>120.8077975470199</v>
      </c>
    </row>
    <row r="16" spans="1:19">
      <c r="A16" s="749">
        <v>7.3</v>
      </c>
      <c r="B16" s="750" t="s">
        <v>989</v>
      </c>
      <c r="C16" s="766">
        <f t="shared" si="0"/>
        <v>0</v>
      </c>
      <c r="D16" s="766">
        <v>0</v>
      </c>
      <c r="E16" s="766">
        <v>0</v>
      </c>
      <c r="F16" s="766">
        <v>0</v>
      </c>
      <c r="G16" s="766">
        <v>0</v>
      </c>
      <c r="H16" s="766">
        <v>0</v>
      </c>
      <c r="I16" s="766">
        <f t="shared" si="1"/>
        <v>0</v>
      </c>
      <c r="J16" s="766">
        <v>0</v>
      </c>
      <c r="K16" s="766">
        <v>0</v>
      </c>
      <c r="L16" s="766">
        <v>0</v>
      </c>
      <c r="M16" s="766">
        <v>0</v>
      </c>
      <c r="N16" s="766">
        <v>0</v>
      </c>
      <c r="O16" s="765">
        <v>0</v>
      </c>
      <c r="P16" s="764">
        <v>0</v>
      </c>
      <c r="Q16" s="764">
        <v>0</v>
      </c>
      <c r="R16" s="764">
        <v>0</v>
      </c>
      <c r="S16" s="765">
        <v>0</v>
      </c>
    </row>
    <row r="17" spans="1:19">
      <c r="A17" s="745">
        <v>8</v>
      </c>
      <c r="B17" s="748" t="s">
        <v>990</v>
      </c>
      <c r="C17" s="766">
        <f t="shared" si="0"/>
        <v>0</v>
      </c>
      <c r="D17" s="766">
        <v>0</v>
      </c>
      <c r="E17" s="766">
        <v>0</v>
      </c>
      <c r="F17" s="766">
        <v>0</v>
      </c>
      <c r="G17" s="766">
        <v>0</v>
      </c>
      <c r="H17" s="766">
        <v>0</v>
      </c>
      <c r="I17" s="766">
        <f t="shared" si="1"/>
        <v>0</v>
      </c>
      <c r="J17" s="766">
        <v>0</v>
      </c>
      <c r="K17" s="766">
        <v>0</v>
      </c>
      <c r="L17" s="766">
        <v>0</v>
      </c>
      <c r="M17" s="766">
        <v>0</v>
      </c>
      <c r="N17" s="766">
        <v>0</v>
      </c>
      <c r="O17" s="765">
        <v>0</v>
      </c>
      <c r="P17" s="764">
        <v>0</v>
      </c>
      <c r="Q17" s="764">
        <v>0</v>
      </c>
      <c r="R17" s="764">
        <v>0</v>
      </c>
      <c r="S17" s="765">
        <v>0</v>
      </c>
    </row>
    <row r="18" spans="1:19">
      <c r="A18" s="751">
        <v>9</v>
      </c>
      <c r="B18" s="752" t="s">
        <v>991</v>
      </c>
      <c r="C18" s="766">
        <f t="shared" si="0"/>
        <v>0</v>
      </c>
      <c r="D18" s="767">
        <v>0</v>
      </c>
      <c r="E18" s="767">
        <v>0</v>
      </c>
      <c r="F18" s="767">
        <v>0</v>
      </c>
      <c r="G18" s="767">
        <v>0</v>
      </c>
      <c r="H18" s="767">
        <v>0</v>
      </c>
      <c r="I18" s="766">
        <f t="shared" si="1"/>
        <v>0</v>
      </c>
      <c r="J18" s="767">
        <v>0</v>
      </c>
      <c r="K18" s="767">
        <v>0</v>
      </c>
      <c r="L18" s="767">
        <v>0</v>
      </c>
      <c r="M18" s="767">
        <v>0</v>
      </c>
      <c r="N18" s="767">
        <v>0</v>
      </c>
      <c r="O18" s="768">
        <v>0</v>
      </c>
      <c r="P18" s="769">
        <v>0</v>
      </c>
      <c r="Q18" s="769">
        <v>0</v>
      </c>
      <c r="R18" s="769">
        <v>0</v>
      </c>
      <c r="S18" s="768">
        <v>0</v>
      </c>
    </row>
    <row r="19" spans="1:19">
      <c r="A19" s="753">
        <v>10</v>
      </c>
      <c r="B19" s="754" t="s">
        <v>992</v>
      </c>
      <c r="C19" s="762">
        <f>SUM(C7:C13,C17+C18)</f>
        <v>7633589.2299999986</v>
      </c>
      <c r="D19" s="762">
        <f t="shared" ref="D19:O19" si="3">SUM(D7:D13,D17+D18)</f>
        <v>7097847.8899999987</v>
      </c>
      <c r="E19" s="762">
        <f t="shared" si="3"/>
        <v>84579.32</v>
      </c>
      <c r="F19" s="762">
        <f t="shared" si="3"/>
        <v>85568.13</v>
      </c>
      <c r="G19" s="762">
        <f t="shared" si="3"/>
        <v>35994.519999999997</v>
      </c>
      <c r="H19" s="762">
        <f t="shared" si="3"/>
        <v>329599.37</v>
      </c>
      <c r="I19" s="762">
        <f t="shared" si="3"/>
        <v>557639.14379999985</v>
      </c>
      <c r="J19" s="762">
        <f t="shared" si="3"/>
        <v>141015.13579999999</v>
      </c>
      <c r="K19" s="762">
        <f t="shared" si="3"/>
        <v>383.77199999999999</v>
      </c>
      <c r="L19" s="762">
        <f t="shared" si="3"/>
        <v>47227.790999999997</v>
      </c>
      <c r="M19" s="762">
        <f t="shared" si="3"/>
        <v>5465.2049999999999</v>
      </c>
      <c r="N19" s="762">
        <f t="shared" si="3"/>
        <v>363547.23999999993</v>
      </c>
      <c r="O19" s="762">
        <f t="shared" si="3"/>
        <v>202</v>
      </c>
      <c r="P19" s="764">
        <v>0.14887819037441263</v>
      </c>
      <c r="Q19" s="764">
        <v>0.17031263425998991</v>
      </c>
      <c r="R19" s="764">
        <v>0.12856397450906723</v>
      </c>
      <c r="S19" s="765">
        <v>66.022233084676685</v>
      </c>
    </row>
    <row r="20" spans="1:19" ht="25.5">
      <c r="A20" s="749">
        <v>10.1</v>
      </c>
      <c r="B20" s="750" t="s">
        <v>993</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2" style="2" bestFit="1" customWidth="1"/>
    <col min="4" max="4" width="13.28515625" style="2" customWidth="1"/>
    <col min="5" max="5" width="14.5703125" style="2" customWidth="1"/>
    <col min="6" max="6" width="12" style="2" bestFit="1" customWidth="1"/>
    <col min="7" max="7" width="13.7109375" style="2" customWidth="1"/>
    <col min="8" max="8" width="14.5703125" style="2" customWidth="1"/>
  </cols>
  <sheetData>
    <row r="1" spans="1:8" ht="15.75">
      <c r="A1" s="527" t="s">
        <v>188</v>
      </c>
      <c r="B1" s="528" t="s">
        <v>954</v>
      </c>
    </row>
    <row r="2" spans="1:8" ht="15.75">
      <c r="A2" s="527" t="s">
        <v>189</v>
      </c>
      <c r="B2" s="529">
        <f>'1. key ratios'!B2</f>
        <v>44926</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912708.5</v>
      </c>
      <c r="D7" s="565">
        <v>2366418.7200000002</v>
      </c>
      <c r="E7" s="566">
        <f>C7+D7</f>
        <v>3279127.22</v>
      </c>
      <c r="F7" s="567">
        <v>698582.4</v>
      </c>
      <c r="G7" s="565">
        <v>2275027.3200000003</v>
      </c>
      <c r="H7" s="568">
        <f>F7+G7</f>
        <v>2973609.72</v>
      </c>
    </row>
    <row r="8" spans="1:8" ht="15.75">
      <c r="A8" s="560">
        <v>2</v>
      </c>
      <c r="B8" s="564" t="s">
        <v>155</v>
      </c>
      <c r="C8" s="565">
        <v>4899253.71</v>
      </c>
      <c r="D8" s="565">
        <v>39030297.859999999</v>
      </c>
      <c r="E8" s="566">
        <f t="shared" ref="E8:E20" si="0">C8+D8</f>
        <v>43929551.57</v>
      </c>
      <c r="F8" s="567">
        <v>18404927.190000001</v>
      </c>
      <c r="G8" s="565">
        <v>57699470.149999999</v>
      </c>
      <c r="H8" s="568">
        <f t="shared" ref="H8:H40" si="1">F8+G8</f>
        <v>76104397.340000004</v>
      </c>
    </row>
    <row r="9" spans="1:8" ht="15.75">
      <c r="A9" s="560">
        <v>3</v>
      </c>
      <c r="B9" s="564" t="s">
        <v>156</v>
      </c>
      <c r="C9" s="565">
        <v>8071.23</v>
      </c>
      <c r="D9" s="565">
        <v>49597646.610880002</v>
      </c>
      <c r="E9" s="566">
        <f t="shared" si="0"/>
        <v>49605717.840879999</v>
      </c>
      <c r="F9" s="567">
        <v>5424.82</v>
      </c>
      <c r="G9" s="565">
        <v>11378980.510332998</v>
      </c>
      <c r="H9" s="568">
        <f t="shared" si="1"/>
        <v>11384405.330332998</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23882965.277079243</v>
      </c>
      <c r="D11" s="565">
        <v>14537742.881279584</v>
      </c>
      <c r="E11" s="566">
        <f t="shared" si="0"/>
        <v>38420708.158358827</v>
      </c>
      <c r="F11" s="567">
        <v>21158147.693977498</v>
      </c>
      <c r="G11" s="565">
        <v>13330949.006063502</v>
      </c>
      <c r="H11" s="568">
        <f t="shared" si="1"/>
        <v>34489096.700040996</v>
      </c>
    </row>
    <row r="12" spans="1:8" ht="15.75">
      <c r="A12" s="560">
        <v>6.1</v>
      </c>
      <c r="B12" s="569" t="s">
        <v>158</v>
      </c>
      <c r="C12" s="565">
        <v>145240762.13999999</v>
      </c>
      <c r="D12" s="565">
        <v>125256234.24999999</v>
      </c>
      <c r="E12" s="566">
        <f t="shared" si="0"/>
        <v>270496996.38999999</v>
      </c>
      <c r="F12" s="567">
        <v>77645869.129999995</v>
      </c>
      <c r="G12" s="565">
        <v>170190994.48812801</v>
      </c>
      <c r="H12" s="568">
        <f t="shared" si="1"/>
        <v>247836863.618128</v>
      </c>
    </row>
    <row r="13" spans="1:8" ht="15.75">
      <c r="A13" s="560">
        <v>6.2</v>
      </c>
      <c r="B13" s="569" t="s">
        <v>159</v>
      </c>
      <c r="C13" s="570">
        <v>-3280189.4605999994</v>
      </c>
      <c r="D13" s="570">
        <v>-4018172.347000001</v>
      </c>
      <c r="E13" s="571">
        <f t="shared" si="0"/>
        <v>-7298361.8076000009</v>
      </c>
      <c r="F13" s="572">
        <v>-4648377.0820000004</v>
      </c>
      <c r="G13" s="570">
        <v>-6331248.2799279997</v>
      </c>
      <c r="H13" s="573">
        <f t="shared" si="1"/>
        <v>-10979625.361928001</v>
      </c>
    </row>
    <row r="14" spans="1:8" ht="15.75">
      <c r="A14" s="560">
        <v>6</v>
      </c>
      <c r="B14" s="564" t="s">
        <v>160</v>
      </c>
      <c r="C14" s="566">
        <f>C12+C13</f>
        <v>141960572.6794</v>
      </c>
      <c r="D14" s="566">
        <f>D12+D13</f>
        <v>121238061.90299998</v>
      </c>
      <c r="E14" s="566">
        <f t="shared" si="0"/>
        <v>263198634.58239996</v>
      </c>
      <c r="F14" s="566">
        <f>F12+F13</f>
        <v>72997492.047999993</v>
      </c>
      <c r="G14" s="566">
        <f>G12+G13</f>
        <v>163859746.20820001</v>
      </c>
      <c r="H14" s="568">
        <f t="shared" si="1"/>
        <v>236857238.25620002</v>
      </c>
    </row>
    <row r="15" spans="1:8" ht="15.75">
      <c r="A15" s="560">
        <v>7</v>
      </c>
      <c r="B15" s="564" t="s">
        <v>161</v>
      </c>
      <c r="C15" s="565">
        <v>1129504.649999999</v>
      </c>
      <c r="D15" s="565">
        <v>1197277.3987250447</v>
      </c>
      <c r="E15" s="566">
        <f t="shared" si="0"/>
        <v>2326782.0487250434</v>
      </c>
      <c r="F15" s="567">
        <v>1098003.4000000004</v>
      </c>
      <c r="G15" s="565">
        <v>1055865.9257759999</v>
      </c>
      <c r="H15" s="568">
        <f t="shared" si="1"/>
        <v>2153869.3257760005</v>
      </c>
    </row>
    <row r="16" spans="1:8" ht="15.75">
      <c r="A16" s="560">
        <v>8</v>
      </c>
      <c r="B16" s="564" t="s">
        <v>162</v>
      </c>
      <c r="C16" s="565">
        <v>569825.30999999994</v>
      </c>
      <c r="D16" s="565">
        <v>0</v>
      </c>
      <c r="E16" s="566">
        <f t="shared" si="0"/>
        <v>569825.30999999994</v>
      </c>
      <c r="F16" s="567">
        <v>735525.39</v>
      </c>
      <c r="G16" s="565">
        <v>0</v>
      </c>
      <c r="H16" s="568">
        <f t="shared" si="1"/>
        <v>735525.39</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6931687.4800000004</v>
      </c>
      <c r="D18" s="565">
        <v>0</v>
      </c>
      <c r="E18" s="566">
        <f t="shared" si="0"/>
        <v>6931687.4800000004</v>
      </c>
      <c r="F18" s="567">
        <v>7914683.459999999</v>
      </c>
      <c r="G18" s="565">
        <v>0</v>
      </c>
      <c r="H18" s="568">
        <f t="shared" si="1"/>
        <v>7914683.459999999</v>
      </c>
    </row>
    <row r="19" spans="1:8" ht="15.75">
      <c r="A19" s="560">
        <v>11</v>
      </c>
      <c r="B19" s="564" t="s">
        <v>165</v>
      </c>
      <c r="C19" s="565">
        <v>4906123.7025049208</v>
      </c>
      <c r="D19" s="565">
        <v>251570.16999999998</v>
      </c>
      <c r="E19" s="566">
        <f t="shared" si="0"/>
        <v>5157693.8725049207</v>
      </c>
      <c r="F19" s="567">
        <v>3783788.41792347</v>
      </c>
      <c r="G19" s="565">
        <v>327125.60000000003</v>
      </c>
      <c r="H19" s="568">
        <f t="shared" si="1"/>
        <v>4110914.0179234701</v>
      </c>
    </row>
    <row r="20" spans="1:8" ht="15.75">
      <c r="A20" s="560">
        <v>12</v>
      </c>
      <c r="B20" s="574" t="s">
        <v>166</v>
      </c>
      <c r="C20" s="566">
        <f>SUM(C7:C11)+SUM(C14:C19)</f>
        <v>185200712.53898418</v>
      </c>
      <c r="D20" s="566">
        <f>SUM(D7:D11)+SUM(D14:D19)</f>
        <v>228219015.54388463</v>
      </c>
      <c r="E20" s="566">
        <f t="shared" si="0"/>
        <v>413419728.08286881</v>
      </c>
      <c r="F20" s="566">
        <f>SUM(F7:F11)+SUM(F14:F19)</f>
        <v>126796574.81990096</v>
      </c>
      <c r="G20" s="566">
        <f>SUM(G7:G11)+SUM(G14:G19)</f>
        <v>249927164.7203725</v>
      </c>
      <c r="H20" s="568">
        <f t="shared" si="1"/>
        <v>376723739.54027343</v>
      </c>
    </row>
    <row r="21" spans="1:8" ht="15.75">
      <c r="A21" s="560"/>
      <c r="B21" s="561" t="s">
        <v>183</v>
      </c>
      <c r="C21" s="575"/>
      <c r="D21" s="575"/>
      <c r="E21" s="575"/>
      <c r="F21" s="576"/>
      <c r="G21" s="575"/>
      <c r="H21" s="577"/>
    </row>
    <row r="22" spans="1:8" ht="15.75">
      <c r="A22" s="560">
        <v>13</v>
      </c>
      <c r="B22" s="564" t="s">
        <v>167</v>
      </c>
      <c r="C22" s="565">
        <v>16000000</v>
      </c>
      <c r="D22" s="565">
        <v>52172576.960000001</v>
      </c>
      <c r="E22" s="566">
        <f>C22+D22</f>
        <v>68172576.960000008</v>
      </c>
      <c r="F22" s="567">
        <v>0</v>
      </c>
      <c r="G22" s="565">
        <v>90628699.900000006</v>
      </c>
      <c r="H22" s="568">
        <f t="shared" si="1"/>
        <v>90628699.900000006</v>
      </c>
    </row>
    <row r="23" spans="1:8" ht="15.75">
      <c r="A23" s="560">
        <v>14</v>
      </c>
      <c r="B23" s="564" t="s">
        <v>168</v>
      </c>
      <c r="C23" s="565">
        <v>24413389.369999971</v>
      </c>
      <c r="D23" s="565">
        <v>69390482.869999975</v>
      </c>
      <c r="E23" s="566">
        <f t="shared" ref="E23:E40" si="2">C23+D23</f>
        <v>93803872.23999995</v>
      </c>
      <c r="F23" s="567">
        <v>18108879.950000003</v>
      </c>
      <c r="G23" s="565">
        <v>35923472.610000007</v>
      </c>
      <c r="H23" s="568">
        <f t="shared" si="1"/>
        <v>54032352.56000001</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8369417.1200000001</v>
      </c>
      <c r="D25" s="565">
        <v>45233299.160000004</v>
      </c>
      <c r="E25" s="566">
        <f t="shared" si="2"/>
        <v>53602716.280000001</v>
      </c>
      <c r="F25" s="567">
        <v>4057461.42</v>
      </c>
      <c r="G25" s="565">
        <v>46685240.799999997</v>
      </c>
      <c r="H25" s="568">
        <f t="shared" si="1"/>
        <v>50742702.219999999</v>
      </c>
    </row>
    <row r="26" spans="1:8" ht="15.75">
      <c r="A26" s="560">
        <v>17</v>
      </c>
      <c r="B26" s="564" t="s">
        <v>171</v>
      </c>
      <c r="C26" s="575"/>
      <c r="D26" s="575"/>
      <c r="E26" s="566">
        <f t="shared" si="2"/>
        <v>0</v>
      </c>
      <c r="F26" s="576"/>
      <c r="G26" s="575"/>
      <c r="H26" s="568">
        <f t="shared" si="1"/>
        <v>0</v>
      </c>
    </row>
    <row r="27" spans="1:8" ht="15.75">
      <c r="A27" s="560">
        <v>18</v>
      </c>
      <c r="B27" s="564" t="s">
        <v>172</v>
      </c>
      <c r="C27" s="565">
        <v>15000000</v>
      </c>
      <c r="D27" s="565">
        <v>57266920.675839998</v>
      </c>
      <c r="E27" s="566">
        <f t="shared" si="2"/>
        <v>72266920.67583999</v>
      </c>
      <c r="F27" s="567">
        <v>0</v>
      </c>
      <c r="G27" s="565">
        <v>73641566.940032005</v>
      </c>
      <c r="H27" s="568">
        <f t="shared" si="1"/>
        <v>73641566.940032005</v>
      </c>
    </row>
    <row r="28" spans="1:8" ht="15.75">
      <c r="A28" s="560">
        <v>19</v>
      </c>
      <c r="B28" s="564" t="s">
        <v>173</v>
      </c>
      <c r="C28" s="565">
        <v>373825.99</v>
      </c>
      <c r="D28" s="565">
        <v>978495.80965999991</v>
      </c>
      <c r="E28" s="566">
        <f t="shared" si="2"/>
        <v>1352321.79966</v>
      </c>
      <c r="F28" s="567">
        <v>80687.899999999994</v>
      </c>
      <c r="G28" s="565">
        <v>870978.14999999991</v>
      </c>
      <c r="H28" s="568">
        <f t="shared" si="1"/>
        <v>951666.04999999993</v>
      </c>
    </row>
    <row r="29" spans="1:8" ht="15.75">
      <c r="A29" s="560">
        <v>20</v>
      </c>
      <c r="B29" s="564" t="s">
        <v>95</v>
      </c>
      <c r="C29" s="565">
        <v>5646862.6479014102</v>
      </c>
      <c r="D29" s="565">
        <v>7236878.7803999996</v>
      </c>
      <c r="E29" s="566">
        <f t="shared" si="2"/>
        <v>12883741.428301409</v>
      </c>
      <c r="F29" s="567">
        <v>3075725.5729999999</v>
      </c>
      <c r="G29" s="565">
        <v>9047994.9364</v>
      </c>
      <c r="H29" s="568">
        <f t="shared" si="1"/>
        <v>12123720.509399999</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69803495.12790139</v>
      </c>
      <c r="D31" s="566">
        <f>SUM(D22:D30)</f>
        <v>232278654.25589997</v>
      </c>
      <c r="E31" s="566">
        <f>C31+D31</f>
        <v>302082149.38380134</v>
      </c>
      <c r="F31" s="566">
        <f>SUM(F22:F30)</f>
        <v>25322754.843000002</v>
      </c>
      <c r="G31" s="566">
        <f>SUM(G22:G30)</f>
        <v>256797953.33643201</v>
      </c>
      <c r="H31" s="568">
        <f t="shared" si="1"/>
        <v>282120708.17943203</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42175978.713962011</v>
      </c>
      <c r="D38" s="575">
        <v>0</v>
      </c>
      <c r="E38" s="566">
        <f t="shared" si="2"/>
        <v>42175978.713962011</v>
      </c>
      <c r="F38" s="567">
        <v>25441431.328289483</v>
      </c>
      <c r="G38" s="575">
        <v>0</v>
      </c>
      <c r="H38" s="568">
        <f t="shared" si="1"/>
        <v>25441431.328289483</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111337578.71396202</v>
      </c>
      <c r="D40" s="575">
        <v>0</v>
      </c>
      <c r="E40" s="566">
        <f t="shared" si="2"/>
        <v>111337578.71396202</v>
      </c>
      <c r="F40" s="579">
        <v>94603031.328289479</v>
      </c>
      <c r="G40" s="575">
        <v>0</v>
      </c>
      <c r="H40" s="568">
        <f t="shared" si="1"/>
        <v>94603031.328289479</v>
      </c>
    </row>
    <row r="41" spans="1:8" ht="16.5" thickBot="1">
      <c r="A41" s="38">
        <v>31</v>
      </c>
      <c r="B41" s="39" t="s">
        <v>197</v>
      </c>
      <c r="C41" s="580">
        <f>C31+C40</f>
        <v>181141073.84186339</v>
      </c>
      <c r="D41" s="580">
        <f>D31+D40</f>
        <v>232278654.25589997</v>
      </c>
      <c r="E41" s="580">
        <f>C41+D41</f>
        <v>413419728.09776336</v>
      </c>
      <c r="F41" s="580">
        <f>F31+F40</f>
        <v>119925786.17128947</v>
      </c>
      <c r="G41" s="580">
        <f>G31+G40</f>
        <v>256797953.33643201</v>
      </c>
      <c r="H41" s="581">
        <f>F41+G41</f>
        <v>376723739.50772148</v>
      </c>
    </row>
    <row r="43" spans="1:8">
      <c r="B43" s="40"/>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11" sqref="B11:C11"/>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935" t="s">
        <v>326</v>
      </c>
      <c r="B1" s="936"/>
      <c r="C1" s="937"/>
    </row>
    <row r="2" spans="1:3" ht="26.25" customHeight="1">
      <c r="A2" s="479"/>
      <c r="B2" s="882" t="s">
        <v>327</v>
      </c>
      <c r="C2" s="882"/>
    </row>
    <row r="3" spans="1:3" s="202" customFormat="1" ht="11.25" customHeight="1">
      <c r="A3" s="201"/>
      <c r="B3" s="882" t="s">
        <v>419</v>
      </c>
      <c r="C3" s="882"/>
    </row>
    <row r="4" spans="1:3" ht="12" customHeight="1" thickBot="1">
      <c r="A4" s="918" t="s">
        <v>423</v>
      </c>
      <c r="B4" s="919"/>
      <c r="C4" s="920"/>
    </row>
    <row r="5" spans="1:3" ht="12" thickTop="1">
      <c r="A5" s="198"/>
      <c r="B5" s="921" t="s">
        <v>328</v>
      </c>
      <c r="C5" s="922"/>
    </row>
    <row r="6" spans="1:3">
      <c r="A6" s="479"/>
      <c r="B6" s="888" t="s">
        <v>420</v>
      </c>
      <c r="C6" s="889"/>
    </row>
    <row r="7" spans="1:3">
      <c r="A7" s="479"/>
      <c r="B7" s="888" t="s">
        <v>329</v>
      </c>
      <c r="C7" s="889"/>
    </row>
    <row r="8" spans="1:3">
      <c r="A8" s="479"/>
      <c r="B8" s="888" t="s">
        <v>421</v>
      </c>
      <c r="C8" s="889"/>
    </row>
    <row r="9" spans="1:3">
      <c r="A9" s="479"/>
      <c r="B9" s="933" t="s">
        <v>422</v>
      </c>
      <c r="C9" s="934"/>
    </row>
    <row r="10" spans="1:3">
      <c r="A10" s="479"/>
      <c r="B10" s="923" t="s">
        <v>330</v>
      </c>
      <c r="C10" s="924" t="s">
        <v>330</v>
      </c>
    </row>
    <row r="11" spans="1:3">
      <c r="A11" s="479"/>
      <c r="B11" s="923" t="s">
        <v>331</v>
      </c>
      <c r="C11" s="924" t="s">
        <v>331</v>
      </c>
    </row>
    <row r="12" spans="1:3">
      <c r="A12" s="479"/>
      <c r="B12" s="923" t="s">
        <v>332</v>
      </c>
      <c r="C12" s="924" t="s">
        <v>332</v>
      </c>
    </row>
    <row r="13" spans="1:3">
      <c r="A13" s="479"/>
      <c r="B13" s="923" t="s">
        <v>333</v>
      </c>
      <c r="C13" s="924" t="s">
        <v>333</v>
      </c>
    </row>
    <row r="14" spans="1:3">
      <c r="A14" s="479"/>
      <c r="B14" s="923" t="s">
        <v>334</v>
      </c>
      <c r="C14" s="924" t="s">
        <v>334</v>
      </c>
    </row>
    <row r="15" spans="1:3" ht="21.75" customHeight="1">
      <c r="A15" s="479"/>
      <c r="B15" s="923" t="s">
        <v>335</v>
      </c>
      <c r="C15" s="924" t="s">
        <v>335</v>
      </c>
    </row>
    <row r="16" spans="1:3">
      <c r="A16" s="479"/>
      <c r="B16" s="923" t="s">
        <v>336</v>
      </c>
      <c r="C16" s="924" t="s">
        <v>337</v>
      </c>
    </row>
    <row r="17" spans="1:3">
      <c r="A17" s="479"/>
      <c r="B17" s="923" t="s">
        <v>338</v>
      </c>
      <c r="C17" s="924" t="s">
        <v>339</v>
      </c>
    </row>
    <row r="18" spans="1:3">
      <c r="A18" s="479"/>
      <c r="B18" s="923" t="s">
        <v>340</v>
      </c>
      <c r="C18" s="924" t="s">
        <v>341</v>
      </c>
    </row>
    <row r="19" spans="1:3">
      <c r="A19" s="479"/>
      <c r="B19" s="923" t="s">
        <v>342</v>
      </c>
      <c r="C19" s="924" t="s">
        <v>342</v>
      </c>
    </row>
    <row r="20" spans="1:3">
      <c r="A20" s="479"/>
      <c r="B20" s="923" t="s">
        <v>343</v>
      </c>
      <c r="C20" s="924" t="s">
        <v>343</v>
      </c>
    </row>
    <row r="21" spans="1:3">
      <c r="A21" s="479"/>
      <c r="B21" s="923" t="s">
        <v>344</v>
      </c>
      <c r="C21" s="924" t="s">
        <v>344</v>
      </c>
    </row>
    <row r="22" spans="1:3" ht="23.25" customHeight="1">
      <c r="A22" s="479"/>
      <c r="B22" s="923" t="s">
        <v>345</v>
      </c>
      <c r="C22" s="924" t="s">
        <v>346</v>
      </c>
    </row>
    <row r="23" spans="1:3">
      <c r="A23" s="479"/>
      <c r="B23" s="923" t="s">
        <v>347</v>
      </c>
      <c r="C23" s="924" t="s">
        <v>347</v>
      </c>
    </row>
    <row r="24" spans="1:3">
      <c r="A24" s="479"/>
      <c r="B24" s="923" t="s">
        <v>348</v>
      </c>
      <c r="C24" s="924" t="s">
        <v>349</v>
      </c>
    </row>
    <row r="25" spans="1:3" ht="12" thickBot="1">
      <c r="A25" s="199"/>
      <c r="B25" s="927" t="s">
        <v>350</v>
      </c>
      <c r="C25" s="928"/>
    </row>
    <row r="26" spans="1:3" ht="12.75" thickTop="1" thickBot="1">
      <c r="A26" s="918" t="s">
        <v>433</v>
      </c>
      <c r="B26" s="919"/>
      <c r="C26" s="920"/>
    </row>
    <row r="27" spans="1:3" ht="12.75" thickTop="1" thickBot="1">
      <c r="A27" s="200"/>
      <c r="B27" s="929" t="s">
        <v>351</v>
      </c>
      <c r="C27" s="930"/>
    </row>
    <row r="28" spans="1:3" ht="12.75" thickTop="1" thickBot="1">
      <c r="A28" s="918" t="s">
        <v>424</v>
      </c>
      <c r="B28" s="919"/>
      <c r="C28" s="920"/>
    </row>
    <row r="29" spans="1:3" ht="12" thickTop="1">
      <c r="A29" s="198"/>
      <c r="B29" s="931" t="s">
        <v>352</v>
      </c>
      <c r="C29" s="932" t="s">
        <v>353</v>
      </c>
    </row>
    <row r="30" spans="1:3">
      <c r="A30" s="479"/>
      <c r="B30" s="909" t="s">
        <v>354</v>
      </c>
      <c r="C30" s="910" t="s">
        <v>355</v>
      </c>
    </row>
    <row r="31" spans="1:3">
      <c r="A31" s="479"/>
      <c r="B31" s="909" t="s">
        <v>356</v>
      </c>
      <c r="C31" s="910" t="s">
        <v>357</v>
      </c>
    </row>
    <row r="32" spans="1:3">
      <c r="A32" s="479"/>
      <c r="B32" s="909" t="s">
        <v>358</v>
      </c>
      <c r="C32" s="910" t="s">
        <v>359</v>
      </c>
    </row>
    <row r="33" spans="1:3">
      <c r="A33" s="479"/>
      <c r="B33" s="909" t="s">
        <v>360</v>
      </c>
      <c r="C33" s="910" t="s">
        <v>361</v>
      </c>
    </row>
    <row r="34" spans="1:3">
      <c r="A34" s="479"/>
      <c r="B34" s="909" t="s">
        <v>362</v>
      </c>
      <c r="C34" s="910" t="s">
        <v>363</v>
      </c>
    </row>
    <row r="35" spans="1:3" ht="23.25" customHeight="1">
      <c r="A35" s="479"/>
      <c r="B35" s="909" t="s">
        <v>364</v>
      </c>
      <c r="C35" s="910" t="s">
        <v>365</v>
      </c>
    </row>
    <row r="36" spans="1:3" ht="24" customHeight="1">
      <c r="A36" s="479"/>
      <c r="B36" s="909" t="s">
        <v>366</v>
      </c>
      <c r="C36" s="910" t="s">
        <v>367</v>
      </c>
    </row>
    <row r="37" spans="1:3" ht="24.75" customHeight="1">
      <c r="A37" s="479"/>
      <c r="B37" s="909" t="s">
        <v>368</v>
      </c>
      <c r="C37" s="910" t="s">
        <v>369</v>
      </c>
    </row>
    <row r="38" spans="1:3" ht="23.25" customHeight="1">
      <c r="A38" s="479"/>
      <c r="B38" s="909" t="s">
        <v>425</v>
      </c>
      <c r="C38" s="910" t="s">
        <v>370</v>
      </c>
    </row>
    <row r="39" spans="1:3" ht="39.75" customHeight="1">
      <c r="A39" s="479"/>
      <c r="B39" s="923" t="s">
        <v>439</v>
      </c>
      <c r="C39" s="924" t="s">
        <v>371</v>
      </c>
    </row>
    <row r="40" spans="1:3" ht="12" customHeight="1">
      <c r="A40" s="479"/>
      <c r="B40" s="909" t="s">
        <v>372</v>
      </c>
      <c r="C40" s="910" t="s">
        <v>373</v>
      </c>
    </row>
    <row r="41" spans="1:3" ht="27" customHeight="1" thickBot="1">
      <c r="A41" s="199"/>
      <c r="B41" s="925" t="s">
        <v>374</v>
      </c>
      <c r="C41" s="926" t="s">
        <v>375</v>
      </c>
    </row>
    <row r="42" spans="1:3" ht="12.75" thickTop="1" thickBot="1">
      <c r="A42" s="918" t="s">
        <v>426</v>
      </c>
      <c r="B42" s="919"/>
      <c r="C42" s="920"/>
    </row>
    <row r="43" spans="1:3" ht="12" thickTop="1">
      <c r="A43" s="198"/>
      <c r="B43" s="921" t="s">
        <v>462</v>
      </c>
      <c r="C43" s="922" t="s">
        <v>376</v>
      </c>
    </row>
    <row r="44" spans="1:3">
      <c r="A44" s="479"/>
      <c r="B44" s="888" t="s">
        <v>461</v>
      </c>
      <c r="C44" s="889"/>
    </row>
    <row r="45" spans="1:3" ht="23.25" customHeight="1" thickBot="1">
      <c r="A45" s="199"/>
      <c r="B45" s="916" t="s">
        <v>377</v>
      </c>
      <c r="C45" s="917" t="s">
        <v>378</v>
      </c>
    </row>
    <row r="46" spans="1:3" ht="11.25" customHeight="1" thickTop="1" thickBot="1">
      <c r="A46" s="918" t="s">
        <v>427</v>
      </c>
      <c r="B46" s="919"/>
      <c r="C46" s="920"/>
    </row>
    <row r="47" spans="1:3" ht="26.25" customHeight="1" thickTop="1">
      <c r="A47" s="479"/>
      <c r="B47" s="888" t="s">
        <v>428</v>
      </c>
      <c r="C47" s="889"/>
    </row>
    <row r="48" spans="1:3" ht="12" thickBot="1">
      <c r="A48" s="918" t="s">
        <v>429</v>
      </c>
      <c r="B48" s="919"/>
      <c r="C48" s="920"/>
    </row>
    <row r="49" spans="1:3" ht="12" thickTop="1">
      <c r="A49" s="198"/>
      <c r="B49" s="921" t="s">
        <v>379</v>
      </c>
      <c r="C49" s="922" t="s">
        <v>379</v>
      </c>
    </row>
    <row r="50" spans="1:3" ht="11.25" customHeight="1">
      <c r="A50" s="479"/>
      <c r="B50" s="888" t="s">
        <v>380</v>
      </c>
      <c r="C50" s="889" t="s">
        <v>380</v>
      </c>
    </row>
    <row r="51" spans="1:3">
      <c r="A51" s="479"/>
      <c r="B51" s="888" t="s">
        <v>381</v>
      </c>
      <c r="C51" s="889" t="s">
        <v>381</v>
      </c>
    </row>
    <row r="52" spans="1:3" ht="11.25" customHeight="1">
      <c r="A52" s="479"/>
      <c r="B52" s="888" t="s">
        <v>489</v>
      </c>
      <c r="C52" s="889" t="s">
        <v>382</v>
      </c>
    </row>
    <row r="53" spans="1:3" ht="33.6" customHeight="1">
      <c r="A53" s="479"/>
      <c r="B53" s="888" t="s">
        <v>383</v>
      </c>
      <c r="C53" s="889" t="s">
        <v>383</v>
      </c>
    </row>
    <row r="54" spans="1:3" ht="11.25" customHeight="1">
      <c r="A54" s="479"/>
      <c r="B54" s="888" t="s">
        <v>482</v>
      </c>
      <c r="C54" s="889" t="s">
        <v>384</v>
      </c>
    </row>
    <row r="55" spans="1:3" ht="11.25" customHeight="1" thickBot="1">
      <c r="A55" s="918" t="s">
        <v>430</v>
      </c>
      <c r="B55" s="919"/>
      <c r="C55" s="920"/>
    </row>
    <row r="56" spans="1:3" ht="12" thickTop="1">
      <c r="A56" s="198"/>
      <c r="B56" s="921" t="s">
        <v>379</v>
      </c>
      <c r="C56" s="922" t="s">
        <v>379</v>
      </c>
    </row>
    <row r="57" spans="1:3">
      <c r="A57" s="479"/>
      <c r="B57" s="888" t="s">
        <v>385</v>
      </c>
      <c r="C57" s="889" t="s">
        <v>385</v>
      </c>
    </row>
    <row r="58" spans="1:3">
      <c r="A58" s="479"/>
      <c r="B58" s="888" t="s">
        <v>436</v>
      </c>
      <c r="C58" s="889" t="s">
        <v>386</v>
      </c>
    </row>
    <row r="59" spans="1:3">
      <c r="A59" s="479"/>
      <c r="B59" s="888" t="s">
        <v>387</v>
      </c>
      <c r="C59" s="889" t="s">
        <v>387</v>
      </c>
    </row>
    <row r="60" spans="1:3">
      <c r="A60" s="479"/>
      <c r="B60" s="888" t="s">
        <v>388</v>
      </c>
      <c r="C60" s="889" t="s">
        <v>388</v>
      </c>
    </row>
    <row r="61" spans="1:3">
      <c r="A61" s="479"/>
      <c r="B61" s="888" t="s">
        <v>389</v>
      </c>
      <c r="C61" s="889" t="s">
        <v>389</v>
      </c>
    </row>
    <row r="62" spans="1:3">
      <c r="A62" s="479"/>
      <c r="B62" s="888" t="s">
        <v>437</v>
      </c>
      <c r="C62" s="889" t="s">
        <v>390</v>
      </c>
    </row>
    <row r="63" spans="1:3">
      <c r="A63" s="479"/>
      <c r="B63" s="888" t="s">
        <v>391</v>
      </c>
      <c r="C63" s="889" t="s">
        <v>391</v>
      </c>
    </row>
    <row r="64" spans="1:3" ht="12" thickBot="1">
      <c r="A64" s="199"/>
      <c r="B64" s="916" t="s">
        <v>392</v>
      </c>
      <c r="C64" s="917" t="s">
        <v>392</v>
      </c>
    </row>
    <row r="65" spans="1:3" ht="11.25" customHeight="1" thickTop="1">
      <c r="A65" s="904" t="s">
        <v>431</v>
      </c>
      <c r="B65" s="905"/>
      <c r="C65" s="906"/>
    </row>
    <row r="66" spans="1:3" ht="12" thickBot="1">
      <c r="A66" s="199"/>
      <c r="B66" s="916" t="s">
        <v>393</v>
      </c>
      <c r="C66" s="917" t="s">
        <v>393</v>
      </c>
    </row>
    <row r="67" spans="1:3" ht="11.25" customHeight="1" thickTop="1" thickBot="1">
      <c r="A67" s="918" t="s">
        <v>432</v>
      </c>
      <c r="B67" s="919"/>
      <c r="C67" s="920"/>
    </row>
    <row r="68" spans="1:3" ht="12" thickTop="1">
      <c r="A68" s="198"/>
      <c r="B68" s="921" t="s">
        <v>394</v>
      </c>
      <c r="C68" s="922" t="s">
        <v>394</v>
      </c>
    </row>
    <row r="69" spans="1:3">
      <c r="A69" s="479"/>
      <c r="B69" s="888" t="s">
        <v>395</v>
      </c>
      <c r="C69" s="889" t="s">
        <v>395</v>
      </c>
    </row>
    <row r="70" spans="1:3">
      <c r="A70" s="479"/>
      <c r="B70" s="888" t="s">
        <v>396</v>
      </c>
      <c r="C70" s="889" t="s">
        <v>396</v>
      </c>
    </row>
    <row r="71" spans="1:3" ht="54.95" customHeight="1">
      <c r="A71" s="479"/>
      <c r="B71" s="914" t="s">
        <v>994</v>
      </c>
      <c r="C71" s="915" t="s">
        <v>397</v>
      </c>
    </row>
    <row r="72" spans="1:3" ht="33.75" customHeight="1">
      <c r="A72" s="479"/>
      <c r="B72" s="914" t="s">
        <v>441</v>
      </c>
      <c r="C72" s="915" t="s">
        <v>398</v>
      </c>
    </row>
    <row r="73" spans="1:3" ht="15.75" customHeight="1">
      <c r="A73" s="479"/>
      <c r="B73" s="914" t="s">
        <v>438</v>
      </c>
      <c r="C73" s="915" t="s">
        <v>399</v>
      </c>
    </row>
    <row r="74" spans="1:3">
      <c r="A74" s="479"/>
      <c r="B74" s="888" t="s">
        <v>400</v>
      </c>
      <c r="C74" s="889" t="s">
        <v>400</v>
      </c>
    </row>
    <row r="75" spans="1:3" ht="12" thickBot="1">
      <c r="A75" s="199"/>
      <c r="B75" s="916" t="s">
        <v>401</v>
      </c>
      <c r="C75" s="917" t="s">
        <v>401</v>
      </c>
    </row>
    <row r="76" spans="1:3" ht="12" thickTop="1">
      <c r="A76" s="904" t="s">
        <v>465</v>
      </c>
      <c r="B76" s="905"/>
      <c r="C76" s="906"/>
    </row>
    <row r="77" spans="1:3">
      <c r="A77" s="479"/>
      <c r="B77" s="888" t="s">
        <v>393</v>
      </c>
      <c r="C77" s="889"/>
    </row>
    <row r="78" spans="1:3">
      <c r="A78" s="479"/>
      <c r="B78" s="888" t="s">
        <v>463</v>
      </c>
      <c r="C78" s="889"/>
    </row>
    <row r="79" spans="1:3">
      <c r="A79" s="479"/>
      <c r="B79" s="888" t="s">
        <v>464</v>
      </c>
      <c r="C79" s="889"/>
    </row>
    <row r="80" spans="1:3">
      <c r="A80" s="904" t="s">
        <v>466</v>
      </c>
      <c r="B80" s="905"/>
      <c r="C80" s="906"/>
    </row>
    <row r="81" spans="1:3">
      <c r="A81" s="479"/>
      <c r="B81" s="888" t="s">
        <v>393</v>
      </c>
      <c r="C81" s="889"/>
    </row>
    <row r="82" spans="1:3">
      <c r="A82" s="479"/>
      <c r="B82" s="888" t="s">
        <v>467</v>
      </c>
      <c r="C82" s="889"/>
    </row>
    <row r="83" spans="1:3" ht="76.5" customHeight="1">
      <c r="A83" s="479"/>
      <c r="B83" s="888" t="s">
        <v>481</v>
      </c>
      <c r="C83" s="889"/>
    </row>
    <row r="84" spans="1:3" ht="53.25" customHeight="1">
      <c r="A84" s="479"/>
      <c r="B84" s="888" t="s">
        <v>480</v>
      </c>
      <c r="C84" s="889"/>
    </row>
    <row r="85" spans="1:3">
      <c r="A85" s="479"/>
      <c r="B85" s="888" t="s">
        <v>468</v>
      </c>
      <c r="C85" s="889"/>
    </row>
    <row r="86" spans="1:3">
      <c r="A86" s="479"/>
      <c r="B86" s="888" t="s">
        <v>469</v>
      </c>
      <c r="C86" s="889"/>
    </row>
    <row r="87" spans="1:3">
      <c r="A87" s="479"/>
      <c r="B87" s="888" t="s">
        <v>470</v>
      </c>
      <c r="C87" s="889"/>
    </row>
    <row r="88" spans="1:3">
      <c r="A88" s="904" t="s">
        <v>471</v>
      </c>
      <c r="B88" s="905"/>
      <c r="C88" s="906"/>
    </row>
    <row r="89" spans="1:3">
      <c r="A89" s="479"/>
      <c r="B89" s="888" t="s">
        <v>393</v>
      </c>
      <c r="C89" s="889"/>
    </row>
    <row r="90" spans="1:3">
      <c r="A90" s="479"/>
      <c r="B90" s="888" t="s">
        <v>473</v>
      </c>
      <c r="C90" s="889"/>
    </row>
    <row r="91" spans="1:3" ht="12" customHeight="1">
      <c r="A91" s="479"/>
      <c r="B91" s="888" t="s">
        <v>474</v>
      </c>
      <c r="C91" s="889"/>
    </row>
    <row r="92" spans="1:3">
      <c r="A92" s="479"/>
      <c r="B92" s="888" t="s">
        <v>475</v>
      </c>
      <c r="C92" s="889"/>
    </row>
    <row r="93" spans="1:3" ht="24.75" customHeight="1">
      <c r="A93" s="479"/>
      <c r="B93" s="907" t="s">
        <v>517</v>
      </c>
      <c r="C93" s="908"/>
    </row>
    <row r="94" spans="1:3" ht="24" customHeight="1">
      <c r="A94" s="479"/>
      <c r="B94" s="907" t="s">
        <v>518</v>
      </c>
      <c r="C94" s="908"/>
    </row>
    <row r="95" spans="1:3" ht="13.5" customHeight="1">
      <c r="A95" s="479"/>
      <c r="B95" s="909" t="s">
        <v>476</v>
      </c>
      <c r="C95" s="910"/>
    </row>
    <row r="96" spans="1:3" ht="11.25" customHeight="1" thickBot="1">
      <c r="A96" s="911" t="s">
        <v>513</v>
      </c>
      <c r="B96" s="912"/>
      <c r="C96" s="913"/>
    </row>
    <row r="97" spans="1:3" ht="12.75" thickTop="1" thickBot="1">
      <c r="A97" s="903" t="s">
        <v>402</v>
      </c>
      <c r="B97" s="903"/>
      <c r="C97" s="903"/>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4" t="s">
        <v>477</v>
      </c>
      <c r="B105" s="905"/>
      <c r="C105" s="906"/>
    </row>
    <row r="106" spans="1:3" ht="12" customHeight="1">
      <c r="A106" s="479"/>
      <c r="B106" s="888" t="s">
        <v>393</v>
      </c>
      <c r="C106" s="889"/>
    </row>
    <row r="107" spans="1:3">
      <c r="A107" s="904" t="s">
        <v>659</v>
      </c>
      <c r="B107" s="905"/>
      <c r="C107" s="906"/>
    </row>
    <row r="108" spans="1:3" ht="12" customHeight="1">
      <c r="A108" s="479"/>
      <c r="B108" s="888" t="s">
        <v>661</v>
      </c>
      <c r="C108" s="889"/>
    </row>
    <row r="109" spans="1:3">
      <c r="A109" s="479"/>
      <c r="B109" s="888" t="s">
        <v>662</v>
      </c>
      <c r="C109" s="889"/>
    </row>
    <row r="110" spans="1:3">
      <c r="A110" s="479"/>
      <c r="B110" s="888" t="s">
        <v>660</v>
      </c>
      <c r="C110" s="889"/>
    </row>
    <row r="111" spans="1:3">
      <c r="A111" s="883" t="s">
        <v>995</v>
      </c>
      <c r="B111" s="883"/>
      <c r="C111" s="883"/>
    </row>
    <row r="112" spans="1:3">
      <c r="A112" s="900" t="s">
        <v>326</v>
      </c>
      <c r="B112" s="900"/>
      <c r="C112" s="900"/>
    </row>
    <row r="113" spans="1:3">
      <c r="A113" s="480">
        <v>1</v>
      </c>
      <c r="B113" s="895" t="s">
        <v>835</v>
      </c>
      <c r="C113" s="896"/>
    </row>
    <row r="114" spans="1:3">
      <c r="A114" s="480">
        <v>2</v>
      </c>
      <c r="B114" s="901" t="s">
        <v>836</v>
      </c>
      <c r="C114" s="902"/>
    </row>
    <row r="115" spans="1:3">
      <c r="A115" s="480">
        <v>3</v>
      </c>
      <c r="B115" s="895" t="s">
        <v>837</v>
      </c>
      <c r="C115" s="896"/>
    </row>
    <row r="116" spans="1:3">
      <c r="A116" s="480">
        <v>4</v>
      </c>
      <c r="B116" s="895" t="s">
        <v>838</v>
      </c>
      <c r="C116" s="896"/>
    </row>
    <row r="117" spans="1:3">
      <c r="A117" s="480">
        <v>5</v>
      </c>
      <c r="B117" s="895" t="s">
        <v>839</v>
      </c>
      <c r="C117" s="896"/>
    </row>
    <row r="118" spans="1:3" ht="55.5" customHeight="1">
      <c r="A118" s="480">
        <v>6</v>
      </c>
      <c r="B118" s="895" t="s">
        <v>949</v>
      </c>
      <c r="C118" s="896"/>
    </row>
    <row r="119" spans="1:3" ht="22.5">
      <c r="A119" s="480">
        <v>6.01</v>
      </c>
      <c r="B119" s="481" t="s">
        <v>695</v>
      </c>
      <c r="C119" s="711" t="s">
        <v>950</v>
      </c>
    </row>
    <row r="120" spans="1:3" ht="33.75">
      <c r="A120" s="480">
        <v>6.02</v>
      </c>
      <c r="B120" s="481" t="s">
        <v>696</v>
      </c>
      <c r="C120" s="711" t="s">
        <v>996</v>
      </c>
    </row>
    <row r="121" spans="1:3">
      <c r="A121" s="480">
        <v>6.03</v>
      </c>
      <c r="B121" s="486" t="s">
        <v>697</v>
      </c>
      <c r="C121" s="486" t="s">
        <v>840</v>
      </c>
    </row>
    <row r="122" spans="1:3">
      <c r="A122" s="480">
        <v>6.04</v>
      </c>
      <c r="B122" s="481" t="s">
        <v>698</v>
      </c>
      <c r="C122" s="482" t="s">
        <v>841</v>
      </c>
    </row>
    <row r="123" spans="1:3">
      <c r="A123" s="480">
        <v>6.05</v>
      </c>
      <c r="B123" s="481" t="s">
        <v>699</v>
      </c>
      <c r="C123" s="482" t="s">
        <v>842</v>
      </c>
    </row>
    <row r="124" spans="1:3" ht="22.5">
      <c r="A124" s="480">
        <v>6.06</v>
      </c>
      <c r="B124" s="481" t="s">
        <v>700</v>
      </c>
      <c r="C124" s="482" t="s">
        <v>843</v>
      </c>
    </row>
    <row r="125" spans="1:3">
      <c r="A125" s="480">
        <v>6.07</v>
      </c>
      <c r="B125" s="483" t="s">
        <v>701</v>
      </c>
      <c r="C125" s="482" t="s">
        <v>844</v>
      </c>
    </row>
    <row r="126" spans="1:3" ht="22.5">
      <c r="A126" s="480">
        <v>6.08</v>
      </c>
      <c r="B126" s="481" t="s">
        <v>702</v>
      </c>
      <c r="C126" s="482" t="s">
        <v>845</v>
      </c>
    </row>
    <row r="127" spans="1:3" ht="22.5">
      <c r="A127" s="480">
        <v>6.09</v>
      </c>
      <c r="B127" s="484" t="s">
        <v>703</v>
      </c>
      <c r="C127" s="482" t="s">
        <v>846</v>
      </c>
    </row>
    <row r="128" spans="1:3">
      <c r="A128" s="485">
        <v>6.1</v>
      </c>
      <c r="B128" s="484" t="s">
        <v>704</v>
      </c>
      <c r="C128" s="482" t="s">
        <v>847</v>
      </c>
    </row>
    <row r="129" spans="1:3">
      <c r="A129" s="480">
        <v>6.11</v>
      </c>
      <c r="B129" s="484" t="s">
        <v>705</v>
      </c>
      <c r="C129" s="482" t="s">
        <v>848</v>
      </c>
    </row>
    <row r="130" spans="1:3">
      <c r="A130" s="480">
        <v>6.12</v>
      </c>
      <c r="B130" s="484" t="s">
        <v>706</v>
      </c>
      <c r="C130" s="482" t="s">
        <v>849</v>
      </c>
    </row>
    <row r="131" spans="1:3">
      <c r="A131" s="480">
        <v>6.13</v>
      </c>
      <c r="B131" s="484" t="s">
        <v>707</v>
      </c>
      <c r="C131" s="486" t="s">
        <v>850</v>
      </c>
    </row>
    <row r="132" spans="1:3">
      <c r="A132" s="480">
        <v>6.14</v>
      </c>
      <c r="B132" s="484" t="s">
        <v>708</v>
      </c>
      <c r="C132" s="486" t="s">
        <v>851</v>
      </c>
    </row>
    <row r="133" spans="1:3">
      <c r="A133" s="480">
        <v>6.15</v>
      </c>
      <c r="B133" s="484" t="s">
        <v>709</v>
      </c>
      <c r="C133" s="486" t="s">
        <v>852</v>
      </c>
    </row>
    <row r="134" spans="1:3" ht="22.5">
      <c r="A134" s="480">
        <v>6.16</v>
      </c>
      <c r="B134" s="484" t="s">
        <v>710</v>
      </c>
      <c r="C134" s="486" t="s">
        <v>853</v>
      </c>
    </row>
    <row r="135" spans="1:3">
      <c r="A135" s="480">
        <v>6.17</v>
      </c>
      <c r="B135" s="486" t="s">
        <v>711</v>
      </c>
      <c r="C135" s="486" t="s">
        <v>854</v>
      </c>
    </row>
    <row r="136" spans="1:3" ht="22.5">
      <c r="A136" s="480">
        <v>6.18</v>
      </c>
      <c r="B136" s="484" t="s">
        <v>712</v>
      </c>
      <c r="C136" s="486" t="s">
        <v>855</v>
      </c>
    </row>
    <row r="137" spans="1:3">
      <c r="A137" s="480">
        <v>6.19</v>
      </c>
      <c r="B137" s="484" t="s">
        <v>713</v>
      </c>
      <c r="C137" s="486" t="s">
        <v>856</v>
      </c>
    </row>
    <row r="138" spans="1:3">
      <c r="A138" s="485">
        <v>6.2</v>
      </c>
      <c r="B138" s="484" t="s">
        <v>714</v>
      </c>
      <c r="C138" s="486" t="s">
        <v>857</v>
      </c>
    </row>
    <row r="139" spans="1:3">
      <c r="A139" s="480">
        <v>6.21</v>
      </c>
      <c r="B139" s="484" t="s">
        <v>715</v>
      </c>
      <c r="C139" s="486" t="s">
        <v>858</v>
      </c>
    </row>
    <row r="140" spans="1:3">
      <c r="A140" s="480">
        <v>6.22</v>
      </c>
      <c r="B140" s="484" t="s">
        <v>716</v>
      </c>
      <c r="C140" s="486" t="s">
        <v>859</v>
      </c>
    </row>
    <row r="141" spans="1:3" ht="22.5">
      <c r="A141" s="480">
        <v>6.23</v>
      </c>
      <c r="B141" s="484" t="s">
        <v>717</v>
      </c>
      <c r="C141" s="486" t="s">
        <v>860</v>
      </c>
    </row>
    <row r="142" spans="1:3" ht="22.5">
      <c r="A142" s="480">
        <v>6.24</v>
      </c>
      <c r="B142" s="481" t="s">
        <v>718</v>
      </c>
      <c r="C142" s="486" t="s">
        <v>861</v>
      </c>
    </row>
    <row r="143" spans="1:3">
      <c r="A143" s="480">
        <v>6.2500000000000098</v>
      </c>
      <c r="B143" s="481" t="s">
        <v>719</v>
      </c>
      <c r="C143" s="486" t="s">
        <v>862</v>
      </c>
    </row>
    <row r="144" spans="1:3" ht="22.5">
      <c r="A144" s="480">
        <v>6.2600000000000202</v>
      </c>
      <c r="B144" s="481" t="s">
        <v>863</v>
      </c>
      <c r="C144" s="710" t="s">
        <v>864</v>
      </c>
    </row>
    <row r="145" spans="1:3" ht="22.5">
      <c r="A145" s="480">
        <v>6.2700000000000298</v>
      </c>
      <c r="B145" s="481" t="s">
        <v>165</v>
      </c>
      <c r="C145" s="710" t="s">
        <v>952</v>
      </c>
    </row>
    <row r="146" spans="1:3">
      <c r="A146" s="480"/>
      <c r="B146" s="886" t="s">
        <v>865</v>
      </c>
      <c r="C146" s="887"/>
    </row>
    <row r="147" spans="1:3" s="488" customFormat="1">
      <c r="A147" s="487">
        <v>7.1</v>
      </c>
      <c r="B147" s="481" t="s">
        <v>866</v>
      </c>
      <c r="C147" s="897" t="s">
        <v>867</v>
      </c>
    </row>
    <row r="148" spans="1:3" s="488" customFormat="1">
      <c r="A148" s="487">
        <v>7.2</v>
      </c>
      <c r="B148" s="481" t="s">
        <v>868</v>
      </c>
      <c r="C148" s="898"/>
    </row>
    <row r="149" spans="1:3" s="488" customFormat="1">
      <c r="A149" s="487">
        <v>7.3</v>
      </c>
      <c r="B149" s="481" t="s">
        <v>869</v>
      </c>
      <c r="C149" s="898"/>
    </row>
    <row r="150" spans="1:3" s="488" customFormat="1">
      <c r="A150" s="487">
        <v>7.4</v>
      </c>
      <c r="B150" s="481" t="s">
        <v>870</v>
      </c>
      <c r="C150" s="898"/>
    </row>
    <row r="151" spans="1:3" s="488" customFormat="1">
      <c r="A151" s="487">
        <v>7.5</v>
      </c>
      <c r="B151" s="481" t="s">
        <v>871</v>
      </c>
      <c r="C151" s="898"/>
    </row>
    <row r="152" spans="1:3" s="488" customFormat="1">
      <c r="A152" s="487">
        <v>7.6</v>
      </c>
      <c r="B152" s="481" t="s">
        <v>945</v>
      </c>
      <c r="C152" s="899"/>
    </row>
    <row r="153" spans="1:3" s="488" customFormat="1" ht="22.5">
      <c r="A153" s="487">
        <v>7.7</v>
      </c>
      <c r="B153" s="481" t="s">
        <v>872</v>
      </c>
      <c r="C153" s="489" t="s">
        <v>873</v>
      </c>
    </row>
    <row r="154" spans="1:3" s="488" customFormat="1" ht="22.5">
      <c r="A154" s="487">
        <v>7.8</v>
      </c>
      <c r="B154" s="481" t="s">
        <v>874</v>
      </c>
      <c r="C154" s="489" t="s">
        <v>875</v>
      </c>
    </row>
    <row r="155" spans="1:3">
      <c r="A155" s="479"/>
      <c r="B155" s="886" t="s">
        <v>876</v>
      </c>
      <c r="C155" s="887"/>
    </row>
    <row r="156" spans="1:3">
      <c r="A156" s="487">
        <v>1</v>
      </c>
      <c r="B156" s="890" t="s">
        <v>997</v>
      </c>
      <c r="C156" s="891"/>
    </row>
    <row r="157" spans="1:3" ht="24.95" customHeight="1">
      <c r="A157" s="487">
        <v>2</v>
      </c>
      <c r="B157" s="890" t="s">
        <v>953</v>
      </c>
      <c r="C157" s="891"/>
    </row>
    <row r="158" spans="1:3">
      <c r="A158" s="487">
        <v>3</v>
      </c>
      <c r="B158" s="890" t="s">
        <v>944</v>
      </c>
      <c r="C158" s="891"/>
    </row>
    <row r="159" spans="1:3">
      <c r="A159" s="479"/>
      <c r="B159" s="886" t="s">
        <v>877</v>
      </c>
      <c r="C159" s="887"/>
    </row>
    <row r="160" spans="1:3" ht="39" customHeight="1">
      <c r="A160" s="487">
        <v>1</v>
      </c>
      <c r="B160" s="893" t="s">
        <v>998</v>
      </c>
      <c r="C160" s="894"/>
    </row>
    <row r="161" spans="1:3" ht="22.5">
      <c r="A161" s="487">
        <v>3</v>
      </c>
      <c r="B161" s="481" t="s">
        <v>683</v>
      </c>
      <c r="C161" s="489" t="s">
        <v>878</v>
      </c>
    </row>
    <row r="162" spans="1:3" ht="22.5">
      <c r="A162" s="487">
        <v>4</v>
      </c>
      <c r="B162" s="481" t="s">
        <v>684</v>
      </c>
      <c r="C162" s="489" t="s">
        <v>879</v>
      </c>
    </row>
    <row r="163" spans="1:3" ht="33.75">
      <c r="A163" s="487">
        <v>5</v>
      </c>
      <c r="B163" s="481" t="s">
        <v>685</v>
      </c>
      <c r="C163" s="489" t="s">
        <v>880</v>
      </c>
    </row>
    <row r="164" spans="1:3">
      <c r="A164" s="487">
        <v>6</v>
      </c>
      <c r="B164" s="481" t="s">
        <v>686</v>
      </c>
      <c r="C164" s="481" t="s">
        <v>881</v>
      </c>
    </row>
    <row r="165" spans="1:3">
      <c r="A165" s="479"/>
      <c r="B165" s="886" t="s">
        <v>882</v>
      </c>
      <c r="C165" s="887"/>
    </row>
    <row r="166" spans="1:3" ht="45">
      <c r="A166" s="487"/>
      <c r="B166" s="481" t="s">
        <v>883</v>
      </c>
      <c r="C166" s="490" t="s">
        <v>999</v>
      </c>
    </row>
    <row r="167" spans="1:3">
      <c r="A167" s="487"/>
      <c r="B167" s="481" t="s">
        <v>685</v>
      </c>
      <c r="C167" s="489" t="s">
        <v>884</v>
      </c>
    </row>
    <row r="168" spans="1:3">
      <c r="A168" s="479"/>
      <c r="B168" s="886" t="s">
        <v>885</v>
      </c>
      <c r="C168" s="887"/>
    </row>
    <row r="169" spans="1:3" ht="26.45" customHeight="1">
      <c r="A169" s="479"/>
      <c r="B169" s="888" t="s">
        <v>1000</v>
      </c>
      <c r="C169" s="889"/>
    </row>
    <row r="170" spans="1:3">
      <c r="A170" s="479" t="s">
        <v>886</v>
      </c>
      <c r="B170" s="491" t="s">
        <v>743</v>
      </c>
      <c r="C170" s="492" t="s">
        <v>887</v>
      </c>
    </row>
    <row r="171" spans="1:3">
      <c r="A171" s="479" t="s">
        <v>538</v>
      </c>
      <c r="B171" s="493" t="s">
        <v>744</v>
      </c>
      <c r="C171" s="489" t="s">
        <v>888</v>
      </c>
    </row>
    <row r="172" spans="1:3" ht="22.5">
      <c r="A172" s="479" t="s">
        <v>545</v>
      </c>
      <c r="B172" s="492" t="s">
        <v>745</v>
      </c>
      <c r="C172" s="489" t="s">
        <v>889</v>
      </c>
    </row>
    <row r="173" spans="1:3">
      <c r="A173" s="479" t="s">
        <v>890</v>
      </c>
      <c r="B173" s="493" t="s">
        <v>746</v>
      </c>
      <c r="C173" s="493" t="s">
        <v>891</v>
      </c>
    </row>
    <row r="174" spans="1:3" ht="22.5">
      <c r="A174" s="479" t="s">
        <v>892</v>
      </c>
      <c r="B174" s="494" t="s">
        <v>747</v>
      </c>
      <c r="C174" s="494" t="s">
        <v>893</v>
      </c>
    </row>
    <row r="175" spans="1:3" ht="22.5">
      <c r="A175" s="479" t="s">
        <v>546</v>
      </c>
      <c r="B175" s="494" t="s">
        <v>748</v>
      </c>
      <c r="C175" s="494" t="s">
        <v>894</v>
      </c>
    </row>
    <row r="176" spans="1:3" ht="22.5">
      <c r="A176" s="479" t="s">
        <v>895</v>
      </c>
      <c r="B176" s="494" t="s">
        <v>749</v>
      </c>
      <c r="C176" s="494" t="s">
        <v>896</v>
      </c>
    </row>
    <row r="177" spans="1:3" ht="22.5">
      <c r="A177" s="479" t="s">
        <v>897</v>
      </c>
      <c r="B177" s="494" t="s">
        <v>750</v>
      </c>
      <c r="C177" s="494" t="s">
        <v>899</v>
      </c>
    </row>
    <row r="178" spans="1:3" ht="22.5">
      <c r="A178" s="479" t="s">
        <v>898</v>
      </c>
      <c r="B178" s="494" t="s">
        <v>751</v>
      </c>
      <c r="C178" s="494" t="s">
        <v>901</v>
      </c>
    </row>
    <row r="179" spans="1:3" ht="22.5">
      <c r="A179" s="479" t="s">
        <v>900</v>
      </c>
      <c r="B179" s="494" t="s">
        <v>752</v>
      </c>
      <c r="C179" s="495" t="s">
        <v>903</v>
      </c>
    </row>
    <row r="180" spans="1:3" ht="22.5">
      <c r="A180" s="479" t="s">
        <v>902</v>
      </c>
      <c r="B180" s="512" t="s">
        <v>753</v>
      </c>
      <c r="C180" s="495" t="s">
        <v>905</v>
      </c>
    </row>
    <row r="181" spans="1:3" ht="22.5">
      <c r="A181" s="479" t="s">
        <v>904</v>
      </c>
      <c r="B181" s="494" t="s">
        <v>754</v>
      </c>
      <c r="C181" s="496" t="s">
        <v>907</v>
      </c>
    </row>
    <row r="182" spans="1:3">
      <c r="A182" s="743" t="s">
        <v>906</v>
      </c>
      <c r="B182" s="497" t="s">
        <v>755</v>
      </c>
      <c r="C182" s="492" t="s">
        <v>908</v>
      </c>
    </row>
    <row r="183" spans="1:3" ht="22.5">
      <c r="A183" s="479"/>
      <c r="B183" s="498" t="s">
        <v>909</v>
      </c>
      <c r="C183" s="482" t="s">
        <v>910</v>
      </c>
    </row>
    <row r="184" spans="1:3" ht="22.5">
      <c r="A184" s="479"/>
      <c r="B184" s="498" t="s">
        <v>911</v>
      </c>
      <c r="C184" s="482" t="s">
        <v>912</v>
      </c>
    </row>
    <row r="185" spans="1:3" ht="22.5">
      <c r="A185" s="479"/>
      <c r="B185" s="498" t="s">
        <v>913</v>
      </c>
      <c r="C185" s="482" t="s">
        <v>914</v>
      </c>
    </row>
    <row r="186" spans="1:3">
      <c r="A186" s="479"/>
      <c r="B186" s="886" t="s">
        <v>915</v>
      </c>
      <c r="C186" s="887"/>
    </row>
    <row r="187" spans="1:3" ht="50.1" customHeight="1">
      <c r="A187" s="479"/>
      <c r="B187" s="890" t="s">
        <v>1001</v>
      </c>
      <c r="C187" s="891"/>
    </row>
    <row r="188" spans="1:3">
      <c r="A188" s="487">
        <v>1</v>
      </c>
      <c r="B188" s="486" t="s">
        <v>775</v>
      </c>
      <c r="C188" s="486" t="s">
        <v>775</v>
      </c>
    </row>
    <row r="189" spans="1:3" ht="33.75">
      <c r="A189" s="487">
        <v>2</v>
      </c>
      <c r="B189" s="486" t="s">
        <v>916</v>
      </c>
      <c r="C189" s="486" t="s">
        <v>917</v>
      </c>
    </row>
    <row r="190" spans="1:3">
      <c r="A190" s="487">
        <v>3</v>
      </c>
      <c r="B190" s="486" t="s">
        <v>777</v>
      </c>
      <c r="C190" s="486" t="s">
        <v>918</v>
      </c>
    </row>
    <row r="191" spans="1:3" ht="22.5">
      <c r="A191" s="487">
        <v>4</v>
      </c>
      <c r="B191" s="486" t="s">
        <v>778</v>
      </c>
      <c r="C191" s="486" t="s">
        <v>919</v>
      </c>
    </row>
    <row r="192" spans="1:3" ht="22.5">
      <c r="A192" s="487">
        <v>5</v>
      </c>
      <c r="B192" s="486" t="s">
        <v>779</v>
      </c>
      <c r="C192" s="486" t="s">
        <v>1002</v>
      </c>
    </row>
    <row r="193" spans="1:4" ht="45">
      <c r="A193" s="487">
        <v>6</v>
      </c>
      <c r="B193" s="486" t="s">
        <v>780</v>
      </c>
      <c r="C193" s="486" t="s">
        <v>920</v>
      </c>
    </row>
    <row r="194" spans="1:4">
      <c r="A194" s="479"/>
      <c r="B194" s="886" t="s">
        <v>921</v>
      </c>
      <c r="C194" s="887"/>
    </row>
    <row r="195" spans="1:4" ht="26.1" customHeight="1">
      <c r="A195" s="479"/>
      <c r="B195" s="884" t="s">
        <v>946</v>
      </c>
      <c r="C195" s="892"/>
    </row>
    <row r="196" spans="1:4" ht="22.5">
      <c r="A196" s="479">
        <v>1.1000000000000001</v>
      </c>
      <c r="B196" s="499" t="s">
        <v>790</v>
      </c>
      <c r="C196" s="711" t="s">
        <v>922</v>
      </c>
      <c r="D196" s="513"/>
    </row>
    <row r="197" spans="1:4" ht="12.75">
      <c r="A197" s="479" t="s">
        <v>252</v>
      </c>
      <c r="B197" s="500" t="s">
        <v>791</v>
      </c>
      <c r="C197" s="711" t="s">
        <v>923</v>
      </c>
      <c r="D197" s="514"/>
    </row>
    <row r="198" spans="1:4" ht="12.75">
      <c r="A198" s="479" t="s">
        <v>792</v>
      </c>
      <c r="B198" s="501" t="s">
        <v>793</v>
      </c>
      <c r="C198" s="882" t="s">
        <v>947</v>
      </c>
      <c r="D198" s="515"/>
    </row>
    <row r="199" spans="1:4" ht="12.75">
      <c r="A199" s="479" t="s">
        <v>794</v>
      </c>
      <c r="B199" s="501" t="s">
        <v>795</v>
      </c>
      <c r="C199" s="882"/>
      <c r="D199" s="515"/>
    </row>
    <row r="200" spans="1:4" ht="12.75">
      <c r="A200" s="479" t="s">
        <v>796</v>
      </c>
      <c r="B200" s="501" t="s">
        <v>797</v>
      </c>
      <c r="C200" s="882"/>
      <c r="D200" s="515"/>
    </row>
    <row r="201" spans="1:4" ht="12.75">
      <c r="A201" s="479" t="s">
        <v>798</v>
      </c>
      <c r="B201" s="501" t="s">
        <v>799</v>
      </c>
      <c r="C201" s="882"/>
      <c r="D201" s="515"/>
    </row>
    <row r="202" spans="1:4" ht="22.5">
      <c r="A202" s="479">
        <v>1.2</v>
      </c>
      <c r="B202" s="502" t="s">
        <v>800</v>
      </c>
      <c r="C202" s="503" t="s">
        <v>924</v>
      </c>
      <c r="D202" s="516"/>
    </row>
    <row r="203" spans="1:4" ht="22.5">
      <c r="A203" s="479" t="s">
        <v>802</v>
      </c>
      <c r="B203" s="504" t="s">
        <v>803</v>
      </c>
      <c r="C203" s="505" t="s">
        <v>925</v>
      </c>
      <c r="D203" s="517"/>
    </row>
    <row r="204" spans="1:4" ht="23.25">
      <c r="A204" s="479" t="s">
        <v>804</v>
      </c>
      <c r="B204" s="506" t="s">
        <v>805</v>
      </c>
      <c r="C204" s="505" t="s">
        <v>926</v>
      </c>
      <c r="D204" s="518"/>
    </row>
    <row r="205" spans="1:4" ht="12.75">
      <c r="A205" s="479" t="s">
        <v>806</v>
      </c>
      <c r="B205" s="507" t="s">
        <v>807</v>
      </c>
      <c r="C205" s="503" t="s">
        <v>927</v>
      </c>
      <c r="D205" s="517"/>
    </row>
    <row r="206" spans="1:4" ht="18" customHeight="1">
      <c r="A206" s="479" t="s">
        <v>808</v>
      </c>
      <c r="B206" s="510" t="s">
        <v>809</v>
      </c>
      <c r="C206" s="503" t="s">
        <v>928</v>
      </c>
      <c r="D206" s="518"/>
    </row>
    <row r="207" spans="1:4" ht="22.5">
      <c r="A207" s="479">
        <v>1.4</v>
      </c>
      <c r="B207" s="504" t="s">
        <v>942</v>
      </c>
      <c r="C207" s="508" t="s">
        <v>929</v>
      </c>
      <c r="D207" s="519"/>
    </row>
    <row r="208" spans="1:4" ht="12.75">
      <c r="A208" s="479">
        <v>1.5</v>
      </c>
      <c r="B208" s="504" t="s">
        <v>943</v>
      </c>
      <c r="C208" s="508" t="s">
        <v>929</v>
      </c>
      <c r="D208" s="519"/>
    </row>
    <row r="209" spans="1:3">
      <c r="A209" s="479"/>
      <c r="B209" s="883" t="s">
        <v>930</v>
      </c>
      <c r="C209" s="883"/>
    </row>
    <row r="210" spans="1:3" ht="24.6" customHeight="1">
      <c r="A210" s="479"/>
      <c r="B210" s="884" t="s">
        <v>931</v>
      </c>
      <c r="C210" s="884"/>
    </row>
    <row r="211" spans="1:3" ht="22.5">
      <c r="A211" s="487"/>
      <c r="B211" s="481" t="s">
        <v>683</v>
      </c>
      <c r="C211" s="489" t="s">
        <v>878</v>
      </c>
    </row>
    <row r="212" spans="1:3" ht="22.5">
      <c r="A212" s="487"/>
      <c r="B212" s="481" t="s">
        <v>684</v>
      </c>
      <c r="C212" s="489" t="s">
        <v>879</v>
      </c>
    </row>
    <row r="213" spans="1:3" ht="22.5">
      <c r="A213" s="479"/>
      <c r="B213" s="481" t="s">
        <v>685</v>
      </c>
      <c r="C213" s="489" t="s">
        <v>932</v>
      </c>
    </row>
    <row r="214" spans="1:3">
      <c r="A214" s="479"/>
      <c r="B214" s="883" t="s">
        <v>933</v>
      </c>
      <c r="C214" s="883"/>
    </row>
    <row r="215" spans="1:3" ht="39.6" customHeight="1">
      <c r="A215" s="487"/>
      <c r="B215" s="885" t="s">
        <v>948</v>
      </c>
      <c r="C215" s="885"/>
    </row>
    <row r="216" spans="1:3">
      <c r="B216" s="883" t="s">
        <v>1003</v>
      </c>
      <c r="C216" s="883"/>
    </row>
    <row r="217" spans="1:3" ht="25.5">
      <c r="A217" s="745">
        <v>1</v>
      </c>
      <c r="B217" s="755" t="s">
        <v>980</v>
      </c>
      <c r="C217" s="756" t="s">
        <v>1004</v>
      </c>
    </row>
    <row r="218" spans="1:3" ht="12.75">
      <c r="A218" s="745">
        <v>2</v>
      </c>
      <c r="B218" s="755" t="s">
        <v>981</v>
      </c>
      <c r="C218" s="756" t="s">
        <v>1005</v>
      </c>
    </row>
    <row r="219" spans="1:3" ht="25.5">
      <c r="A219" s="745">
        <v>3</v>
      </c>
      <c r="B219" s="755" t="s">
        <v>982</v>
      </c>
      <c r="C219" s="755" t="s">
        <v>1006</v>
      </c>
    </row>
    <row r="220" spans="1:3" ht="12.75">
      <c r="A220" s="745">
        <v>4</v>
      </c>
      <c r="B220" s="755" t="s">
        <v>983</v>
      </c>
      <c r="C220" s="755" t="s">
        <v>1007</v>
      </c>
    </row>
    <row r="221" spans="1:3" ht="25.5">
      <c r="A221" s="745">
        <v>5</v>
      </c>
      <c r="B221" s="755" t="s">
        <v>984</v>
      </c>
      <c r="C221" s="755" t="s">
        <v>1008</v>
      </c>
    </row>
    <row r="222" spans="1:3" ht="12.75">
      <c r="A222" s="745">
        <v>6</v>
      </c>
      <c r="B222" s="755" t="s">
        <v>985</v>
      </c>
      <c r="C222" s="755" t="s">
        <v>1009</v>
      </c>
    </row>
    <row r="223" spans="1:3" ht="25.5">
      <c r="A223" s="745">
        <v>7</v>
      </c>
      <c r="B223" s="755" t="s">
        <v>986</v>
      </c>
      <c r="C223" s="755" t="s">
        <v>1010</v>
      </c>
    </row>
    <row r="224" spans="1:3" ht="12.75">
      <c r="A224" s="745">
        <v>7.1</v>
      </c>
      <c r="B224" s="757" t="s">
        <v>987</v>
      </c>
      <c r="C224" s="755" t="s">
        <v>1011</v>
      </c>
    </row>
    <row r="225" spans="1:3" ht="25.5">
      <c r="A225" s="745">
        <v>7.2</v>
      </c>
      <c r="B225" s="757" t="s">
        <v>988</v>
      </c>
      <c r="C225" s="755" t="s">
        <v>1012</v>
      </c>
    </row>
    <row r="226" spans="1:3" ht="12.75">
      <c r="A226" s="745">
        <v>7.3</v>
      </c>
      <c r="B226" s="758" t="s">
        <v>989</v>
      </c>
      <c r="C226" s="755" t="s">
        <v>1013</v>
      </c>
    </row>
    <row r="227" spans="1:3" ht="12.75">
      <c r="A227" s="745">
        <v>8</v>
      </c>
      <c r="B227" s="755" t="s">
        <v>990</v>
      </c>
      <c r="C227" s="756" t="s">
        <v>1014</v>
      </c>
    </row>
    <row r="228" spans="1:3" ht="12.75">
      <c r="A228" s="745">
        <v>9</v>
      </c>
      <c r="B228" s="755" t="s">
        <v>991</v>
      </c>
      <c r="C228" s="756" t="s">
        <v>1015</v>
      </c>
    </row>
    <row r="229" spans="1:3" ht="25.5">
      <c r="A229" s="745">
        <v>10.1</v>
      </c>
      <c r="B229" s="759" t="s">
        <v>1016</v>
      </c>
      <c r="C229" s="756" t="s">
        <v>1017</v>
      </c>
    </row>
    <row r="230" spans="1:3" ht="12.75">
      <c r="A230" s="879"/>
      <c r="B230" s="760" t="s">
        <v>785</v>
      </c>
      <c r="C230" s="756" t="s">
        <v>1018</v>
      </c>
    </row>
    <row r="231" spans="1:3" ht="25.5">
      <c r="A231" s="880"/>
      <c r="B231" s="760" t="s">
        <v>974</v>
      </c>
      <c r="C231" s="756" t="s">
        <v>1019</v>
      </c>
    </row>
    <row r="232" spans="1:3" ht="12.75">
      <c r="A232" s="880"/>
      <c r="B232" s="760" t="s">
        <v>975</v>
      </c>
      <c r="C232" s="756" t="s">
        <v>1020</v>
      </c>
    </row>
    <row r="233" spans="1:3" ht="24">
      <c r="A233" s="880"/>
      <c r="B233" s="760" t="s">
        <v>976</v>
      </c>
      <c r="C233" s="761" t="s">
        <v>1021</v>
      </c>
    </row>
    <row r="234" spans="1:3" ht="40.5" customHeight="1">
      <c r="A234" s="880"/>
      <c r="B234" s="760" t="s">
        <v>977</v>
      </c>
      <c r="C234" s="756" t="s">
        <v>1022</v>
      </c>
    </row>
    <row r="235" spans="1:3" ht="24" customHeight="1">
      <c r="A235" s="880"/>
      <c r="B235" s="760" t="s">
        <v>978</v>
      </c>
      <c r="C235" s="756" t="s">
        <v>1023</v>
      </c>
    </row>
    <row r="236" spans="1:3" ht="25.5">
      <c r="A236" s="881"/>
      <c r="B236" s="760" t="s">
        <v>979</v>
      </c>
      <c r="C236" s="756" t="s">
        <v>1024</v>
      </c>
    </row>
  </sheetData>
  <mergeCells count="133">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C147:C152"/>
    <mergeCell ref="B155:C155"/>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954</v>
      </c>
      <c r="C1" s="17"/>
    </row>
    <row r="2" spans="1:8" ht="15.75">
      <c r="A2" s="527" t="s">
        <v>189</v>
      </c>
      <c r="B2" s="529">
        <f>'1. key ratios'!B2</f>
        <v>44926</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815246.44000000006</v>
      </c>
      <c r="D8" s="591">
        <v>95466.08</v>
      </c>
      <c r="E8" s="571">
        <f>C8+D8</f>
        <v>910712.52</v>
      </c>
      <c r="F8" s="592">
        <v>658724.18000000005</v>
      </c>
      <c r="G8" s="592">
        <v>15574.3</v>
      </c>
      <c r="H8" s="573">
        <f>F8+G8</f>
        <v>674298.4800000001</v>
      </c>
    </row>
    <row r="9" spans="1:8">
      <c r="A9" s="586">
        <v>2</v>
      </c>
      <c r="B9" s="590" t="s">
        <v>98</v>
      </c>
      <c r="C9" s="593">
        <f>SUM(C10:C18)</f>
        <v>23075482.672305048</v>
      </c>
      <c r="D9" s="593">
        <f>SUM(D10:D18)</f>
        <v>1113736.8199999998</v>
      </c>
      <c r="E9" s="571">
        <f t="shared" ref="E9:E67" si="0">C9+D9</f>
        <v>24189219.492305048</v>
      </c>
      <c r="F9" s="593">
        <f>SUM(F10:F18)</f>
        <v>17188722.730000004</v>
      </c>
      <c r="G9" s="593">
        <f>SUM(G10:G18)</f>
        <v>1268934.3400000001</v>
      </c>
      <c r="H9" s="573">
        <f t="shared" ref="H9:H67" si="1">F9+G9</f>
        <v>18457657.070000004</v>
      </c>
    </row>
    <row r="10" spans="1:8">
      <c r="A10" s="586">
        <v>2.1</v>
      </c>
      <c r="B10" s="594" t="s">
        <v>99</v>
      </c>
      <c r="C10" s="592">
        <v>0</v>
      </c>
      <c r="D10" s="592">
        <v>364313.49</v>
      </c>
      <c r="E10" s="571">
        <f t="shared" si="0"/>
        <v>364313.49</v>
      </c>
      <c r="F10" s="592">
        <v>0</v>
      </c>
      <c r="G10" s="592">
        <v>292444.64</v>
      </c>
      <c r="H10" s="573">
        <f t="shared" si="1"/>
        <v>292444.64</v>
      </c>
    </row>
    <row r="11" spans="1:8">
      <c r="A11" s="586">
        <v>2.2000000000000002</v>
      </c>
      <c r="B11" s="594" t="s">
        <v>100</v>
      </c>
      <c r="C11" s="592">
        <v>22161673.302305046</v>
      </c>
      <c r="D11" s="592">
        <v>0</v>
      </c>
      <c r="E11" s="571">
        <f t="shared" si="0"/>
        <v>22161673.302305046</v>
      </c>
      <c r="F11" s="592">
        <v>16300474.930000003</v>
      </c>
      <c r="G11" s="592">
        <v>0</v>
      </c>
      <c r="H11" s="573">
        <f t="shared" si="1"/>
        <v>16300474.930000003</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913809.37000000011</v>
      </c>
      <c r="D17" s="592">
        <v>749423.33</v>
      </c>
      <c r="E17" s="571">
        <f t="shared" si="0"/>
        <v>1663232.7000000002</v>
      </c>
      <c r="F17" s="592">
        <v>888247.79999999993</v>
      </c>
      <c r="G17" s="592">
        <v>976489.70000000007</v>
      </c>
      <c r="H17" s="573">
        <f t="shared" si="1"/>
        <v>1864737.5</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3761181.572700324</v>
      </c>
      <c r="D20" s="592">
        <v>133369.38760290627</v>
      </c>
      <c r="E20" s="571">
        <f t="shared" si="0"/>
        <v>3894550.9603032302</v>
      </c>
      <c r="F20" s="592">
        <v>2627498.1154971151</v>
      </c>
      <c r="G20" s="592">
        <v>398544.22378388589</v>
      </c>
      <c r="H20" s="573">
        <f t="shared" si="1"/>
        <v>3026042.3392810011</v>
      </c>
    </row>
    <row r="21" spans="1:8">
      <c r="A21" s="586">
        <v>5</v>
      </c>
      <c r="B21" s="590" t="s">
        <v>110</v>
      </c>
      <c r="C21" s="592">
        <v>0</v>
      </c>
      <c r="D21" s="592"/>
      <c r="E21" s="571">
        <f t="shared" si="0"/>
        <v>0</v>
      </c>
      <c r="F21" s="592">
        <v>0</v>
      </c>
      <c r="G21" s="592"/>
      <c r="H21" s="573">
        <f>F21+G21</f>
        <v>0</v>
      </c>
    </row>
    <row r="22" spans="1:8">
      <c r="A22" s="586">
        <v>6</v>
      </c>
      <c r="B22" s="595" t="s">
        <v>111</v>
      </c>
      <c r="C22" s="593">
        <f>C8+C9+C19+C20+C21</f>
        <v>27651910.685005374</v>
      </c>
      <c r="D22" s="593">
        <f>D8+D9+D19+D20+D21</f>
        <v>1342572.2876029061</v>
      </c>
      <c r="E22" s="571">
        <f>C22+D22</f>
        <v>28994482.972608279</v>
      </c>
      <c r="F22" s="593">
        <f>F8+F9+F19+F20+F21</f>
        <v>20474945.02549712</v>
      </c>
      <c r="G22" s="593">
        <f>G8+G9+G19+G20+G21</f>
        <v>1683052.863783886</v>
      </c>
      <c r="H22" s="573">
        <f>F22+G22</f>
        <v>22157997.889281005</v>
      </c>
    </row>
    <row r="23" spans="1:8">
      <c r="A23" s="586"/>
      <c r="B23" s="587" t="s">
        <v>90</v>
      </c>
      <c r="C23" s="592"/>
      <c r="D23" s="592"/>
      <c r="E23" s="570"/>
      <c r="F23" s="592"/>
      <c r="G23" s="592"/>
      <c r="H23" s="596"/>
    </row>
    <row r="24" spans="1:8">
      <c r="A24" s="586">
        <v>7</v>
      </c>
      <c r="B24" s="590" t="s">
        <v>112</v>
      </c>
      <c r="C24" s="592">
        <v>573682.04</v>
      </c>
      <c r="D24" s="592">
        <v>0</v>
      </c>
      <c r="E24" s="571">
        <f t="shared" si="0"/>
        <v>573682.04</v>
      </c>
      <c r="F24" s="592">
        <v>478941.17</v>
      </c>
      <c r="G24" s="592">
        <v>0</v>
      </c>
      <c r="H24" s="573">
        <f t="shared" si="1"/>
        <v>478941.17</v>
      </c>
    </row>
    <row r="25" spans="1:8">
      <c r="A25" s="586">
        <v>8</v>
      </c>
      <c r="B25" s="590" t="s">
        <v>113</v>
      </c>
      <c r="C25" s="592">
        <v>880487.04144400009</v>
      </c>
      <c r="D25" s="592">
        <v>338339.21937400004</v>
      </c>
      <c r="E25" s="571">
        <f t="shared" si="0"/>
        <v>1218826.2608180002</v>
      </c>
      <c r="F25" s="592">
        <v>578131.878256</v>
      </c>
      <c r="G25" s="592">
        <v>579864.121744</v>
      </c>
      <c r="H25" s="573">
        <f t="shared" si="1"/>
        <v>1157996</v>
      </c>
    </row>
    <row r="26" spans="1:8">
      <c r="A26" s="586">
        <v>9</v>
      </c>
      <c r="B26" s="590" t="s">
        <v>114</v>
      </c>
      <c r="C26" s="592">
        <v>529013.02</v>
      </c>
      <c r="D26" s="592">
        <v>1405409.4</v>
      </c>
      <c r="E26" s="571">
        <f t="shared" si="0"/>
        <v>1934422.42</v>
      </c>
      <c r="F26" s="592">
        <v>34260.74</v>
      </c>
      <c r="G26" s="592">
        <v>1312566.6400000001</v>
      </c>
      <c r="H26" s="573">
        <f t="shared" si="1"/>
        <v>1346827.3800000001</v>
      </c>
    </row>
    <row r="27" spans="1:8">
      <c r="A27" s="586">
        <v>10</v>
      </c>
      <c r="B27" s="590" t="s">
        <v>115</v>
      </c>
      <c r="C27" s="592"/>
      <c r="D27" s="592"/>
      <c r="E27" s="571">
        <f t="shared" si="0"/>
        <v>0</v>
      </c>
      <c r="F27" s="592"/>
      <c r="G27" s="592"/>
      <c r="H27" s="573">
        <f t="shared" si="1"/>
        <v>0</v>
      </c>
    </row>
    <row r="28" spans="1:8">
      <c r="A28" s="586">
        <v>11</v>
      </c>
      <c r="B28" s="590" t="s">
        <v>116</v>
      </c>
      <c r="C28" s="592">
        <v>759344.61</v>
      </c>
      <c r="D28" s="592">
        <v>2698832.4499999997</v>
      </c>
      <c r="E28" s="571">
        <f t="shared" si="0"/>
        <v>3458177.0599999996</v>
      </c>
      <c r="F28" s="592">
        <v>24836.65</v>
      </c>
      <c r="G28" s="592">
        <v>1643234.77</v>
      </c>
      <c r="H28" s="573">
        <f t="shared" si="1"/>
        <v>1668071.42</v>
      </c>
    </row>
    <row r="29" spans="1:8">
      <c r="A29" s="586">
        <v>12</v>
      </c>
      <c r="B29" s="590" t="s">
        <v>117</v>
      </c>
      <c r="C29" s="592"/>
      <c r="D29" s="592"/>
      <c r="E29" s="571">
        <f t="shared" si="0"/>
        <v>0</v>
      </c>
      <c r="F29" s="592"/>
      <c r="G29" s="592"/>
      <c r="H29" s="573">
        <f t="shared" si="1"/>
        <v>0</v>
      </c>
    </row>
    <row r="30" spans="1:8">
      <c r="A30" s="586">
        <v>13</v>
      </c>
      <c r="B30" s="597" t="s">
        <v>118</v>
      </c>
      <c r="C30" s="593">
        <f>SUM(C24:C29)</f>
        <v>2742526.7114440002</v>
      </c>
      <c r="D30" s="593">
        <f>SUM(D24:D29)</f>
        <v>4442581.0693739997</v>
      </c>
      <c r="E30" s="571">
        <f t="shared" si="0"/>
        <v>7185107.7808180004</v>
      </c>
      <c r="F30" s="593">
        <f>SUM(F24:F29)</f>
        <v>1116170.4382559999</v>
      </c>
      <c r="G30" s="593">
        <f>SUM(G24:G29)</f>
        <v>3535665.531744</v>
      </c>
      <c r="H30" s="573">
        <f t="shared" si="1"/>
        <v>4651835.97</v>
      </c>
    </row>
    <row r="31" spans="1:8">
      <c r="A31" s="586">
        <v>14</v>
      </c>
      <c r="B31" s="597" t="s">
        <v>119</v>
      </c>
      <c r="C31" s="593">
        <f>C22-C30</f>
        <v>24909383.973561373</v>
      </c>
      <c r="D31" s="593">
        <f>D22-D30</f>
        <v>-3100008.7817710936</v>
      </c>
      <c r="E31" s="571">
        <f t="shared" si="0"/>
        <v>21809375.191790279</v>
      </c>
      <c r="F31" s="593">
        <f>F22-F30</f>
        <v>19358774.587241121</v>
      </c>
      <c r="G31" s="593">
        <f>G22-G30</f>
        <v>-1852612.6679601141</v>
      </c>
      <c r="H31" s="573">
        <f t="shared" si="1"/>
        <v>17506161.919281006</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-55149.780000000028</v>
      </c>
      <c r="D34" s="601">
        <f>D35-D36</f>
        <v>0</v>
      </c>
      <c r="E34" s="571">
        <f t="shared" si="0"/>
        <v>-55149.780000000028</v>
      </c>
      <c r="F34" s="601">
        <f>F35-F36</f>
        <v>-305044.85999999987</v>
      </c>
      <c r="G34" s="601">
        <f>G35-G36</f>
        <v>0</v>
      </c>
      <c r="H34" s="573">
        <f t="shared" si="1"/>
        <v>-305044.85999999987</v>
      </c>
    </row>
    <row r="35" spans="1:8">
      <c r="A35" s="586">
        <v>15.1</v>
      </c>
      <c r="B35" s="594" t="s">
        <v>121</v>
      </c>
      <c r="C35" s="592">
        <v>1339739.31</v>
      </c>
      <c r="D35" s="592"/>
      <c r="E35" s="571">
        <f t="shared" si="0"/>
        <v>1339739.31</v>
      </c>
      <c r="F35" s="592">
        <v>1392336.55</v>
      </c>
      <c r="G35" s="592"/>
      <c r="H35" s="573">
        <f t="shared" si="1"/>
        <v>1392336.55</v>
      </c>
    </row>
    <row r="36" spans="1:8">
      <c r="A36" s="586">
        <v>15.2</v>
      </c>
      <c r="B36" s="594" t="s">
        <v>122</v>
      </c>
      <c r="C36" s="592">
        <v>1394889.09</v>
      </c>
      <c r="D36" s="592"/>
      <c r="E36" s="571">
        <f t="shared" si="0"/>
        <v>1394889.09</v>
      </c>
      <c r="F36" s="592">
        <v>1697381.41</v>
      </c>
      <c r="G36" s="592"/>
      <c r="H36" s="573">
        <f t="shared" si="1"/>
        <v>1697381.41</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2956332.310000001</v>
      </c>
      <c r="D40" s="592"/>
      <c r="E40" s="571">
        <f t="shared" si="0"/>
        <v>2956332.310000001</v>
      </c>
      <c r="F40" s="592">
        <v>3407973.6700000004</v>
      </c>
      <c r="G40" s="592"/>
      <c r="H40" s="573">
        <f t="shared" si="1"/>
        <v>3407973.6700000004</v>
      </c>
    </row>
    <row r="41" spans="1:8">
      <c r="A41" s="586">
        <v>20</v>
      </c>
      <c r="B41" s="590" t="s">
        <v>127</v>
      </c>
      <c r="C41" s="592">
        <v>-1052136.2799999956</v>
      </c>
      <c r="D41" s="592"/>
      <c r="E41" s="571">
        <f t="shared" si="0"/>
        <v>-1052136.2799999956</v>
      </c>
      <c r="F41" s="592">
        <v>-1895405.1099999994</v>
      </c>
      <c r="G41" s="592"/>
      <c r="H41" s="573">
        <f t="shared" si="1"/>
        <v>-1895405.1099999994</v>
      </c>
    </row>
    <row r="42" spans="1:8">
      <c r="A42" s="586">
        <v>21</v>
      </c>
      <c r="B42" s="590" t="s">
        <v>128</v>
      </c>
      <c r="C42" s="592">
        <v>0</v>
      </c>
      <c r="D42" s="592"/>
      <c r="E42" s="571">
        <f t="shared" si="0"/>
        <v>0</v>
      </c>
      <c r="F42" s="592">
        <v>0</v>
      </c>
      <c r="G42" s="592"/>
      <c r="H42" s="573">
        <f t="shared" si="1"/>
        <v>0</v>
      </c>
    </row>
    <row r="43" spans="1:8">
      <c r="A43" s="586">
        <v>22</v>
      </c>
      <c r="B43" s="590" t="s">
        <v>129</v>
      </c>
      <c r="C43" s="592">
        <v>2502663.71</v>
      </c>
      <c r="D43" s="592"/>
      <c r="E43" s="571">
        <f t="shared" si="0"/>
        <v>2502663.71</v>
      </c>
      <c r="F43" s="592">
        <v>2493874.2800000003</v>
      </c>
      <c r="G43" s="592"/>
      <c r="H43" s="573">
        <f t="shared" si="1"/>
        <v>2493874.2800000003</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4351709.9600000056</v>
      </c>
      <c r="D45" s="593">
        <f>D34+D37+D38+D39+D40+D41+D42+D43+D44</f>
        <v>0</v>
      </c>
      <c r="E45" s="571">
        <f t="shared" si="0"/>
        <v>4351709.9600000056</v>
      </c>
      <c r="F45" s="593">
        <f>F34+F37+F38+F39+F40+F41+F42+F43+F44</f>
        <v>3701397.9800000014</v>
      </c>
      <c r="G45" s="593">
        <f>G34+G37+G38+G39+G40+G41+G42+G43+G44</f>
        <v>0</v>
      </c>
      <c r="H45" s="573">
        <f t="shared" si="1"/>
        <v>3701397.9800000014</v>
      </c>
    </row>
    <row r="46" spans="1:8">
      <c r="A46" s="586"/>
      <c r="B46" s="587" t="s">
        <v>132</v>
      </c>
      <c r="C46" s="592"/>
      <c r="D46" s="592"/>
      <c r="E46" s="592"/>
      <c r="F46" s="592"/>
      <c r="G46" s="592"/>
      <c r="H46" s="602"/>
    </row>
    <row r="47" spans="1:8">
      <c r="A47" s="586">
        <v>25</v>
      </c>
      <c r="B47" s="590" t="s">
        <v>133</v>
      </c>
      <c r="C47" s="592">
        <v>0</v>
      </c>
      <c r="D47" s="592">
        <v>210488.32000000001</v>
      </c>
      <c r="E47" s="571">
        <f t="shared" si="0"/>
        <v>210488.32000000001</v>
      </c>
      <c r="F47" s="592">
        <v>0</v>
      </c>
      <c r="G47" s="592">
        <v>58469.22</v>
      </c>
      <c r="H47" s="573">
        <f t="shared" si="1"/>
        <v>58469.22</v>
      </c>
    </row>
    <row r="48" spans="1:8">
      <c r="A48" s="586">
        <v>26</v>
      </c>
      <c r="B48" s="590" t="s">
        <v>134</v>
      </c>
      <c r="C48" s="592">
        <v>204312.73</v>
      </c>
      <c r="D48" s="592">
        <v>0</v>
      </c>
      <c r="E48" s="571">
        <f t="shared" si="0"/>
        <v>204312.73</v>
      </c>
      <c r="F48" s="592">
        <v>185354.24000000002</v>
      </c>
      <c r="G48" s="592">
        <v>0</v>
      </c>
      <c r="H48" s="573">
        <f t="shared" si="1"/>
        <v>185354.24000000002</v>
      </c>
    </row>
    <row r="49" spans="1:9">
      <c r="A49" s="586">
        <v>27</v>
      </c>
      <c r="B49" s="590" t="s">
        <v>135</v>
      </c>
      <c r="C49" s="592">
        <v>4820591.7899999991</v>
      </c>
      <c r="D49" s="592"/>
      <c r="E49" s="571">
        <f t="shared" si="0"/>
        <v>4820591.7899999991</v>
      </c>
      <c r="F49" s="592">
        <v>4867352.68</v>
      </c>
      <c r="G49" s="592"/>
      <c r="H49" s="573">
        <f t="shared" si="1"/>
        <v>4867352.68</v>
      </c>
    </row>
    <row r="50" spans="1:9">
      <c r="A50" s="586">
        <v>28</v>
      </c>
      <c r="B50" s="590" t="s">
        <v>271</v>
      </c>
      <c r="C50" s="592">
        <v>30853.21</v>
      </c>
      <c r="D50" s="592">
        <v>0</v>
      </c>
      <c r="E50" s="571">
        <f t="shared" si="0"/>
        <v>30853.21</v>
      </c>
      <c r="F50" s="592">
        <v>84074.07</v>
      </c>
      <c r="G50" s="592">
        <v>0</v>
      </c>
      <c r="H50" s="573">
        <f t="shared" si="1"/>
        <v>84074.07</v>
      </c>
    </row>
    <row r="51" spans="1:9">
      <c r="A51" s="586">
        <v>29</v>
      </c>
      <c r="B51" s="590" t="s">
        <v>136</v>
      </c>
      <c r="C51" s="592">
        <v>1131141.7</v>
      </c>
      <c r="D51" s="592">
        <v>0</v>
      </c>
      <c r="E51" s="571">
        <f t="shared" si="0"/>
        <v>1131141.7</v>
      </c>
      <c r="F51" s="592">
        <v>778453.31</v>
      </c>
      <c r="G51" s="592">
        <v>0</v>
      </c>
      <c r="H51" s="573">
        <f t="shared" si="1"/>
        <v>778453.31</v>
      </c>
    </row>
    <row r="52" spans="1:9">
      <c r="A52" s="586">
        <v>30</v>
      </c>
      <c r="B52" s="590" t="s">
        <v>137</v>
      </c>
      <c r="C52" s="592">
        <v>2684935.9800000004</v>
      </c>
      <c r="D52" s="592"/>
      <c r="E52" s="571">
        <f t="shared" si="0"/>
        <v>2684935.9800000004</v>
      </c>
      <c r="F52" s="592">
        <v>2952088.0499999993</v>
      </c>
      <c r="G52" s="592"/>
      <c r="H52" s="573">
        <f t="shared" si="1"/>
        <v>2952088.0499999993</v>
      </c>
    </row>
    <row r="53" spans="1:9">
      <c r="A53" s="586">
        <v>31</v>
      </c>
      <c r="B53" s="597" t="s">
        <v>138</v>
      </c>
      <c r="C53" s="593">
        <f>C47+C48+C49+C50+C51+C52</f>
        <v>8871835.4100000001</v>
      </c>
      <c r="D53" s="593">
        <f>D47+D48+D49+D50+D51+D52</f>
        <v>210488.32000000001</v>
      </c>
      <c r="E53" s="571">
        <f t="shared" si="0"/>
        <v>9082323.7300000004</v>
      </c>
      <c r="F53" s="593">
        <f>F47+F48+F49+F50+F51+F52</f>
        <v>8867322.3499999996</v>
      </c>
      <c r="G53" s="593">
        <f>G47+G48+G49+G50+G51+G52</f>
        <v>58469.22</v>
      </c>
      <c r="H53" s="573">
        <f t="shared" si="1"/>
        <v>8925791.5700000003</v>
      </c>
    </row>
    <row r="54" spans="1:9">
      <c r="A54" s="586">
        <v>32</v>
      </c>
      <c r="B54" s="597" t="s">
        <v>139</v>
      </c>
      <c r="C54" s="593">
        <f>C45-C53</f>
        <v>-4520125.4499999946</v>
      </c>
      <c r="D54" s="593">
        <f>D45-D53</f>
        <v>-210488.32000000001</v>
      </c>
      <c r="E54" s="571">
        <f t="shared" si="0"/>
        <v>-4730613.7699999949</v>
      </c>
      <c r="F54" s="593">
        <f>F45-F53</f>
        <v>-5165924.3699999982</v>
      </c>
      <c r="G54" s="593">
        <f>G45-G53</f>
        <v>-58469.22</v>
      </c>
      <c r="H54" s="573">
        <f t="shared" si="1"/>
        <v>-5224393.589999998</v>
      </c>
    </row>
    <row r="55" spans="1:9">
      <c r="A55" s="586"/>
      <c r="B55" s="587"/>
      <c r="C55" s="598"/>
      <c r="D55" s="598"/>
      <c r="E55" s="598"/>
      <c r="F55" s="598"/>
      <c r="G55" s="598"/>
      <c r="H55" s="599"/>
    </row>
    <row r="56" spans="1:9">
      <c r="A56" s="586">
        <v>33</v>
      </c>
      <c r="B56" s="597" t="s">
        <v>140</v>
      </c>
      <c r="C56" s="593">
        <f>C31+C54</f>
        <v>20389258.523561377</v>
      </c>
      <c r="D56" s="593">
        <f>D31+D54</f>
        <v>-3310497.1017710934</v>
      </c>
      <c r="E56" s="571">
        <f t="shared" si="0"/>
        <v>17078761.421790283</v>
      </c>
      <c r="F56" s="593">
        <f>F31+F54</f>
        <v>14192850.217241123</v>
      </c>
      <c r="G56" s="593">
        <f>G31+G54</f>
        <v>-1911081.8879601141</v>
      </c>
      <c r="H56" s="573">
        <f t="shared" si="1"/>
        <v>12281768.32928101</v>
      </c>
    </row>
    <row r="57" spans="1:9">
      <c r="A57" s="586"/>
      <c r="B57" s="587"/>
      <c r="C57" s="598"/>
      <c r="D57" s="598"/>
      <c r="E57" s="598"/>
      <c r="F57" s="598"/>
      <c r="G57" s="598"/>
      <c r="H57" s="599"/>
    </row>
    <row r="58" spans="1:9">
      <c r="A58" s="586">
        <v>34</v>
      </c>
      <c r="B58" s="590" t="s">
        <v>141</v>
      </c>
      <c r="C58" s="592">
        <v>-3681263.9679100486</v>
      </c>
      <c r="D58" s="592"/>
      <c r="E58" s="571">
        <f t="shared" si="0"/>
        <v>-3681263.9679100486</v>
      </c>
      <c r="F58" s="592">
        <v>-643151.76433431008</v>
      </c>
      <c r="G58" s="592"/>
      <c r="H58" s="573">
        <f t="shared" si="1"/>
        <v>-643151.76433431008</v>
      </c>
    </row>
    <row r="59" spans="1:9" s="185" customFormat="1">
      <c r="A59" s="586">
        <v>35</v>
      </c>
      <c r="B59" s="600" t="s">
        <v>142</v>
      </c>
      <c r="C59" s="592">
        <v>230156.1177367483</v>
      </c>
      <c r="D59" s="592"/>
      <c r="E59" s="603">
        <f t="shared" si="0"/>
        <v>230156.1177367483</v>
      </c>
      <c r="F59" s="604">
        <v>25746.375719924545</v>
      </c>
      <c r="G59" s="604"/>
      <c r="H59" s="605">
        <f t="shared" si="1"/>
        <v>25746.375719924545</v>
      </c>
      <c r="I59" s="184"/>
    </row>
    <row r="60" spans="1:9">
      <c r="A60" s="586">
        <v>36</v>
      </c>
      <c r="B60" s="590" t="s">
        <v>143</v>
      </c>
      <c r="C60" s="592">
        <v>-233275.27346200126</v>
      </c>
      <c r="D60" s="592"/>
      <c r="E60" s="571">
        <f t="shared" si="0"/>
        <v>-233275.27346200126</v>
      </c>
      <c r="F60" s="592">
        <v>-265993.84512096003</v>
      </c>
      <c r="G60" s="592"/>
      <c r="H60" s="573">
        <f t="shared" si="1"/>
        <v>-265993.84512096003</v>
      </c>
    </row>
    <row r="61" spans="1:9">
      <c r="A61" s="586">
        <v>37</v>
      </c>
      <c r="B61" s="597" t="s">
        <v>144</v>
      </c>
      <c r="C61" s="593">
        <f>C58+C59+C60</f>
        <v>-3684383.1236353014</v>
      </c>
      <c r="D61" s="593">
        <f>D58+D59+D60</f>
        <v>0</v>
      </c>
      <c r="E61" s="571">
        <f t="shared" si="0"/>
        <v>-3684383.1236353014</v>
      </c>
      <c r="F61" s="593">
        <f>F58+F59+F60</f>
        <v>-883399.23373534554</v>
      </c>
      <c r="G61" s="593">
        <f>G58+G59+G60</f>
        <v>0</v>
      </c>
      <c r="H61" s="573">
        <f t="shared" si="1"/>
        <v>-883399.23373534554</v>
      </c>
    </row>
    <row r="62" spans="1:9">
      <c r="A62" s="586"/>
      <c r="B62" s="606"/>
      <c r="C62" s="592"/>
      <c r="D62" s="592"/>
      <c r="E62" s="592"/>
      <c r="F62" s="592"/>
      <c r="G62" s="592"/>
      <c r="H62" s="602"/>
    </row>
    <row r="63" spans="1:9">
      <c r="A63" s="586">
        <v>38</v>
      </c>
      <c r="B63" s="607" t="s">
        <v>272</v>
      </c>
      <c r="C63" s="593">
        <f>C56-C61</f>
        <v>24073641.64719668</v>
      </c>
      <c r="D63" s="593">
        <f>D56-D61</f>
        <v>-3310497.1017710934</v>
      </c>
      <c r="E63" s="571">
        <f t="shared" si="0"/>
        <v>20763144.545425586</v>
      </c>
      <c r="F63" s="593">
        <f>F56-F61</f>
        <v>15076249.450976469</v>
      </c>
      <c r="G63" s="593">
        <f>G56-G61</f>
        <v>-1911081.8879601141</v>
      </c>
      <c r="H63" s="573">
        <f t="shared" si="1"/>
        <v>13165167.563016355</v>
      </c>
    </row>
    <row r="64" spans="1:9">
      <c r="A64" s="582">
        <v>39</v>
      </c>
      <c r="B64" s="590" t="s">
        <v>145</v>
      </c>
      <c r="C64" s="608">
        <v>4028597.3499014098</v>
      </c>
      <c r="D64" s="608"/>
      <c r="E64" s="571">
        <f t="shared" si="0"/>
        <v>4028597.3499014098</v>
      </c>
      <c r="F64" s="608">
        <v>1878163.54</v>
      </c>
      <c r="G64" s="608"/>
      <c r="H64" s="573">
        <f t="shared" si="1"/>
        <v>1878163.54</v>
      </c>
    </row>
    <row r="65" spans="1:8">
      <c r="A65" s="586">
        <v>40</v>
      </c>
      <c r="B65" s="597" t="s">
        <v>146</v>
      </c>
      <c r="C65" s="593">
        <f>C63-C64</f>
        <v>20045044.297295272</v>
      </c>
      <c r="D65" s="593">
        <f>D63-D64</f>
        <v>-3310497.1017710934</v>
      </c>
      <c r="E65" s="571">
        <f t="shared" si="0"/>
        <v>16734547.195524178</v>
      </c>
      <c r="F65" s="593">
        <f>F63-F64</f>
        <v>13198085.91097647</v>
      </c>
      <c r="G65" s="593">
        <f>G63-G64</f>
        <v>-1911081.8879601141</v>
      </c>
      <c r="H65" s="573">
        <f t="shared" si="1"/>
        <v>11287004.023016356</v>
      </c>
    </row>
    <row r="66" spans="1:8">
      <c r="A66" s="582">
        <v>41</v>
      </c>
      <c r="B66" s="590" t="s">
        <v>147</v>
      </c>
      <c r="C66" s="608"/>
      <c r="D66" s="608"/>
      <c r="E66" s="571">
        <f t="shared" si="0"/>
        <v>0</v>
      </c>
      <c r="F66" s="608"/>
      <c r="G66" s="608"/>
      <c r="H66" s="573">
        <f t="shared" si="1"/>
        <v>0</v>
      </c>
    </row>
    <row r="67" spans="1:8" ht="15.75" thickBot="1">
      <c r="A67" s="108">
        <v>42</v>
      </c>
      <c r="B67" s="109" t="s">
        <v>148</v>
      </c>
      <c r="C67" s="609">
        <f>C65+C66</f>
        <v>20045044.297295272</v>
      </c>
      <c r="D67" s="609">
        <f>D65+D66</f>
        <v>-3310497.1017710934</v>
      </c>
      <c r="E67" s="610">
        <f t="shared" si="0"/>
        <v>16734547.195524178</v>
      </c>
      <c r="F67" s="609">
        <f>F65+F66</f>
        <v>13198085.91097647</v>
      </c>
      <c r="G67" s="609">
        <f>G65+G66</f>
        <v>-1911081.8879601141</v>
      </c>
      <c r="H67" s="611">
        <f t="shared" si="1"/>
        <v>11287004.023016356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954</v>
      </c>
    </row>
    <row r="2" spans="1:8" ht="15.75">
      <c r="A2" s="527" t="s">
        <v>189</v>
      </c>
      <c r="B2" s="529">
        <f>'1. key ratios'!B2</f>
        <v>44926</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43218095.68</v>
      </c>
      <c r="D7" s="601">
        <f>SUM(D8:D11)</f>
        <v>52771975.349999994</v>
      </c>
      <c r="E7" s="601">
        <f>C7+D7</f>
        <v>95990071.030000001</v>
      </c>
      <c r="F7" s="601">
        <f>SUM(F8:F11)</f>
        <v>24971014.899999999</v>
      </c>
      <c r="G7" s="601">
        <f>SUM(G8:G11)</f>
        <v>85572463.149999991</v>
      </c>
      <c r="H7" s="573">
        <f t="shared" ref="H7:H53" si="0">F7+G7</f>
        <v>110543478.04999998</v>
      </c>
    </row>
    <row r="8" spans="1:8" s="3" customFormat="1">
      <c r="A8" s="269">
        <v>1.1000000000000001</v>
      </c>
      <c r="B8" s="613" t="s">
        <v>276</v>
      </c>
      <c r="C8" s="614">
        <v>43164627.299999997</v>
      </c>
      <c r="D8" s="614">
        <v>52771975.349999994</v>
      </c>
      <c r="E8" s="601">
        <f t="shared" ref="E8:E53" si="1">C8+D8</f>
        <v>95936602.649999991</v>
      </c>
      <c r="F8" s="614">
        <v>24940646.149999999</v>
      </c>
      <c r="G8" s="614">
        <v>85572463.149999991</v>
      </c>
      <c r="H8" s="573">
        <f t="shared" si="0"/>
        <v>110513109.29999998</v>
      </c>
    </row>
    <row r="9" spans="1:8" s="3" customFormat="1">
      <c r="A9" s="269">
        <v>1.2</v>
      </c>
      <c r="B9" s="613" t="s">
        <v>277</v>
      </c>
      <c r="C9" s="614"/>
      <c r="D9" s="614"/>
      <c r="E9" s="601">
        <f t="shared" si="1"/>
        <v>0</v>
      </c>
      <c r="F9" s="614"/>
      <c r="G9" s="614"/>
      <c r="H9" s="573">
        <f t="shared" si="0"/>
        <v>0</v>
      </c>
    </row>
    <row r="10" spans="1:8" s="3" customFormat="1">
      <c r="A10" s="269">
        <v>1.3</v>
      </c>
      <c r="B10" s="613" t="s">
        <v>278</v>
      </c>
      <c r="C10" s="614">
        <v>53468.380000000012</v>
      </c>
      <c r="D10" s="614"/>
      <c r="E10" s="601">
        <f t="shared" si="1"/>
        <v>53468.380000000012</v>
      </c>
      <c r="F10" s="614">
        <v>30368.750000000007</v>
      </c>
      <c r="G10" s="614"/>
      <c r="H10" s="573">
        <f t="shared" si="0"/>
        <v>30368.750000000007</v>
      </c>
    </row>
    <row r="11" spans="1:8" s="3" customFormat="1">
      <c r="A11" s="269">
        <v>1.4</v>
      </c>
      <c r="B11" s="613" t="s">
        <v>279</v>
      </c>
      <c r="C11" s="614"/>
      <c r="D11" s="614"/>
      <c r="E11" s="601">
        <f t="shared" si="1"/>
        <v>0</v>
      </c>
      <c r="F11" s="614"/>
      <c r="G11" s="614"/>
      <c r="H11" s="573">
        <f t="shared" si="0"/>
        <v>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18075000</v>
      </c>
      <c r="D13" s="601">
        <f>SUM(D14:D15)</f>
        <v>0</v>
      </c>
      <c r="E13" s="601">
        <f t="shared" si="1"/>
        <v>18075000</v>
      </c>
      <c r="F13" s="601">
        <f>SUM(F14:F15)</f>
        <v>0</v>
      </c>
      <c r="G13" s="601">
        <f>SUM(G14:G15)</f>
        <v>0</v>
      </c>
      <c r="H13" s="573">
        <f t="shared" si="0"/>
        <v>0</v>
      </c>
    </row>
    <row r="14" spans="1:8" s="3" customFormat="1">
      <c r="A14" s="269">
        <v>3.1</v>
      </c>
      <c r="B14" s="613" t="s">
        <v>282</v>
      </c>
      <c r="C14" s="614">
        <v>18075000</v>
      </c>
      <c r="D14" s="614"/>
      <c r="E14" s="601">
        <f t="shared" si="1"/>
        <v>18075000</v>
      </c>
      <c r="F14" s="614">
        <v>0</v>
      </c>
      <c r="G14" s="614"/>
      <c r="H14" s="573">
        <f t="shared" si="0"/>
        <v>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120953036.83</v>
      </c>
      <c r="D16" s="601">
        <f>SUM(D17:D18)</f>
        <v>111688169.72746797</v>
      </c>
      <c r="E16" s="601">
        <f t="shared" si="1"/>
        <v>232641206.55746797</v>
      </c>
      <c r="F16" s="601">
        <f>SUM(F17:F18)</f>
        <v>59574093.180000007</v>
      </c>
      <c r="G16" s="601">
        <f>SUM(G17:G18)</f>
        <v>123978225.740944</v>
      </c>
      <c r="H16" s="573">
        <f t="shared" si="0"/>
        <v>183552318.92094401</v>
      </c>
    </row>
    <row r="17" spans="1:8" s="3" customFormat="1">
      <c r="A17" s="269">
        <v>4.0999999999999996</v>
      </c>
      <c r="B17" s="613" t="s">
        <v>285</v>
      </c>
      <c r="C17" s="614">
        <v>80678858.920000002</v>
      </c>
      <c r="D17" s="614">
        <v>84744816.389999971</v>
      </c>
      <c r="E17" s="601">
        <f t="shared" si="1"/>
        <v>165423675.30999997</v>
      </c>
      <c r="F17" s="614">
        <v>36250931.180000007</v>
      </c>
      <c r="G17" s="614">
        <v>70321862.909999996</v>
      </c>
      <c r="H17" s="573">
        <f t="shared" si="0"/>
        <v>106572794.09</v>
      </c>
    </row>
    <row r="18" spans="1:8" s="3" customFormat="1">
      <c r="A18" s="269">
        <v>4.2</v>
      </c>
      <c r="B18" s="613" t="s">
        <v>286</v>
      </c>
      <c r="C18" s="614">
        <v>40274177.909999996</v>
      </c>
      <c r="D18" s="614">
        <v>26943353.337467998</v>
      </c>
      <c r="E18" s="601">
        <f t="shared" si="1"/>
        <v>67217531.247467995</v>
      </c>
      <c r="F18" s="614">
        <v>23323162</v>
      </c>
      <c r="G18" s="614">
        <v>53656362.830944002</v>
      </c>
      <c r="H18" s="573">
        <f t="shared" si="0"/>
        <v>76979524.830944002</v>
      </c>
    </row>
    <row r="19" spans="1:8" s="3" customFormat="1" ht="25.5">
      <c r="A19" s="269">
        <v>5</v>
      </c>
      <c r="B19" s="612" t="s">
        <v>287</v>
      </c>
      <c r="C19" s="601">
        <f>C20+C21+C22+SUM(C28:C31)</f>
        <v>9086917.8715000004</v>
      </c>
      <c r="D19" s="601">
        <f>D20+D21+D22+SUM(D28:D31)</f>
        <v>300112016.05395287</v>
      </c>
      <c r="E19" s="601">
        <f t="shared" si="1"/>
        <v>309198933.92545289</v>
      </c>
      <c r="F19" s="601">
        <f>F20+F21+F22+SUM(F28:F31)</f>
        <v>327893</v>
      </c>
      <c r="G19" s="601">
        <f>G20+G21+G22+SUM(G28:G31)</f>
        <v>349538651.52911502</v>
      </c>
      <c r="H19" s="573">
        <f t="shared" si="0"/>
        <v>349866544.52911502</v>
      </c>
    </row>
    <row r="20" spans="1:8" s="3" customFormat="1">
      <c r="A20" s="269">
        <v>5.0999999999999996</v>
      </c>
      <c r="B20" s="613" t="s">
        <v>288</v>
      </c>
      <c r="C20" s="614">
        <v>9086917.8715000004</v>
      </c>
      <c r="D20" s="614">
        <v>21876399.335161708</v>
      </c>
      <c r="E20" s="601">
        <f t="shared" si="1"/>
        <v>30963317.206661709</v>
      </c>
      <c r="F20" s="614">
        <v>327893</v>
      </c>
      <c r="G20" s="614">
        <v>6113835.2537599998</v>
      </c>
      <c r="H20" s="573">
        <f t="shared" si="0"/>
        <v>6441728.2537599998</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235878457.43448588</v>
      </c>
      <c r="E22" s="601">
        <f t="shared" si="1"/>
        <v>235878457.43448588</v>
      </c>
      <c r="F22" s="615">
        <f>SUM(F23:F27)</f>
        <v>0</v>
      </c>
      <c r="G22" s="615">
        <f>SUM(G23:G27)</f>
        <v>290340572.13146049</v>
      </c>
      <c r="H22" s="573">
        <f t="shared" si="0"/>
        <v>290340572.13146049</v>
      </c>
    </row>
    <row r="23" spans="1:8" s="3" customFormat="1">
      <c r="A23" s="269" t="s">
        <v>291</v>
      </c>
      <c r="B23" s="616" t="s">
        <v>292</v>
      </c>
      <c r="C23" s="614"/>
      <c r="D23" s="614">
        <v>34428708.760259934</v>
      </c>
      <c r="E23" s="601">
        <f t="shared" si="1"/>
        <v>34428708.760259934</v>
      </c>
      <c r="F23" s="614"/>
      <c r="G23" s="614">
        <v>42377973.418694437</v>
      </c>
      <c r="H23" s="573">
        <f t="shared" si="0"/>
        <v>42377973.418694437</v>
      </c>
    </row>
    <row r="24" spans="1:8" s="3" customFormat="1">
      <c r="A24" s="269" t="s">
        <v>293</v>
      </c>
      <c r="B24" s="616" t="s">
        <v>294</v>
      </c>
      <c r="C24" s="614"/>
      <c r="D24" s="614">
        <v>170229607.35745957</v>
      </c>
      <c r="E24" s="601">
        <f t="shared" si="1"/>
        <v>170229607.35745957</v>
      </c>
      <c r="F24" s="614"/>
      <c r="G24" s="614">
        <v>209534020.74713045</v>
      </c>
      <c r="H24" s="573">
        <f t="shared" si="0"/>
        <v>209534020.74713045</v>
      </c>
    </row>
    <row r="25" spans="1:8" s="3" customFormat="1">
      <c r="A25" s="269" t="s">
        <v>295</v>
      </c>
      <c r="B25" s="617" t="s">
        <v>296</v>
      </c>
      <c r="C25" s="614"/>
      <c r="D25" s="614">
        <v>169894.83168145333</v>
      </c>
      <c r="E25" s="601">
        <f t="shared" si="1"/>
        <v>169894.83168145333</v>
      </c>
      <c r="F25" s="614"/>
      <c r="G25" s="614">
        <v>209121.94851991421</v>
      </c>
      <c r="H25" s="573">
        <f t="shared" si="0"/>
        <v>209121.94851991421</v>
      </c>
    </row>
    <row r="26" spans="1:8" s="3" customFormat="1">
      <c r="A26" s="269" t="s">
        <v>297</v>
      </c>
      <c r="B26" s="616" t="s">
        <v>298</v>
      </c>
      <c r="C26" s="614"/>
      <c r="D26" s="614">
        <v>31050246.485084925</v>
      </c>
      <c r="E26" s="601">
        <f t="shared" si="1"/>
        <v>31050246.485084925</v>
      </c>
      <c r="F26" s="614"/>
      <c r="G26" s="614">
        <v>38219456.017115667</v>
      </c>
      <c r="H26" s="573">
        <f t="shared" si="0"/>
        <v>38219456.017115667</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23198696.415274423</v>
      </c>
      <c r="E28" s="601">
        <f t="shared" si="1"/>
        <v>23198696.415274423</v>
      </c>
      <c r="F28" s="614"/>
      <c r="G28" s="614">
        <v>39281443.499894537</v>
      </c>
      <c r="H28" s="573">
        <f t="shared" si="0"/>
        <v>39281443.499894537</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19158462.869030852</v>
      </c>
      <c r="E31" s="601">
        <f t="shared" si="1"/>
        <v>19158462.869030852</v>
      </c>
      <c r="F31" s="614"/>
      <c r="G31" s="614">
        <v>13802800.643999999</v>
      </c>
      <c r="H31" s="573">
        <f t="shared" si="0"/>
        <v>13802800.643999999</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85867.06</v>
      </c>
      <c r="D40" s="601">
        <f>SUM(D41:D44)</f>
        <v>19180.019999999997</v>
      </c>
      <c r="E40" s="601">
        <f t="shared" si="1"/>
        <v>105047.07999999999</v>
      </c>
      <c r="F40" s="601">
        <f>SUM(F41:F44)</f>
        <v>102609.49000000002</v>
      </c>
      <c r="G40" s="601">
        <f>SUM(G41:G44)</f>
        <v>5928.8000000000011</v>
      </c>
      <c r="H40" s="573">
        <f t="shared" si="0"/>
        <v>108538.29000000002</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85867.06</v>
      </c>
      <c r="D44" s="614">
        <v>19180.019999999997</v>
      </c>
      <c r="E44" s="601">
        <f t="shared" si="1"/>
        <v>105047.07999999999</v>
      </c>
      <c r="F44" s="614">
        <v>102609.49000000002</v>
      </c>
      <c r="G44" s="614">
        <v>5928.8000000000011</v>
      </c>
      <c r="H44" s="573">
        <f t="shared" si="0"/>
        <v>108538.29000000002</v>
      </c>
    </row>
    <row r="45" spans="1:8" s="3" customFormat="1">
      <c r="A45" s="269">
        <v>8</v>
      </c>
      <c r="B45" s="612" t="s">
        <v>317</v>
      </c>
      <c r="C45" s="601">
        <f>SUM(C46:C52)</f>
        <v>0</v>
      </c>
      <c r="D45" s="601">
        <f>SUM(D46:D52)</f>
        <v>15941.8</v>
      </c>
      <c r="E45" s="601">
        <f t="shared" si="1"/>
        <v>15941.8</v>
      </c>
      <c r="F45" s="601">
        <f>SUM(F46:F52)</f>
        <v>4050</v>
      </c>
      <c r="G45" s="601">
        <f>SUM(G46:G52)</f>
        <v>114019.86</v>
      </c>
      <c r="H45" s="573">
        <f t="shared" si="0"/>
        <v>118069.86</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c r="D47" s="614">
        <v>15941.8</v>
      </c>
      <c r="E47" s="601">
        <f t="shared" si="1"/>
        <v>15941.8</v>
      </c>
      <c r="F47" s="614">
        <v>4050</v>
      </c>
      <c r="G47" s="614">
        <v>114019.86</v>
      </c>
      <c r="H47" s="573">
        <f t="shared" si="0"/>
        <v>118069.86</v>
      </c>
    </row>
    <row r="48" spans="1:8" s="3" customFormat="1">
      <c r="A48" s="269">
        <v>8.3000000000000007</v>
      </c>
      <c r="B48" s="613" t="s">
        <v>320</v>
      </c>
      <c r="C48" s="614"/>
      <c r="D48" s="614"/>
      <c r="E48" s="601">
        <f t="shared" si="1"/>
        <v>0</v>
      </c>
      <c r="F48" s="614"/>
      <c r="G48" s="614"/>
      <c r="H48" s="573">
        <f t="shared" si="0"/>
        <v>0</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954</v>
      </c>
      <c r="C1" s="17"/>
      <c r="D1" s="262"/>
    </row>
    <row r="2" spans="1:8" ht="15">
      <c r="A2" s="527" t="s">
        <v>189</v>
      </c>
      <c r="B2" s="529">
        <f>'1. key ratios'!B2</f>
        <v>44926</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4Q-2022</v>
      </c>
      <c r="D5" s="530" t="str">
        <f>IF(INT(MONTH($B$2))=3, "4"&amp;"Q"&amp;"-"&amp;YEAR($B$2)-1, IF(INT(MONTH($B$2))=6, "1"&amp;"Q"&amp;"-"&amp;YEAR($B$2), IF(INT(MONTH($B$2))=9, "2"&amp;"Q"&amp;"-"&amp;YEAR($B$2),IF(INT(MONTH($B$2))=12, "3"&amp;"Q"&amp;"-"&amp;YEAR($B$2), 0))))</f>
        <v>3Q-2022</v>
      </c>
      <c r="E5" s="530" t="str">
        <f>IF(INT(MONTH($B$2))=3, "3"&amp;"Q"&amp;"-"&amp;YEAR($B$2)-1, IF(INT(MONTH($B$2))=6, "4"&amp;"Q"&amp;"-"&amp;YEAR($B$2)-1, IF(INT(MONTH($B$2))=9, "1"&amp;"Q"&amp;"-"&amp;YEAR($B$2),IF(INT(MONTH($B$2))=12, "2"&amp;"Q"&amp;"-"&amp;YEAR($B$2), 0))))</f>
        <v>2Q-2022</v>
      </c>
      <c r="F5" s="530" t="str">
        <f>IF(INT(MONTH($B$2))=3, "2"&amp;"Q"&amp;"-"&amp;YEAR($B$2)-1, IF(INT(MONTH($B$2))=6, "3"&amp;"Q"&amp;"-"&amp;YEAR($B$2)-1, IF(INT(MONTH($B$2))=9, "4"&amp;"Q"&amp;"-"&amp;YEAR($B$2)-1,IF(INT(MONTH($B$2))=12, "1"&amp;"Q"&amp;"-"&amp;YEAR($B$2), 0))))</f>
        <v>1Q-2022</v>
      </c>
      <c r="G5" s="530" t="str">
        <f>IF(INT(MONTH($B$2))=3, "1"&amp;"Q"&amp;"-"&amp;YEAR($B$2)-1, IF(INT(MONTH($B$2))=6, "2"&amp;"Q"&amp;"-"&amp;YEAR($B$2)-1, IF(INT(MONTH($B$2))=9, "3"&amp;"Q"&amp;"-"&amp;YEAR($B$2)-1,IF(INT(MONTH($B$2))=12, "4"&amp;"Q"&amp;"-"&amp;YEAR($B$2)-1, 0))))</f>
        <v>4Q-2021</v>
      </c>
    </row>
    <row r="6" spans="1:8" ht="15" customHeight="1">
      <c r="A6" s="300">
        <v>1</v>
      </c>
      <c r="B6" s="354" t="s">
        <v>192</v>
      </c>
      <c r="C6" s="620">
        <f>C7+C9+C10</f>
        <v>406190895.67474407</v>
      </c>
      <c r="D6" s="620">
        <f>D7+D9+D10</f>
        <v>426699886.35773355</v>
      </c>
      <c r="E6" s="620">
        <f t="shared" ref="E6:G6" si="0">E7+E9+E10</f>
        <v>403155201.07306492</v>
      </c>
      <c r="F6" s="620">
        <f t="shared" si="0"/>
        <v>404992363.25280714</v>
      </c>
      <c r="G6" s="621">
        <f t="shared" si="0"/>
        <v>394562713.2258141</v>
      </c>
    </row>
    <row r="7" spans="1:8" ht="15" customHeight="1">
      <c r="A7" s="300">
        <v>1.1000000000000001</v>
      </c>
      <c r="B7" s="301" t="s">
        <v>605</v>
      </c>
      <c r="C7" s="622">
        <v>356280949.50224411</v>
      </c>
      <c r="D7" s="622">
        <v>372389548.34600157</v>
      </c>
      <c r="E7" s="622">
        <v>349627642.36456496</v>
      </c>
      <c r="F7" s="622">
        <v>347402236.71780717</v>
      </c>
      <c r="G7" s="623">
        <v>338861305.43431413</v>
      </c>
    </row>
    <row r="8" spans="1:8" ht="25.5">
      <c r="A8" s="300" t="s">
        <v>252</v>
      </c>
      <c r="B8" s="302" t="s">
        <v>403</v>
      </c>
      <c r="C8" s="622"/>
      <c r="D8" s="622"/>
      <c r="E8" s="622"/>
      <c r="F8" s="622"/>
      <c r="G8" s="623"/>
    </row>
    <row r="9" spans="1:8" ht="15" customHeight="1">
      <c r="A9" s="300">
        <v>1.2</v>
      </c>
      <c r="B9" s="301" t="s">
        <v>22</v>
      </c>
      <c r="C9" s="622">
        <v>49909946.172499977</v>
      </c>
      <c r="D9" s="622">
        <v>54310338.011731997</v>
      </c>
      <c r="E9" s="622">
        <v>53527558.708499968</v>
      </c>
      <c r="F9" s="622">
        <v>57590126.534999996</v>
      </c>
      <c r="G9" s="623">
        <v>55701407.791499987</v>
      </c>
    </row>
    <row r="10" spans="1:8" ht="15" customHeight="1">
      <c r="A10" s="300">
        <v>1.3</v>
      </c>
      <c r="B10" s="355" t="s">
        <v>77</v>
      </c>
      <c r="C10" s="622">
        <v>0</v>
      </c>
      <c r="D10" s="622">
        <v>0</v>
      </c>
      <c r="E10" s="622">
        <v>0</v>
      </c>
      <c r="F10" s="622">
        <v>0</v>
      </c>
      <c r="G10" s="623">
        <v>0</v>
      </c>
    </row>
    <row r="11" spans="1:8" ht="15" customHeight="1">
      <c r="A11" s="300">
        <v>2</v>
      </c>
      <c r="B11" s="354" t="s">
        <v>193</v>
      </c>
      <c r="C11" s="624">
        <v>602030.57752229739</v>
      </c>
      <c r="D11" s="624">
        <v>491341.02778599295</v>
      </c>
      <c r="E11" s="624">
        <v>1920132.2119698769</v>
      </c>
      <c r="F11" s="624">
        <v>3352602.258583161</v>
      </c>
      <c r="G11" s="625">
        <v>1579818.9339074499</v>
      </c>
    </row>
    <row r="12" spans="1:8" ht="15" customHeight="1">
      <c r="A12" s="313">
        <v>3</v>
      </c>
      <c r="B12" s="356" t="s">
        <v>191</v>
      </c>
      <c r="C12" s="622">
        <v>40759343.110539675</v>
      </c>
      <c r="D12" s="622">
        <v>33654529.196040712</v>
      </c>
      <c r="E12" s="622">
        <v>33654529.196040712</v>
      </c>
      <c r="F12" s="622">
        <v>33654529.196040712</v>
      </c>
      <c r="G12" s="623">
        <v>33654529.196040712</v>
      </c>
    </row>
    <row r="13" spans="1:8" ht="15" customHeight="1" thickBot="1">
      <c r="A13" s="111">
        <v>4</v>
      </c>
      <c r="B13" s="357" t="s">
        <v>253</v>
      </c>
      <c r="C13" s="626">
        <f>C6+C11+C12</f>
        <v>447552269.36280602</v>
      </c>
      <c r="D13" s="626">
        <f>D6+D11+D12</f>
        <v>460845756.58156025</v>
      </c>
      <c r="E13" s="626">
        <f t="shared" ref="E13:G13" si="1">E6+E11+E12</f>
        <v>438729862.48107547</v>
      </c>
      <c r="F13" s="626">
        <f t="shared" si="1"/>
        <v>441999494.70743102</v>
      </c>
      <c r="G13" s="627">
        <f t="shared" si="1"/>
        <v>429797061.35576224</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954</v>
      </c>
    </row>
    <row r="2" spans="1:8" ht="15.75">
      <c r="A2" s="527" t="s">
        <v>189</v>
      </c>
      <c r="B2" s="529">
        <f>'1. key ratios'!B2</f>
        <v>44926</v>
      </c>
    </row>
    <row r="4" spans="1:8" ht="30.75" thickBot="1">
      <c r="A4" s="207" t="s">
        <v>410</v>
      </c>
      <c r="B4" s="44" t="s">
        <v>149</v>
      </c>
      <c r="C4" s="14"/>
    </row>
    <row r="5" spans="1:8" ht="15.75">
      <c r="A5" s="11"/>
      <c r="B5" s="349" t="s">
        <v>150</v>
      </c>
      <c r="C5" s="361" t="s">
        <v>619</v>
      </c>
    </row>
    <row r="6" spans="1:8">
      <c r="A6" s="15">
        <v>1</v>
      </c>
      <c r="B6" s="45" t="s">
        <v>1029</v>
      </c>
      <c r="C6" s="358" t="s">
        <v>960</v>
      </c>
    </row>
    <row r="7" spans="1:8">
      <c r="A7" s="15">
        <v>2</v>
      </c>
      <c r="B7" s="45" t="s">
        <v>1033</v>
      </c>
      <c r="C7" s="358" t="s">
        <v>961</v>
      </c>
    </row>
    <row r="8" spans="1:8">
      <c r="A8" s="15">
        <v>3</v>
      </c>
      <c r="B8" s="45" t="s">
        <v>957</v>
      </c>
      <c r="C8" s="358" t="s">
        <v>961</v>
      </c>
    </row>
    <row r="9" spans="1:8">
      <c r="A9" s="15">
        <v>4</v>
      </c>
      <c r="B9" s="45" t="s">
        <v>1030</v>
      </c>
      <c r="C9" s="358" t="s">
        <v>961</v>
      </c>
    </row>
    <row r="10" spans="1:8">
      <c r="A10" s="15">
        <v>5</v>
      </c>
      <c r="B10" s="45" t="s">
        <v>1031</v>
      </c>
      <c r="C10" s="358" t="s">
        <v>962</v>
      </c>
    </row>
    <row r="11" spans="1:8">
      <c r="A11" s="15">
        <v>6</v>
      </c>
      <c r="B11" s="45" t="s">
        <v>956</v>
      </c>
      <c r="C11" s="358" t="s">
        <v>962</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620</v>
      </c>
    </row>
    <row r="18" spans="1:3" ht="15.75">
      <c r="A18" s="15">
        <v>1</v>
      </c>
      <c r="B18" s="28" t="s">
        <v>1032</v>
      </c>
      <c r="C18" s="359" t="s">
        <v>963</v>
      </c>
    </row>
    <row r="19" spans="1:3" ht="15.75">
      <c r="A19" s="15">
        <v>2</v>
      </c>
      <c r="B19" s="28" t="s">
        <v>958</v>
      </c>
      <c r="C19" s="359" t="s">
        <v>964</v>
      </c>
    </row>
    <row r="20" spans="1:3" ht="15.75">
      <c r="A20" s="15">
        <v>3</v>
      </c>
      <c r="B20" s="28" t="s">
        <v>959</v>
      </c>
      <c r="C20" s="359" t="s">
        <v>965</v>
      </c>
    </row>
    <row r="21" spans="1:3" ht="15.75">
      <c r="A21" s="15">
        <v>4</v>
      </c>
      <c r="B21" s="28" t="s">
        <v>1027</v>
      </c>
      <c r="C21" s="359" t="s">
        <v>1028</v>
      </c>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966</v>
      </c>
      <c r="C30" s="630">
        <v>1</v>
      </c>
    </row>
    <row r="31" spans="1:3" ht="15.75" customHeight="1">
      <c r="A31" s="15"/>
      <c r="B31" s="45"/>
      <c r="C31" s="46"/>
    </row>
    <row r="32" spans="1:3" ht="29.25" customHeight="1">
      <c r="A32" s="15"/>
      <c r="B32" s="784" t="s">
        <v>273</v>
      </c>
      <c r="C32" s="785"/>
    </row>
    <row r="33" spans="1:3">
      <c r="A33" s="631">
        <v>1</v>
      </c>
      <c r="B33" s="629" t="s">
        <v>967</v>
      </c>
      <c r="C33" s="632">
        <v>0.37309999999999999</v>
      </c>
    </row>
    <row r="34" spans="1:3" ht="16.5" thickBot="1">
      <c r="A34" s="16">
        <v>2</v>
      </c>
      <c r="B34" s="47" t="s">
        <v>968</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954</v>
      </c>
    </row>
    <row r="2" spans="1:7" s="22" customFormat="1" ht="15.75" customHeight="1">
      <c r="A2" s="527" t="s">
        <v>189</v>
      </c>
      <c r="B2" s="529">
        <f>'1. key ratios'!B2</f>
        <v>44926</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3279127.22</v>
      </c>
      <c r="D8" s="636"/>
      <c r="E8" s="634">
        <f>C8-D8</f>
        <v>3279127.22</v>
      </c>
    </row>
    <row r="9" spans="1:7">
      <c r="A9" s="278">
        <v>2</v>
      </c>
      <c r="B9" s="279" t="s">
        <v>155</v>
      </c>
      <c r="C9" s="636">
        <f>'2. RC'!E8</f>
        <v>43929551.57</v>
      </c>
      <c r="D9" s="636"/>
      <c r="E9" s="634">
        <f t="shared" ref="E9:E20" si="0">C9-D9</f>
        <v>43929551.57</v>
      </c>
    </row>
    <row r="10" spans="1:7">
      <c r="A10" s="278">
        <v>3</v>
      </c>
      <c r="B10" s="279" t="s">
        <v>227</v>
      </c>
      <c r="C10" s="636">
        <f>'2. RC'!E9</f>
        <v>49605717.840879999</v>
      </c>
      <c r="D10" s="636"/>
      <c r="E10" s="634">
        <f t="shared" si="0"/>
        <v>49605717.840879999</v>
      </c>
    </row>
    <row r="11" spans="1:7">
      <c r="A11" s="278">
        <v>4</v>
      </c>
      <c r="B11" s="279" t="s">
        <v>185</v>
      </c>
      <c r="C11" s="636">
        <f>'2. RC'!E10</f>
        <v>0</v>
      </c>
      <c r="D11" s="636"/>
      <c r="E11" s="634">
        <f t="shared" si="0"/>
        <v>0</v>
      </c>
    </row>
    <row r="12" spans="1:7">
      <c r="A12" s="278">
        <v>5</v>
      </c>
      <c r="B12" s="279" t="s">
        <v>157</v>
      </c>
      <c r="C12" s="636">
        <f>'2. RC'!E11</f>
        <v>38420708.158358827</v>
      </c>
      <c r="D12" s="636"/>
      <c r="E12" s="634">
        <f t="shared" si="0"/>
        <v>38420708.158358827</v>
      </c>
    </row>
    <row r="13" spans="1:7">
      <c r="A13" s="278">
        <v>6.1</v>
      </c>
      <c r="B13" s="279" t="s">
        <v>158</v>
      </c>
      <c r="C13" s="637">
        <f>'2. RC'!E12</f>
        <v>270496996.38999999</v>
      </c>
      <c r="D13" s="636"/>
      <c r="E13" s="634">
        <f t="shared" si="0"/>
        <v>270496996.38999999</v>
      </c>
    </row>
    <row r="14" spans="1:7">
      <c r="A14" s="278">
        <v>6.2</v>
      </c>
      <c r="B14" s="280" t="s">
        <v>159</v>
      </c>
      <c r="C14" s="637">
        <f>'2. RC'!E13</f>
        <v>-7298361.8076000009</v>
      </c>
      <c r="D14" s="636"/>
      <c r="E14" s="634">
        <f t="shared" si="0"/>
        <v>-7298361.8076000009</v>
      </c>
    </row>
    <row r="15" spans="1:7">
      <c r="A15" s="278">
        <v>6</v>
      </c>
      <c r="B15" s="279" t="s">
        <v>226</v>
      </c>
      <c r="C15" s="636">
        <f>'2. RC'!E14</f>
        <v>263198634.58239996</v>
      </c>
      <c r="D15" s="636"/>
      <c r="E15" s="634">
        <f t="shared" si="0"/>
        <v>263198634.58239996</v>
      </c>
    </row>
    <row r="16" spans="1:7">
      <c r="A16" s="278">
        <v>7</v>
      </c>
      <c r="B16" s="279" t="s">
        <v>161</v>
      </c>
      <c r="C16" s="636">
        <f>'2. RC'!E15</f>
        <v>2326782.0487250434</v>
      </c>
      <c r="D16" s="636"/>
      <c r="E16" s="634">
        <f t="shared" si="0"/>
        <v>2326782.0487250434</v>
      </c>
    </row>
    <row r="17" spans="1:7">
      <c r="A17" s="278">
        <v>8</v>
      </c>
      <c r="B17" s="279" t="s">
        <v>162</v>
      </c>
      <c r="C17" s="636">
        <f>'2. RC'!E16</f>
        <v>569825.30999999994</v>
      </c>
      <c r="D17" s="636"/>
      <c r="E17" s="634">
        <f t="shared" si="0"/>
        <v>569825.30999999994</v>
      </c>
      <c r="F17" s="6"/>
      <c r="G17" s="6"/>
    </row>
    <row r="18" spans="1:7">
      <c r="A18" s="278">
        <v>9</v>
      </c>
      <c r="B18" s="279" t="s">
        <v>163</v>
      </c>
      <c r="C18" s="636">
        <f>'2. RC'!E17</f>
        <v>0</v>
      </c>
      <c r="D18" s="636"/>
      <c r="E18" s="634">
        <f t="shared" si="0"/>
        <v>0</v>
      </c>
      <c r="G18" s="6"/>
    </row>
    <row r="19" spans="1:7" ht="25.5">
      <c r="A19" s="278">
        <v>10</v>
      </c>
      <c r="B19" s="279" t="s">
        <v>164</v>
      </c>
      <c r="C19" s="636">
        <f>'2. RC'!E18</f>
        <v>6931687.4800000004</v>
      </c>
      <c r="D19" s="636">
        <v>241978.79</v>
      </c>
      <c r="E19" s="634">
        <f t="shared" si="0"/>
        <v>6689708.6900000004</v>
      </c>
      <c r="G19" s="6"/>
    </row>
    <row r="20" spans="1:7">
      <c r="A20" s="278">
        <v>11</v>
      </c>
      <c r="B20" s="279" t="s">
        <v>165</v>
      </c>
      <c r="C20" s="636">
        <f>'2. RC'!E19</f>
        <v>5157693.8725049207</v>
      </c>
      <c r="D20" s="636"/>
      <c r="E20" s="634">
        <f t="shared" si="0"/>
        <v>5157693.8725049207</v>
      </c>
    </row>
    <row r="21" spans="1:7" ht="39" thickBot="1">
      <c r="A21" s="281"/>
      <c r="B21" s="282" t="s">
        <v>485</v>
      </c>
      <c r="C21" s="638">
        <f>SUM(C8:C12, C15:C20)</f>
        <v>413419728.08286881</v>
      </c>
      <c r="D21" s="638">
        <f>SUM(D8:D12, D15:D20)</f>
        <v>241978.79</v>
      </c>
      <c r="E21" s="635">
        <f>SUM(E8:E12, E15:E20)</f>
        <v>413177749.29286879</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954</v>
      </c>
    </row>
    <row r="2" spans="1:6" s="22" customFormat="1" ht="15.75" customHeight="1">
      <c r="A2" s="527" t="s">
        <v>189</v>
      </c>
      <c r="B2" s="529">
        <f>'1. key ratios'!B2</f>
        <v>44926</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413177749.29286879</v>
      </c>
    </row>
    <row r="6" spans="1:6" s="160" customFormat="1">
      <c r="A6" s="102">
        <v>2.1</v>
      </c>
      <c r="B6" s="177" t="s">
        <v>267</v>
      </c>
      <c r="C6" s="640">
        <f>'4. Off-Balance'!E8+'4. Off-Balance'!E10</f>
        <v>95990071.029999986</v>
      </c>
    </row>
    <row r="7" spans="1:6" s="4" customFormat="1" ht="25.5" outlineLevel="1">
      <c r="A7" s="176">
        <v>2.2000000000000002</v>
      </c>
      <c r="B7" s="172" t="s">
        <v>268</v>
      </c>
      <c r="C7" s="641"/>
    </row>
    <row r="8" spans="1:6" s="4" customFormat="1" ht="26.25">
      <c r="A8" s="176">
        <v>3</v>
      </c>
      <c r="B8" s="173" t="s">
        <v>435</v>
      </c>
      <c r="C8" s="642">
        <f>SUM(C5:C7)</f>
        <v>509167820.32286876</v>
      </c>
    </row>
    <row r="9" spans="1:6" s="160" customFormat="1">
      <c r="A9" s="102">
        <v>4</v>
      </c>
      <c r="B9" s="180" t="s">
        <v>264</v>
      </c>
      <c r="C9" s="640">
        <v>5077386.1959343012</v>
      </c>
    </row>
    <row r="10" spans="1:6" s="4" customFormat="1" ht="25.5" outlineLevel="1">
      <c r="A10" s="176">
        <v>5.0999999999999996</v>
      </c>
      <c r="B10" s="172" t="s">
        <v>274</v>
      </c>
      <c r="C10" s="643">
        <v>-38634110.840000018</v>
      </c>
    </row>
    <row r="11" spans="1:6" s="4" customFormat="1" ht="25.5" outlineLevel="1">
      <c r="A11" s="176">
        <v>5.2</v>
      </c>
      <c r="B11" s="172" t="s">
        <v>275</v>
      </c>
      <c r="C11" s="641"/>
    </row>
    <row r="12" spans="1:6" s="4" customFormat="1">
      <c r="A12" s="176">
        <v>6</v>
      </c>
      <c r="B12" s="178" t="s">
        <v>607</v>
      </c>
      <c r="C12" s="641">
        <v>0</v>
      </c>
    </row>
    <row r="13" spans="1:6" s="4" customFormat="1" ht="15.75" thickBot="1">
      <c r="A13" s="179">
        <v>7</v>
      </c>
      <c r="B13" s="174" t="s">
        <v>265</v>
      </c>
      <c r="C13" s="644">
        <f>SUM(C8:C12)</f>
        <v>475611095.67880303</v>
      </c>
    </row>
    <row r="15" spans="1:6">
      <c r="B15" s="24"/>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Em10CkkgmhSyGGzzKzGctBoKSeP2sL5/pxmfHTB4eHo=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wMC44bVB4RnYVljOXT2jDFLa7XQwB2JGu5YVYkAszAA=</DigestValue>
    </Reference>
  </SignedInfo>
  <SignatureValue>AHbSHB044jiSSLIF/ylbstmp0avL4/Gf8RrlX1NuGNCR1SQtyN0uymEgDh/U+YJgPHg1f6HBugyA
VZhvZgCvvgT8cX8hMTqhFyid82AUcoXMIN+Nrkd7G7fFnpTDaugpXBcc68Nb/20j27wm0SYN4TIi
FPgr4H+osQgBjIpQ6sZuTg1z2cYpvZIFOvmaEIodcc2YdzrmJxCU9Vk4FhoKNDOrZkHCbUu6wwY7
Eu6sRC485KxVxeiCFpVq2++28u3s/VREIZK6VCe05F4Svl9jAjsohBFEnJ1JVG+tSZKPCuVB8HRd
W/ZUOBd6P8zK2zcDlGkM5wnZp8wGwRp0BQPySA==</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a78oo+87VwoWpur+5fMgcxYj78HRocQigzf/BiYfnWw=</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DFIpZmItsHYyqNYsUSCnN+nhBdvpYZ05SvVK6rQtpjE=</DigestValue>
      </Reference>
      <Reference URI="/xl/styles.xml?ContentType=application/vnd.openxmlformats-officedocument.spreadsheetml.styles+xml">
        <DigestMethod Algorithm="http://www.w3.org/2001/04/xmlenc#sha256"/>
        <DigestValue>SpRBo0QK11q/RQfKeYTll8WU91fTivQ5Yb+UlXyl9Bo=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SitBYs+u2tzp+iqH7W051+xcySOoeNTvskf0Vmi3oFk=</DigestValue>
      </Reference>
      <Reference URI="/xl/worksheets/sheet10.xml?ContentType=application/vnd.openxmlformats-officedocument.spreadsheetml.worksheet+xml">
        <DigestMethod Algorithm="http://www.w3.org/2001/04/xmlenc#sha256"/>
        <DigestValue>nxry6BwoMwbBu4UcCiYcS/Xkj//d3V5xcFkZbpn+7Tw=</DigestValue>
      </Reference>
      <Reference URI="/xl/worksheets/sheet11.xml?ContentType=application/vnd.openxmlformats-officedocument.spreadsheetml.worksheet+xml">
        <DigestMethod Algorithm="http://www.w3.org/2001/04/xmlenc#sha256"/>
        <DigestValue>SBeiRgwu5weOyr/xCD+BNUYfErnx/ui3gIRx47wvRtc=</DigestValue>
      </Reference>
      <Reference URI="/xl/worksheets/sheet12.xml?ContentType=application/vnd.openxmlformats-officedocument.spreadsheetml.worksheet+xml">
        <DigestMethod Algorithm="http://www.w3.org/2001/04/xmlenc#sha256"/>
        <DigestValue>UCIXWPygFQrj1/YE5hh8rhpErx60f/05wNfRx0/Hfxg=</DigestValue>
      </Reference>
      <Reference URI="/xl/worksheets/sheet13.xml?ContentType=application/vnd.openxmlformats-officedocument.spreadsheetml.worksheet+xml">
        <DigestMethod Algorithm="http://www.w3.org/2001/04/xmlenc#sha256"/>
        <DigestValue>aw78Ys5Ox3rvY+599og6d7M+sl9KYAzH/1BOJ5FAEvs=</DigestValue>
      </Reference>
      <Reference URI="/xl/worksheets/sheet14.xml?ContentType=application/vnd.openxmlformats-officedocument.spreadsheetml.worksheet+xml">
        <DigestMethod Algorithm="http://www.w3.org/2001/04/xmlenc#sha256"/>
        <DigestValue>OoGvqRaguVFckZd86dWgc6DHTKfK/bSZ0xCeixB4Fhs=</DigestValue>
      </Reference>
      <Reference URI="/xl/worksheets/sheet15.xml?ContentType=application/vnd.openxmlformats-officedocument.spreadsheetml.worksheet+xml">
        <DigestMethod Algorithm="http://www.w3.org/2001/04/xmlenc#sha256"/>
        <DigestValue>cKUYYzFB4rauCvxjcxBCCx7N5WHP6KA3r46zEJ7GMNE=</DigestValue>
      </Reference>
      <Reference URI="/xl/worksheets/sheet16.xml?ContentType=application/vnd.openxmlformats-officedocument.spreadsheetml.worksheet+xml">
        <DigestMethod Algorithm="http://www.w3.org/2001/04/xmlenc#sha256"/>
        <DigestValue>5fMNAA57HpCNqzA8o4Ho6iGoGWsLOBZP3aNJF4Yybi0=</DigestValue>
      </Reference>
      <Reference URI="/xl/worksheets/sheet17.xml?ContentType=application/vnd.openxmlformats-officedocument.spreadsheetml.worksheet+xml">
        <DigestMethod Algorithm="http://www.w3.org/2001/04/xmlenc#sha256"/>
        <DigestValue>8On3zEDCkRt26Rh73P5ZNefAq6RKtEzCAUk2ArsdzPA=</DigestValue>
      </Reference>
      <Reference URI="/xl/worksheets/sheet18.xml?ContentType=application/vnd.openxmlformats-officedocument.spreadsheetml.worksheet+xml">
        <DigestMethod Algorithm="http://www.w3.org/2001/04/xmlenc#sha256"/>
        <DigestValue>nAm/rnairpIQP+7prULx/8NaT7fPgvnRHxCPUcLWjeY=</DigestValue>
      </Reference>
      <Reference URI="/xl/worksheets/sheet19.xml?ContentType=application/vnd.openxmlformats-officedocument.spreadsheetml.worksheet+xml">
        <DigestMethod Algorithm="http://www.w3.org/2001/04/xmlenc#sha256"/>
        <DigestValue>ZHr4w5vC0VsXi/YSKf+YjycvaMh0E9TusUeKZvr6NzI=</DigestValue>
      </Reference>
      <Reference URI="/xl/worksheets/sheet2.xml?ContentType=application/vnd.openxmlformats-officedocument.spreadsheetml.worksheet+xml">
        <DigestMethod Algorithm="http://www.w3.org/2001/04/xmlenc#sha256"/>
        <DigestValue>hVp5rXJ0zWKOSWm1xzShx+Gt3dcsUJno6zGhTgvaJAo=</DigestValue>
      </Reference>
      <Reference URI="/xl/worksheets/sheet20.xml?ContentType=application/vnd.openxmlformats-officedocument.spreadsheetml.worksheet+xml">
        <DigestMethod Algorithm="http://www.w3.org/2001/04/xmlenc#sha256"/>
        <DigestValue>2RAU9wjepNUa7jXDtHPrpc7LYYD5Oo4LMoPAeZ905K8=</DigestValue>
      </Reference>
      <Reference URI="/xl/worksheets/sheet21.xml?ContentType=application/vnd.openxmlformats-officedocument.spreadsheetml.worksheet+xml">
        <DigestMethod Algorithm="http://www.w3.org/2001/04/xmlenc#sha256"/>
        <DigestValue>sPEwTBCboGrZHBhjt5yY5LpKlhjg1xOSnBGiT8EIAPc=</DigestValue>
      </Reference>
      <Reference URI="/xl/worksheets/sheet22.xml?ContentType=application/vnd.openxmlformats-officedocument.spreadsheetml.worksheet+xml">
        <DigestMethod Algorithm="http://www.w3.org/2001/04/xmlenc#sha256"/>
        <DigestValue>ALsE0qodanX6z05UpTIChpfoTlOV5bN8ifUkeR1+kMs=</DigestValue>
      </Reference>
      <Reference URI="/xl/worksheets/sheet23.xml?ContentType=application/vnd.openxmlformats-officedocument.spreadsheetml.worksheet+xml">
        <DigestMethod Algorithm="http://www.w3.org/2001/04/xmlenc#sha256"/>
        <DigestValue>/zslyUnit8Fg+CL6wsRkq6SQ5F33D5rxeK3U5EACfs4=</DigestValue>
      </Reference>
      <Reference URI="/xl/worksheets/sheet24.xml?ContentType=application/vnd.openxmlformats-officedocument.spreadsheetml.worksheet+xml">
        <DigestMethod Algorithm="http://www.w3.org/2001/04/xmlenc#sha256"/>
        <DigestValue>s6ugwrWzO+tsWxPAeaeKHlBaQb7s3+FrhSA1i9LUdKM=</DigestValue>
      </Reference>
      <Reference URI="/xl/worksheets/sheet25.xml?ContentType=application/vnd.openxmlformats-officedocument.spreadsheetml.worksheet+xml">
        <DigestMethod Algorithm="http://www.w3.org/2001/04/xmlenc#sha256"/>
        <DigestValue>xSiCRGDZ16tKgJYhF/kW9XE6PCTf6scIGAHz9J+niSg=</DigestValue>
      </Reference>
      <Reference URI="/xl/worksheets/sheet26.xml?ContentType=application/vnd.openxmlformats-officedocument.spreadsheetml.worksheet+xml">
        <DigestMethod Algorithm="http://www.w3.org/2001/04/xmlenc#sha256"/>
        <DigestValue>WOnrGbgyNSwOUlwgQ7nFP79wXwGQl7Yu7wI51fpCSQo=</DigestValue>
      </Reference>
      <Reference URI="/xl/worksheets/sheet27.xml?ContentType=application/vnd.openxmlformats-officedocument.spreadsheetml.worksheet+xml">
        <DigestMethod Algorithm="http://www.w3.org/2001/04/xmlenc#sha256"/>
        <DigestValue>D04YhePgQk743U2MbvOz2vCo/tKpQBnX8Jp0cRMLf1g=</DigestValue>
      </Reference>
      <Reference URI="/xl/worksheets/sheet28.xml?ContentType=application/vnd.openxmlformats-officedocument.spreadsheetml.worksheet+xml">
        <DigestMethod Algorithm="http://www.w3.org/2001/04/xmlenc#sha256"/>
        <DigestValue>KUaL3v6kD6r1wtWP431i1OrUKazU7/d1npljgMcNavo=</DigestValue>
      </Reference>
      <Reference URI="/xl/worksheets/sheet29.xml?ContentType=application/vnd.openxmlformats-officedocument.spreadsheetml.worksheet+xml">
        <DigestMethod Algorithm="http://www.w3.org/2001/04/xmlenc#sha256"/>
        <DigestValue>s9x3IdWci6FLZi9KcxEbVRBRYNy0hFZBVzznGc8se2E=</DigestValue>
      </Reference>
      <Reference URI="/xl/worksheets/sheet3.xml?ContentType=application/vnd.openxmlformats-officedocument.spreadsheetml.worksheet+xml">
        <DigestMethod Algorithm="http://www.w3.org/2001/04/xmlenc#sha256"/>
        <DigestValue>ELfABQl7QeYOzsKQ99lqhPjAiopiwuRnQe9E1Pd4tFo=</DigestValue>
      </Reference>
      <Reference URI="/xl/worksheets/sheet30.xml?ContentType=application/vnd.openxmlformats-officedocument.spreadsheetml.worksheet+xml">
        <DigestMethod Algorithm="http://www.w3.org/2001/04/xmlenc#sha256"/>
        <DigestValue>fQjfbltt8EYT+n8cIApIU1/VwwyYR21sqZYGEvlYMt4=</DigestValue>
      </Reference>
      <Reference URI="/xl/worksheets/sheet4.xml?ContentType=application/vnd.openxmlformats-officedocument.spreadsheetml.worksheet+xml">
        <DigestMethod Algorithm="http://www.w3.org/2001/04/xmlenc#sha256"/>
        <DigestValue>zNc2+/PI5B3XDOG5bDBM0G3GCXEB/A8ul4w/sCC2UKE=</DigestValue>
      </Reference>
      <Reference URI="/xl/worksheets/sheet5.xml?ContentType=application/vnd.openxmlformats-officedocument.spreadsheetml.worksheet+xml">
        <DigestMethod Algorithm="http://www.w3.org/2001/04/xmlenc#sha256"/>
        <DigestValue>q9uUYO7ogCeCqzFRRKei4hkXWeEVk8Bdkef6Bk39Hik=</DigestValue>
      </Reference>
      <Reference URI="/xl/worksheets/sheet6.xml?ContentType=application/vnd.openxmlformats-officedocument.spreadsheetml.worksheet+xml">
        <DigestMethod Algorithm="http://www.w3.org/2001/04/xmlenc#sha256"/>
        <DigestValue>rh8uGLY4ojYeDeHs3qHDgKrBUI6/Q4BBxc1rPjcXh1o=</DigestValue>
      </Reference>
      <Reference URI="/xl/worksheets/sheet7.xml?ContentType=application/vnd.openxmlformats-officedocument.spreadsheetml.worksheet+xml">
        <DigestMethod Algorithm="http://www.w3.org/2001/04/xmlenc#sha256"/>
        <DigestValue>O0osNL79NAS0/nxekJjl58oFWArzt39srsFUpLffb3E=</DigestValue>
      </Reference>
      <Reference URI="/xl/worksheets/sheet8.xml?ContentType=application/vnd.openxmlformats-officedocument.spreadsheetml.worksheet+xml">
        <DigestMethod Algorithm="http://www.w3.org/2001/04/xmlenc#sha256"/>
        <DigestValue>2tTUh3R9NjDezdwZeB3RJlxCkd+2EX/p+VTLQ1bzLl4=</DigestValue>
      </Reference>
      <Reference URI="/xl/worksheets/sheet9.xml?ContentType=application/vnd.openxmlformats-officedocument.spreadsheetml.worksheet+xml">
        <DigestMethod Algorithm="http://www.w3.org/2001/04/xmlenc#sha256"/>
        <DigestValue>SHB06ZxkHyeBfXK6pSHJiu3swJp0O2h8CiZtQR+I9/A=</DigestValue>
      </Reference>
    </Manifest>
    <SignatureProperties>
      <SignatureProperty Id="idSignatureTime" Target="#idPackageSignature">
        <mdssi:SignatureTime xmlns:mdssi="http://schemas.openxmlformats.org/package/2006/digital-signature">
          <mdssi:Format>YYYY-MM-DDThh:mm:ssTZD</mdssi:Format>
          <mdssi:Value>2023-02-16T07:54:34Z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2023-02-16T07:54:34Z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D7z3rrBSxCcJUy5ig7g35WoeXfUqjZrHffYxAWYDlvk=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D2OfoHCQBHXp+o872Wvti1AYeOgSUPEz6AJpI1YmLRM=</DigestValue>
    </Reference>
  </SignedInfo>
  <SignatureValue>wBWMDfdEkXpMjccwv/c+O2fZO/oKnbUiTqQBjkBs7ngINcE6a8PfuLkuWf22AA4wROwOcVECYPwg
mcOu/+CAUUmklSJEssQlKQCDIZ1LkF9biRqEZh69BV8pYPONPZNyLri++jTCyejdlIVRuCLW/DNh
3CPRGqq3sAV8ZnwOnKe5QOUKm9wDfJXUB48qSzptI/5qwG9DKe/3YMEyw0KD3sTgIyAlpfEdE5Yg
zD8CTDGf7Pz5ajkXcW2dUcXmFxis7nkSp8OKP882oDJufveueBv7Mt4GmB9MlpxGJvfzVQcAYrVh
Es/vrhULhvYzAc/zjJmFfatPiOUcdw+4Wd14KQ==</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a78oo+87VwoWpur+5fMgcxYj78HRocQigzf/BiYfnWw=</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DFIpZmItsHYyqNYsUSCnN+nhBdvpYZ05SvVK6rQtpjE=</DigestValue>
      </Reference>
      <Reference URI="/xl/styles.xml?ContentType=application/vnd.openxmlformats-officedocument.spreadsheetml.styles+xml">
        <DigestMethod Algorithm="http://www.w3.org/2001/04/xmlenc#sha256"/>
        <DigestValue>SpRBo0QK11q/RQfKeYTll8WU91fTivQ5Yb+UlXyl9Bo=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SitBYs+u2tzp+iqH7W051+xcySOoeNTvskf0Vmi3oFk=</DigestValue>
      </Reference>
      <Reference URI="/xl/worksheets/sheet10.xml?ContentType=application/vnd.openxmlformats-officedocument.spreadsheetml.worksheet+xml">
        <DigestMethod Algorithm="http://www.w3.org/2001/04/xmlenc#sha256"/>
        <DigestValue>nxry6BwoMwbBu4UcCiYcS/Xkj//d3V5xcFkZbpn+7Tw=</DigestValue>
      </Reference>
      <Reference URI="/xl/worksheets/sheet11.xml?ContentType=application/vnd.openxmlformats-officedocument.spreadsheetml.worksheet+xml">
        <DigestMethod Algorithm="http://www.w3.org/2001/04/xmlenc#sha256"/>
        <DigestValue>SBeiRgwu5weOyr/xCD+BNUYfErnx/ui3gIRx47wvRtc=</DigestValue>
      </Reference>
      <Reference URI="/xl/worksheets/sheet12.xml?ContentType=application/vnd.openxmlformats-officedocument.spreadsheetml.worksheet+xml">
        <DigestMethod Algorithm="http://www.w3.org/2001/04/xmlenc#sha256"/>
        <DigestValue>UCIXWPygFQrj1/YE5hh8rhpErx60f/05wNfRx0/Hfxg=</DigestValue>
      </Reference>
      <Reference URI="/xl/worksheets/sheet13.xml?ContentType=application/vnd.openxmlformats-officedocument.spreadsheetml.worksheet+xml">
        <DigestMethod Algorithm="http://www.w3.org/2001/04/xmlenc#sha256"/>
        <DigestValue>aw78Ys5Ox3rvY+599og6d7M+sl9KYAzH/1BOJ5FAEvs=</DigestValue>
      </Reference>
      <Reference URI="/xl/worksheets/sheet14.xml?ContentType=application/vnd.openxmlformats-officedocument.spreadsheetml.worksheet+xml">
        <DigestMethod Algorithm="http://www.w3.org/2001/04/xmlenc#sha256"/>
        <DigestValue>OoGvqRaguVFckZd86dWgc6DHTKfK/bSZ0xCeixB4Fhs=</DigestValue>
      </Reference>
      <Reference URI="/xl/worksheets/sheet15.xml?ContentType=application/vnd.openxmlformats-officedocument.spreadsheetml.worksheet+xml">
        <DigestMethod Algorithm="http://www.w3.org/2001/04/xmlenc#sha256"/>
        <DigestValue>cKUYYzFB4rauCvxjcxBCCx7N5WHP6KA3r46zEJ7GMNE=</DigestValue>
      </Reference>
      <Reference URI="/xl/worksheets/sheet16.xml?ContentType=application/vnd.openxmlformats-officedocument.spreadsheetml.worksheet+xml">
        <DigestMethod Algorithm="http://www.w3.org/2001/04/xmlenc#sha256"/>
        <DigestValue>5fMNAA57HpCNqzA8o4Ho6iGoGWsLOBZP3aNJF4Yybi0=</DigestValue>
      </Reference>
      <Reference URI="/xl/worksheets/sheet17.xml?ContentType=application/vnd.openxmlformats-officedocument.spreadsheetml.worksheet+xml">
        <DigestMethod Algorithm="http://www.w3.org/2001/04/xmlenc#sha256"/>
        <DigestValue>8On3zEDCkRt26Rh73P5ZNefAq6RKtEzCAUk2ArsdzPA=</DigestValue>
      </Reference>
      <Reference URI="/xl/worksheets/sheet18.xml?ContentType=application/vnd.openxmlformats-officedocument.spreadsheetml.worksheet+xml">
        <DigestMethod Algorithm="http://www.w3.org/2001/04/xmlenc#sha256"/>
        <DigestValue>nAm/rnairpIQP+7prULx/8NaT7fPgvnRHxCPUcLWjeY=</DigestValue>
      </Reference>
      <Reference URI="/xl/worksheets/sheet19.xml?ContentType=application/vnd.openxmlformats-officedocument.spreadsheetml.worksheet+xml">
        <DigestMethod Algorithm="http://www.w3.org/2001/04/xmlenc#sha256"/>
        <DigestValue>ZHr4w5vC0VsXi/YSKf+YjycvaMh0E9TusUeKZvr6NzI=</DigestValue>
      </Reference>
      <Reference URI="/xl/worksheets/sheet2.xml?ContentType=application/vnd.openxmlformats-officedocument.spreadsheetml.worksheet+xml">
        <DigestMethod Algorithm="http://www.w3.org/2001/04/xmlenc#sha256"/>
        <DigestValue>hVp5rXJ0zWKOSWm1xzShx+Gt3dcsUJno6zGhTgvaJAo=</DigestValue>
      </Reference>
      <Reference URI="/xl/worksheets/sheet20.xml?ContentType=application/vnd.openxmlformats-officedocument.spreadsheetml.worksheet+xml">
        <DigestMethod Algorithm="http://www.w3.org/2001/04/xmlenc#sha256"/>
        <DigestValue>2RAU9wjepNUa7jXDtHPrpc7LYYD5Oo4LMoPAeZ905K8=</DigestValue>
      </Reference>
      <Reference URI="/xl/worksheets/sheet21.xml?ContentType=application/vnd.openxmlformats-officedocument.spreadsheetml.worksheet+xml">
        <DigestMethod Algorithm="http://www.w3.org/2001/04/xmlenc#sha256"/>
        <DigestValue>sPEwTBCboGrZHBhjt5yY5LpKlhjg1xOSnBGiT8EIAPc=</DigestValue>
      </Reference>
      <Reference URI="/xl/worksheets/sheet22.xml?ContentType=application/vnd.openxmlformats-officedocument.spreadsheetml.worksheet+xml">
        <DigestMethod Algorithm="http://www.w3.org/2001/04/xmlenc#sha256"/>
        <DigestValue>ALsE0qodanX6z05UpTIChpfoTlOV5bN8ifUkeR1+kMs=</DigestValue>
      </Reference>
      <Reference URI="/xl/worksheets/sheet23.xml?ContentType=application/vnd.openxmlformats-officedocument.spreadsheetml.worksheet+xml">
        <DigestMethod Algorithm="http://www.w3.org/2001/04/xmlenc#sha256"/>
        <DigestValue>/zslyUnit8Fg+CL6wsRkq6SQ5F33D5rxeK3U5EACfs4=</DigestValue>
      </Reference>
      <Reference URI="/xl/worksheets/sheet24.xml?ContentType=application/vnd.openxmlformats-officedocument.spreadsheetml.worksheet+xml">
        <DigestMethod Algorithm="http://www.w3.org/2001/04/xmlenc#sha256"/>
        <DigestValue>s6ugwrWzO+tsWxPAeaeKHlBaQb7s3+FrhSA1i9LUdKM=</DigestValue>
      </Reference>
      <Reference URI="/xl/worksheets/sheet25.xml?ContentType=application/vnd.openxmlformats-officedocument.spreadsheetml.worksheet+xml">
        <DigestMethod Algorithm="http://www.w3.org/2001/04/xmlenc#sha256"/>
        <DigestValue>xSiCRGDZ16tKgJYhF/kW9XE6PCTf6scIGAHz9J+niSg=</DigestValue>
      </Reference>
      <Reference URI="/xl/worksheets/sheet26.xml?ContentType=application/vnd.openxmlformats-officedocument.spreadsheetml.worksheet+xml">
        <DigestMethod Algorithm="http://www.w3.org/2001/04/xmlenc#sha256"/>
        <DigestValue>WOnrGbgyNSwOUlwgQ7nFP79wXwGQl7Yu7wI51fpCSQo=</DigestValue>
      </Reference>
      <Reference URI="/xl/worksheets/sheet27.xml?ContentType=application/vnd.openxmlformats-officedocument.spreadsheetml.worksheet+xml">
        <DigestMethod Algorithm="http://www.w3.org/2001/04/xmlenc#sha256"/>
        <DigestValue>D04YhePgQk743U2MbvOz2vCo/tKpQBnX8Jp0cRMLf1g=</DigestValue>
      </Reference>
      <Reference URI="/xl/worksheets/sheet28.xml?ContentType=application/vnd.openxmlformats-officedocument.spreadsheetml.worksheet+xml">
        <DigestMethod Algorithm="http://www.w3.org/2001/04/xmlenc#sha256"/>
        <DigestValue>KUaL3v6kD6r1wtWP431i1OrUKazU7/d1npljgMcNavo=</DigestValue>
      </Reference>
      <Reference URI="/xl/worksheets/sheet29.xml?ContentType=application/vnd.openxmlformats-officedocument.spreadsheetml.worksheet+xml">
        <DigestMethod Algorithm="http://www.w3.org/2001/04/xmlenc#sha256"/>
        <DigestValue>s9x3IdWci6FLZi9KcxEbVRBRYNy0hFZBVzznGc8se2E=</DigestValue>
      </Reference>
      <Reference URI="/xl/worksheets/sheet3.xml?ContentType=application/vnd.openxmlformats-officedocument.spreadsheetml.worksheet+xml">
        <DigestMethod Algorithm="http://www.w3.org/2001/04/xmlenc#sha256"/>
        <DigestValue>ELfABQl7QeYOzsKQ99lqhPjAiopiwuRnQe9E1Pd4tFo=</DigestValue>
      </Reference>
      <Reference URI="/xl/worksheets/sheet30.xml?ContentType=application/vnd.openxmlformats-officedocument.spreadsheetml.worksheet+xml">
        <DigestMethod Algorithm="http://www.w3.org/2001/04/xmlenc#sha256"/>
        <DigestValue>fQjfbltt8EYT+n8cIApIU1/VwwyYR21sqZYGEvlYMt4=</DigestValue>
      </Reference>
      <Reference URI="/xl/worksheets/sheet4.xml?ContentType=application/vnd.openxmlformats-officedocument.spreadsheetml.worksheet+xml">
        <DigestMethod Algorithm="http://www.w3.org/2001/04/xmlenc#sha256"/>
        <DigestValue>zNc2+/PI5B3XDOG5bDBM0G3GCXEB/A8ul4w/sCC2UKE=</DigestValue>
      </Reference>
      <Reference URI="/xl/worksheets/sheet5.xml?ContentType=application/vnd.openxmlformats-officedocument.spreadsheetml.worksheet+xml">
        <DigestMethod Algorithm="http://www.w3.org/2001/04/xmlenc#sha256"/>
        <DigestValue>q9uUYO7ogCeCqzFRRKei4hkXWeEVk8Bdkef6Bk39Hik=</DigestValue>
      </Reference>
      <Reference URI="/xl/worksheets/sheet6.xml?ContentType=application/vnd.openxmlformats-officedocument.spreadsheetml.worksheet+xml">
        <DigestMethod Algorithm="http://www.w3.org/2001/04/xmlenc#sha256"/>
        <DigestValue>rh8uGLY4ojYeDeHs3qHDgKrBUI6/Q4BBxc1rPjcXh1o=</DigestValue>
      </Reference>
      <Reference URI="/xl/worksheets/sheet7.xml?ContentType=application/vnd.openxmlformats-officedocument.spreadsheetml.worksheet+xml">
        <DigestMethod Algorithm="http://www.w3.org/2001/04/xmlenc#sha256"/>
        <DigestValue>O0osNL79NAS0/nxekJjl58oFWArzt39srsFUpLffb3E=</DigestValue>
      </Reference>
      <Reference URI="/xl/worksheets/sheet8.xml?ContentType=application/vnd.openxmlformats-officedocument.spreadsheetml.worksheet+xml">
        <DigestMethod Algorithm="http://www.w3.org/2001/04/xmlenc#sha256"/>
        <DigestValue>2tTUh3R9NjDezdwZeB3RJlxCkd+2EX/p+VTLQ1bzLl4=</DigestValue>
      </Reference>
      <Reference URI="/xl/worksheets/sheet9.xml?ContentType=application/vnd.openxmlformats-officedocument.spreadsheetml.worksheet+xml">
        <DigestMethod Algorithm="http://www.w3.org/2001/04/xmlenc#sha256"/>
        <DigestValue>SHB06ZxkHyeBfXK6pSHJiu3swJp0O2h8CiZtQR+I9/A=</DigestValue>
      </Reference>
    </Manifest>
    <SignatureProperties>
      <SignatureProperty Id="idSignatureTime" Target="#idPackageSignature">
        <mdssi:SignatureTime xmlns:mdssi="http://schemas.openxmlformats.org/package/2006/digital-signature">
          <mdssi:Format>YYYY-MM-DDThh:mm:ssTZD</mdssi:Format>
          <mdssi:Value>2023-02-16T07:55:23Z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2023-02-16T07:55:23Z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2023-02-16T07:53:49Z</dcterms:modified>
</cp:coreProperties>
</file>