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2.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29.xml" ContentType="application/vnd.openxmlformats-officedocument.spreadsheetml.worksheet+xml"/>
  <Override PartName="/xl/worksheets/sheet1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6765" tabRatio="859"/>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111" r:id="rId20"/>
    <sheet name="18. Assets by Exposure classes" sheetId="112" r:id="rId21"/>
    <sheet name="19. Assets by Risk Sectors" sheetId="113" r:id="rId22"/>
    <sheet name="20. Reserves" sheetId="114" r:id="rId23"/>
    <sheet name="21. NPL" sheetId="115" r:id="rId24"/>
    <sheet name="22. Quality" sheetId="116" r:id="rId25"/>
    <sheet name="23. LTV" sheetId="117" r:id="rId26"/>
    <sheet name="24. Risk Sector" sheetId="118" r:id="rId27"/>
    <sheet name="25. Collateral" sheetId="119" r:id="rId28"/>
    <sheet name="26. Retail Products" sheetId="120" r:id="rId29"/>
  </sheets>
  <externalReferences>
    <externalReference r:id="rId30"/>
    <externalReference r:id="rId31"/>
    <externalReference r:id="rId32"/>
  </externalReferences>
  <definedNames>
    <definedName name="_cur1">'[1]Appl (2)'!$F$2:$F$7200</definedName>
    <definedName name="_cur2">'[1]Appl (2)'!$H$2:$H$7200</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M22" i="90" l="1"/>
  <c r="G17" i="110" l="1"/>
  <c r="F17" i="110"/>
  <c r="S22" i="116" l="1"/>
  <c r="R22" i="116"/>
  <c r="Q22" i="116"/>
  <c r="P22" i="116"/>
  <c r="O22" i="116"/>
  <c r="N22" i="116"/>
  <c r="M22" i="116"/>
  <c r="L22" i="116"/>
  <c r="K22" i="116"/>
  <c r="J22" i="116"/>
  <c r="I22" i="116"/>
  <c r="H22" i="116"/>
  <c r="G22" i="116"/>
  <c r="F22" i="116"/>
  <c r="E22" i="116"/>
  <c r="D22" i="116"/>
  <c r="C22" i="116"/>
  <c r="S15" i="116"/>
  <c r="R15" i="116"/>
  <c r="Q15" i="116"/>
  <c r="P15" i="116"/>
  <c r="O15" i="116"/>
  <c r="N15" i="116"/>
  <c r="M15" i="116"/>
  <c r="L15" i="116"/>
  <c r="K15" i="116"/>
  <c r="J15" i="116"/>
  <c r="I15" i="116"/>
  <c r="H15" i="116"/>
  <c r="G15" i="116"/>
  <c r="F15" i="116"/>
  <c r="E15" i="116"/>
  <c r="D15" i="116"/>
  <c r="C15" i="116"/>
  <c r="S8" i="116"/>
  <c r="R8" i="116"/>
  <c r="Q8" i="116"/>
  <c r="P8" i="116"/>
  <c r="O8" i="116"/>
  <c r="N8" i="116"/>
  <c r="M8" i="116"/>
  <c r="L8" i="116"/>
  <c r="K8" i="116"/>
  <c r="J8" i="116"/>
  <c r="I8" i="116"/>
  <c r="H8" i="116"/>
  <c r="G8" i="116"/>
  <c r="F8" i="116"/>
  <c r="E8" i="116"/>
  <c r="D8" i="116"/>
  <c r="C8" i="116"/>
  <c r="H7" i="112" l="1"/>
  <c r="H8" i="112"/>
  <c r="H9" i="112"/>
  <c r="H10" i="112"/>
  <c r="H11" i="112"/>
  <c r="H12" i="112"/>
  <c r="H13" i="112"/>
  <c r="H14" i="112"/>
  <c r="H15" i="112"/>
  <c r="H16" i="112"/>
  <c r="H17" i="112"/>
  <c r="H18" i="112"/>
  <c r="H19" i="112"/>
  <c r="H20" i="112"/>
  <c r="H7" i="113" l="1"/>
  <c r="H8" i="113"/>
  <c r="H9" i="113"/>
  <c r="H10" i="113"/>
  <c r="H11" i="113"/>
  <c r="H12" i="113"/>
  <c r="H13" i="113"/>
  <c r="H14" i="113"/>
  <c r="H15" i="113"/>
  <c r="H16" i="113"/>
  <c r="H17" i="113"/>
  <c r="H18" i="113"/>
  <c r="H19" i="113"/>
  <c r="H20" i="113"/>
  <c r="H21" i="113"/>
  <c r="H22" i="113"/>
  <c r="H23" i="113"/>
  <c r="H24" i="113"/>
  <c r="H25" i="113"/>
  <c r="H26" i="113"/>
  <c r="H27" i="113"/>
  <c r="H28" i="113"/>
  <c r="H29" i="113"/>
  <c r="H30" i="113"/>
  <c r="H31" i="113"/>
  <c r="H32" i="113"/>
  <c r="H33" i="113"/>
  <c r="D6" i="86" l="1"/>
  <c r="C7" i="108"/>
  <c r="D7" i="108"/>
  <c r="R13" i="120" l="1"/>
  <c r="R19" i="120" s="1"/>
  <c r="D13" i="120"/>
  <c r="D19" i="120" s="1"/>
  <c r="E13" i="120"/>
  <c r="E19" i="120" s="1"/>
  <c r="F13" i="120"/>
  <c r="F19" i="120" s="1"/>
  <c r="G13" i="120"/>
  <c r="G19" i="120" s="1"/>
  <c r="H13" i="120"/>
  <c r="H19" i="120" s="1"/>
  <c r="I13" i="120"/>
  <c r="I19" i="120" s="1"/>
  <c r="J13" i="120"/>
  <c r="J19" i="120" s="1"/>
  <c r="K13" i="120"/>
  <c r="K19" i="120" s="1"/>
  <c r="L13" i="120"/>
  <c r="L19" i="120" s="1"/>
  <c r="M13" i="120"/>
  <c r="M19" i="120" s="1"/>
  <c r="N13" i="120"/>
  <c r="N19" i="120" s="1"/>
  <c r="O13" i="120"/>
  <c r="P13" i="120"/>
  <c r="P19" i="120" s="1"/>
  <c r="Q13" i="120"/>
  <c r="Q19" i="120" s="1"/>
  <c r="C13" i="120"/>
  <c r="C19" i="120" s="1"/>
  <c r="B2" i="120" l="1"/>
  <c r="B1" i="120"/>
  <c r="B2" i="119"/>
  <c r="B1" i="119"/>
  <c r="D33" i="118"/>
  <c r="E33" i="118"/>
  <c r="F33" i="118"/>
  <c r="G33" i="118"/>
  <c r="H33" i="118"/>
  <c r="I33" i="118"/>
  <c r="J33" i="118"/>
  <c r="K33" i="118"/>
  <c r="L33" i="118"/>
  <c r="C33" i="118"/>
  <c r="B2" i="118"/>
  <c r="B1" i="118"/>
  <c r="B2" i="117" l="1"/>
  <c r="B1" i="117"/>
  <c r="B2" i="116"/>
  <c r="B1" i="116"/>
  <c r="B2" i="115" l="1"/>
  <c r="B1" i="115"/>
  <c r="B2" i="114" l="1"/>
  <c r="B1" i="114"/>
  <c r="B2" i="113"/>
  <c r="B1" i="113"/>
  <c r="E21" i="112"/>
  <c r="B2" i="112"/>
  <c r="B1" i="112"/>
  <c r="B2" i="111" l="1"/>
  <c r="B1" i="111"/>
  <c r="B2" i="97" l="1"/>
  <c r="B1" i="97"/>
  <c r="B2" i="95"/>
  <c r="B1" i="95"/>
  <c r="J23" i="93" l="1"/>
  <c r="I23" i="93"/>
  <c r="G23" i="93"/>
  <c r="F23" i="93"/>
  <c r="H23" i="93" s="1"/>
  <c r="J21" i="93"/>
  <c r="I21" i="93"/>
  <c r="K21" i="93" s="1"/>
  <c r="G21" i="93"/>
  <c r="F21" i="93"/>
  <c r="H21" i="93" s="1"/>
  <c r="D21" i="93"/>
  <c r="C21" i="93"/>
  <c r="E21" i="93" s="1"/>
  <c r="K20" i="93"/>
  <c r="H20" i="93"/>
  <c r="E20" i="93"/>
  <c r="K19" i="93"/>
  <c r="H19" i="93"/>
  <c r="E19" i="93"/>
  <c r="K18" i="93"/>
  <c r="H18" i="93"/>
  <c r="E18" i="93"/>
  <c r="J16" i="93"/>
  <c r="I16" i="93"/>
  <c r="G16" i="93"/>
  <c r="F16" i="93"/>
  <c r="D16" i="93"/>
  <c r="C16" i="93"/>
  <c r="K15" i="93"/>
  <c r="H15" i="93"/>
  <c r="E15" i="93"/>
  <c r="K14" i="93"/>
  <c r="H14" i="93"/>
  <c r="E14" i="93"/>
  <c r="K13" i="93"/>
  <c r="H13" i="93"/>
  <c r="E13" i="93"/>
  <c r="K12" i="93"/>
  <c r="H12" i="93"/>
  <c r="E12" i="93"/>
  <c r="K11" i="93"/>
  <c r="H11" i="93"/>
  <c r="E11" i="93"/>
  <c r="K10" i="93"/>
  <c r="H10" i="93"/>
  <c r="E10" i="93"/>
  <c r="K8" i="93"/>
  <c r="H8" i="93"/>
  <c r="B2" i="92"/>
  <c r="B1" i="92"/>
  <c r="B2" i="93"/>
  <c r="B1" i="93"/>
  <c r="H16" i="91"/>
  <c r="H18" i="91"/>
  <c r="H19" i="91"/>
  <c r="H20" i="91"/>
  <c r="G16" i="91"/>
  <c r="G18" i="91"/>
  <c r="G19" i="91"/>
  <c r="G20" i="91"/>
  <c r="F16" i="91"/>
  <c r="F18" i="91"/>
  <c r="F19" i="91"/>
  <c r="F20" i="91"/>
  <c r="E9" i="91"/>
  <c r="E10" i="91"/>
  <c r="E11" i="91"/>
  <c r="E12" i="91"/>
  <c r="E13" i="91"/>
  <c r="E14" i="91"/>
  <c r="E15" i="91"/>
  <c r="E16" i="91"/>
  <c r="E17" i="91"/>
  <c r="E18" i="91"/>
  <c r="E19" i="91"/>
  <c r="E20" i="91"/>
  <c r="E21" i="91"/>
  <c r="E8" i="91"/>
  <c r="D14" i="91"/>
  <c r="D13" i="91"/>
  <c r="C9" i="91"/>
  <c r="C10" i="91"/>
  <c r="C11" i="91"/>
  <c r="C12" i="91"/>
  <c r="C13" i="91"/>
  <c r="C14" i="91"/>
  <c r="C15" i="91"/>
  <c r="C16" i="91"/>
  <c r="C17" i="91"/>
  <c r="C18" i="91"/>
  <c r="C19" i="91"/>
  <c r="C20" i="91"/>
  <c r="C21" i="91"/>
  <c r="C8" i="91"/>
  <c r="B2" i="91"/>
  <c r="B1" i="91"/>
  <c r="B2" i="64"/>
  <c r="B1" i="64"/>
  <c r="F24" i="93" l="1"/>
  <c r="F25" i="93" s="1"/>
  <c r="J24" i="93"/>
  <c r="J25" i="93" s="1"/>
  <c r="I24" i="93"/>
  <c r="K24" i="93" s="1"/>
  <c r="H16" i="93"/>
  <c r="G24" i="93"/>
  <c r="G25" i="93" s="1"/>
  <c r="E16" i="93"/>
  <c r="K23" i="93"/>
  <c r="K16" i="93"/>
  <c r="I25" i="93" l="1"/>
  <c r="K25" i="93"/>
  <c r="H24" i="93"/>
  <c r="H25" i="93" s="1"/>
  <c r="B2" i="90" l="1"/>
  <c r="B1" i="90"/>
  <c r="C65" i="69"/>
  <c r="C64" i="69"/>
  <c r="C63" i="69"/>
  <c r="C61" i="69"/>
  <c r="C60" i="69"/>
  <c r="C59" i="69"/>
  <c r="C57" i="69"/>
  <c r="C56" i="69"/>
  <c r="C55" i="69"/>
  <c r="C54" i="69"/>
  <c r="C51" i="69"/>
  <c r="C49" i="69"/>
  <c r="C48" i="69"/>
  <c r="C43" i="69"/>
  <c r="C39" i="69"/>
  <c r="C38" i="69"/>
  <c r="C37" i="69"/>
  <c r="C34" i="69"/>
  <c r="C31" i="69"/>
  <c r="C27" i="69"/>
  <c r="C25" i="69"/>
  <c r="C22" i="69"/>
  <c r="C21" i="69"/>
  <c r="C17" i="69"/>
  <c r="C15" i="69"/>
  <c r="C13" i="69"/>
  <c r="C12" i="69"/>
  <c r="C11" i="69"/>
  <c r="C10" i="69"/>
  <c r="B2" i="69"/>
  <c r="B1" i="69"/>
  <c r="B2" i="94"/>
  <c r="B1" i="94"/>
  <c r="C7" i="89"/>
  <c r="B2" i="89"/>
  <c r="B1" i="89"/>
  <c r="B2" i="73"/>
  <c r="B1" i="73"/>
  <c r="E36" i="88"/>
  <c r="E33" i="88"/>
  <c r="E29" i="88"/>
  <c r="E27" i="88"/>
  <c r="E24" i="88"/>
  <c r="E23" i="88"/>
  <c r="E19" i="88"/>
  <c r="E17" i="88"/>
  <c r="E15" i="88"/>
  <c r="E14" i="88"/>
  <c r="E13" i="88"/>
  <c r="E12" i="88"/>
  <c r="D29" i="88"/>
  <c r="C36" i="88"/>
  <c r="C33" i="88"/>
  <c r="C29" i="88"/>
  <c r="C27" i="88"/>
  <c r="C24" i="88"/>
  <c r="C23" i="88"/>
  <c r="C19" i="88"/>
  <c r="C17" i="88"/>
  <c r="C15" i="88"/>
  <c r="C14" i="88"/>
  <c r="C13" i="88"/>
  <c r="C12" i="88"/>
  <c r="B2" i="88"/>
  <c r="B1" i="88"/>
  <c r="B2" i="52"/>
  <c r="B1" i="52"/>
  <c r="B2" i="86" l="1"/>
  <c r="B1" i="86"/>
  <c r="B2" i="110"/>
  <c r="B1" i="110"/>
  <c r="B2" i="109"/>
  <c r="B1" i="109"/>
  <c r="C48" i="84" l="1"/>
  <c r="C44" i="84"/>
  <c r="B2" i="108" l="1"/>
  <c r="B1" i="108"/>
  <c r="C22" i="111" l="1"/>
  <c r="C5" i="86" l="1"/>
  <c r="C10" i="115" l="1"/>
  <c r="C18" i="115" s="1"/>
  <c r="C7" i="114"/>
  <c r="D7" i="114"/>
  <c r="C10" i="114"/>
  <c r="D10" i="114"/>
  <c r="C34" i="113"/>
  <c r="D34" i="113"/>
  <c r="E34" i="113"/>
  <c r="F34" i="113"/>
  <c r="G34" i="113"/>
  <c r="C21" i="112"/>
  <c r="D21" i="112"/>
  <c r="G21" i="112"/>
  <c r="H22" i="112"/>
  <c r="H23" i="112"/>
  <c r="H8" i="111"/>
  <c r="H9" i="111"/>
  <c r="H10" i="111"/>
  <c r="H11" i="111"/>
  <c r="H12" i="111"/>
  <c r="H13" i="111"/>
  <c r="H14" i="111"/>
  <c r="H15" i="111"/>
  <c r="H16" i="111"/>
  <c r="H17" i="111"/>
  <c r="H18" i="111"/>
  <c r="H19" i="111"/>
  <c r="H20" i="111"/>
  <c r="H21" i="111"/>
  <c r="D22" i="111"/>
  <c r="E22" i="111"/>
  <c r="F22" i="111"/>
  <c r="G22" i="111"/>
  <c r="H22" i="111" l="1"/>
  <c r="D15" i="114"/>
  <c r="C15" i="114"/>
  <c r="H34" i="113"/>
  <c r="H21" i="112"/>
  <c r="C62" i="69"/>
  <c r="C58" i="69"/>
  <c r="D8" i="88"/>
  <c r="D16" i="88"/>
  <c r="D20" i="88"/>
  <c r="D25" i="88"/>
  <c r="D31" i="88"/>
  <c r="H43" i="110" l="1"/>
  <c r="E43" i="110"/>
  <c r="H42" i="110"/>
  <c r="E42" i="110"/>
  <c r="H41" i="110"/>
  <c r="E41" i="110"/>
  <c r="H40" i="110"/>
  <c r="E40" i="110"/>
  <c r="H39" i="110"/>
  <c r="E39" i="110"/>
  <c r="G38" i="110"/>
  <c r="F38" i="110"/>
  <c r="H38" i="110" s="1"/>
  <c r="D38" i="110"/>
  <c r="C38" i="110"/>
  <c r="E38" i="110" s="1"/>
  <c r="H37" i="110"/>
  <c r="E37" i="110"/>
  <c r="H36" i="110"/>
  <c r="E36" i="110"/>
  <c r="H35" i="110"/>
  <c r="E35" i="110"/>
  <c r="H34" i="110"/>
  <c r="E34" i="110"/>
  <c r="H33" i="110"/>
  <c r="E33" i="110"/>
  <c r="H32" i="110"/>
  <c r="E32" i="110"/>
  <c r="H31" i="110"/>
  <c r="E31" i="110"/>
  <c r="G30" i="110"/>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H16" i="110"/>
  <c r="E16" i="110"/>
  <c r="H15" i="110"/>
  <c r="E15" i="110"/>
  <c r="G14" i="110"/>
  <c r="F14" i="110"/>
  <c r="H13" i="110"/>
  <c r="E13" i="110"/>
  <c r="H12" i="110"/>
  <c r="E12" i="110"/>
  <c r="G11" i="110"/>
  <c r="F11" i="110"/>
  <c r="D11" i="110"/>
  <c r="C11" i="110"/>
  <c r="E11" i="110" s="1"/>
  <c r="H10" i="110"/>
  <c r="E10" i="110"/>
  <c r="H9" i="110"/>
  <c r="E9" i="110"/>
  <c r="G8" i="110"/>
  <c r="F8" i="110"/>
  <c r="D8" i="110"/>
  <c r="C8" i="110"/>
  <c r="E8" i="110" s="1"/>
  <c r="H7" i="110"/>
  <c r="E7" i="110"/>
  <c r="H6" i="110"/>
  <c r="E6" i="110"/>
  <c r="H44" i="109"/>
  <c r="E44" i="109"/>
  <c r="H42" i="109"/>
  <c r="E42" i="109"/>
  <c r="H41" i="109"/>
  <c r="E41" i="109"/>
  <c r="H40" i="109"/>
  <c r="E40" i="109"/>
  <c r="H39" i="109"/>
  <c r="E39" i="109"/>
  <c r="H38" i="109"/>
  <c r="E38" i="109"/>
  <c r="G37" i="109"/>
  <c r="F37" i="109"/>
  <c r="H37" i="109" s="1"/>
  <c r="D37" i="109"/>
  <c r="C37" i="109"/>
  <c r="H36" i="109"/>
  <c r="E36" i="109"/>
  <c r="H35" i="109"/>
  <c r="E35" i="109"/>
  <c r="G34" i="109"/>
  <c r="F34" i="109"/>
  <c r="H34" i="109" s="1"/>
  <c r="D34" i="109"/>
  <c r="C34" i="109"/>
  <c r="H33" i="109"/>
  <c r="E33" i="109"/>
  <c r="H32" i="109"/>
  <c r="E32" i="109"/>
  <c r="H31" i="109"/>
  <c r="E31" i="109"/>
  <c r="H30" i="109"/>
  <c r="E30" i="109"/>
  <c r="G29" i="109"/>
  <c r="F29" i="109"/>
  <c r="D29" i="109"/>
  <c r="C29" i="109"/>
  <c r="H28" i="109"/>
  <c r="E28" i="109"/>
  <c r="H27" i="109"/>
  <c r="E27" i="109"/>
  <c r="H26" i="109"/>
  <c r="E26" i="109"/>
  <c r="H25" i="109"/>
  <c r="E25" i="109"/>
  <c r="H24" i="109"/>
  <c r="E24" i="109"/>
  <c r="H23" i="109"/>
  <c r="E23" i="109"/>
  <c r="H22" i="109"/>
  <c r="E22" i="109"/>
  <c r="H21" i="109"/>
  <c r="E21" i="109"/>
  <c r="H20" i="109"/>
  <c r="E20" i="109"/>
  <c r="H19" i="109"/>
  <c r="E19" i="109"/>
  <c r="H18" i="109"/>
  <c r="E18" i="109"/>
  <c r="H17" i="109"/>
  <c r="E17" i="109"/>
  <c r="H16" i="109"/>
  <c r="E16" i="109"/>
  <c r="H15" i="109"/>
  <c r="E15" i="109"/>
  <c r="H14" i="109"/>
  <c r="E14" i="109"/>
  <c r="G13" i="109"/>
  <c r="F13" i="109"/>
  <c r="H13" i="109" s="1"/>
  <c r="D13" i="109"/>
  <c r="C13" i="109"/>
  <c r="E13" i="109" s="1"/>
  <c r="H12" i="109"/>
  <c r="E12" i="109"/>
  <c r="H11" i="109"/>
  <c r="E11" i="109"/>
  <c r="H10" i="109"/>
  <c r="E10" i="109"/>
  <c r="H9" i="109"/>
  <c r="E9" i="109"/>
  <c r="H8" i="109"/>
  <c r="E8" i="109"/>
  <c r="H7" i="109"/>
  <c r="E7" i="109"/>
  <c r="G6" i="109"/>
  <c r="F6" i="109"/>
  <c r="D6" i="109"/>
  <c r="C6" i="109"/>
  <c r="G68" i="108"/>
  <c r="F68" i="108"/>
  <c r="H67" i="108"/>
  <c r="E67" i="108"/>
  <c r="H66" i="108"/>
  <c r="E66" i="108"/>
  <c r="H65" i="108"/>
  <c r="E65" i="108"/>
  <c r="H64" i="108"/>
  <c r="E64" i="108"/>
  <c r="H63" i="108"/>
  <c r="D63" i="108"/>
  <c r="C63" i="108"/>
  <c r="E63" i="108" s="1"/>
  <c r="H62" i="108"/>
  <c r="E62" i="108"/>
  <c r="H61" i="108"/>
  <c r="E61" i="108"/>
  <c r="H60" i="108"/>
  <c r="E60" i="108"/>
  <c r="H59" i="108"/>
  <c r="E59" i="108"/>
  <c r="D59" i="108"/>
  <c r="D68" i="108" s="1"/>
  <c r="C59" i="108"/>
  <c r="C68" i="108" s="1"/>
  <c r="E68" i="108" s="1"/>
  <c r="H58" i="108"/>
  <c r="E58" i="108"/>
  <c r="H57" i="108"/>
  <c r="E57" i="108"/>
  <c r="H56" i="108"/>
  <c r="E56" i="108"/>
  <c r="H55" i="108"/>
  <c r="E55" i="108"/>
  <c r="H52" i="108"/>
  <c r="E52" i="108"/>
  <c r="H51" i="108"/>
  <c r="E51" i="108"/>
  <c r="C50" i="69" s="1"/>
  <c r="H50" i="108"/>
  <c r="E50" i="108"/>
  <c r="H49" i="108"/>
  <c r="E49" i="108"/>
  <c r="H48" i="108"/>
  <c r="E48" i="108"/>
  <c r="C47" i="69" s="1"/>
  <c r="C46" i="69" s="1"/>
  <c r="G47" i="108"/>
  <c r="F47" i="108"/>
  <c r="D47" i="108"/>
  <c r="C47" i="108"/>
  <c r="E47" i="108" s="1"/>
  <c r="H46" i="108"/>
  <c r="E46" i="108"/>
  <c r="H45" i="108"/>
  <c r="E45" i="108"/>
  <c r="C44" i="69" s="1"/>
  <c r="H44" i="108"/>
  <c r="E44" i="108"/>
  <c r="H43" i="108"/>
  <c r="E43" i="108"/>
  <c r="C42" i="69" s="1"/>
  <c r="H42" i="108"/>
  <c r="E42" i="108"/>
  <c r="C41" i="69" s="1"/>
  <c r="G41" i="108"/>
  <c r="G53" i="108" s="1"/>
  <c r="G69" i="108" s="1"/>
  <c r="F41" i="108"/>
  <c r="D41" i="108"/>
  <c r="D53" i="108" s="1"/>
  <c r="C41" i="108"/>
  <c r="H40" i="108"/>
  <c r="E40" i="108"/>
  <c r="H39" i="108"/>
  <c r="E39" i="108"/>
  <c r="H38" i="108"/>
  <c r="E38" i="108"/>
  <c r="G36" i="108"/>
  <c r="H35" i="108"/>
  <c r="E35" i="108"/>
  <c r="H34" i="108"/>
  <c r="E34" i="108"/>
  <c r="C35" i="88" s="1"/>
  <c r="H33" i="108"/>
  <c r="E33" i="108"/>
  <c r="C34" i="88" s="1"/>
  <c r="H32" i="108"/>
  <c r="E32" i="108"/>
  <c r="H31" i="108"/>
  <c r="E31" i="108"/>
  <c r="C32" i="88" s="1"/>
  <c r="G30" i="108"/>
  <c r="F30" i="108"/>
  <c r="H30" i="108" s="1"/>
  <c r="D30" i="108"/>
  <c r="C30" i="108"/>
  <c r="E30" i="108" s="1"/>
  <c r="H29" i="108"/>
  <c r="E29" i="108"/>
  <c r="C30" i="88" s="1"/>
  <c r="H28" i="108"/>
  <c r="E28" i="108"/>
  <c r="G27" i="108"/>
  <c r="F27" i="108"/>
  <c r="H27" i="108" s="1"/>
  <c r="D27" i="108"/>
  <c r="C27" i="108"/>
  <c r="E27" i="108" s="1"/>
  <c r="C15" i="89" s="1"/>
  <c r="H26" i="108"/>
  <c r="E26" i="108"/>
  <c r="H25" i="108"/>
  <c r="E25" i="108"/>
  <c r="C26" i="88" s="1"/>
  <c r="G24" i="108"/>
  <c r="F24" i="108"/>
  <c r="D24" i="108"/>
  <c r="C24" i="108"/>
  <c r="E24" i="108" s="1"/>
  <c r="H23" i="108"/>
  <c r="E23" i="108"/>
  <c r="H22" i="108"/>
  <c r="E22" i="108"/>
  <c r="H21" i="108"/>
  <c r="E21" i="108"/>
  <c r="C22" i="88" s="1"/>
  <c r="H20" i="108"/>
  <c r="E20" i="108"/>
  <c r="C21" i="88" s="1"/>
  <c r="G19" i="108"/>
  <c r="F19" i="108"/>
  <c r="D19" i="108"/>
  <c r="C19" i="108"/>
  <c r="E19" i="108" s="1"/>
  <c r="H18" i="108"/>
  <c r="E18" i="108"/>
  <c r="H17" i="108"/>
  <c r="E17" i="108"/>
  <c r="C18" i="88" s="1"/>
  <c r="H16" i="108"/>
  <c r="E16" i="108"/>
  <c r="G15" i="108"/>
  <c r="F15" i="108"/>
  <c r="D15" i="108"/>
  <c r="C15" i="108"/>
  <c r="E15" i="108" s="1"/>
  <c r="H14" i="108"/>
  <c r="E14" i="108"/>
  <c r="H13" i="108"/>
  <c r="E13" i="108"/>
  <c r="H12" i="108"/>
  <c r="E12" i="108"/>
  <c r="H11" i="108"/>
  <c r="E11" i="108"/>
  <c r="H10" i="108"/>
  <c r="E10" i="108"/>
  <c r="C11" i="88" s="1"/>
  <c r="H9" i="108"/>
  <c r="E9" i="108"/>
  <c r="C10" i="88" s="1"/>
  <c r="H8" i="108"/>
  <c r="E8" i="108"/>
  <c r="C9" i="88" s="1"/>
  <c r="G7" i="108"/>
  <c r="F7" i="108"/>
  <c r="E35" i="88" l="1"/>
  <c r="C33" i="69"/>
  <c r="F43" i="109"/>
  <c r="F45" i="109" s="1"/>
  <c r="H15" i="108"/>
  <c r="H11" i="110"/>
  <c r="H8" i="110"/>
  <c r="H30" i="110"/>
  <c r="H14" i="110"/>
  <c r="G43" i="109"/>
  <c r="G45" i="109" s="1"/>
  <c r="H29" i="109"/>
  <c r="H41" i="108"/>
  <c r="H19" i="108"/>
  <c r="F36" i="108"/>
  <c r="H36" i="108" s="1"/>
  <c r="H47" i="108"/>
  <c r="H24" i="108"/>
  <c r="H7" i="108"/>
  <c r="C43" i="109"/>
  <c r="C45" i="109" s="1"/>
  <c r="C45" i="69"/>
  <c r="C6" i="73"/>
  <c r="E21" i="88"/>
  <c r="C19" i="69"/>
  <c r="E37" i="109"/>
  <c r="C66" i="69"/>
  <c r="C67" i="69" s="1"/>
  <c r="C11" i="89"/>
  <c r="C40" i="69"/>
  <c r="E34" i="88"/>
  <c r="C32" i="69"/>
  <c r="C30" i="69"/>
  <c r="C29" i="69" s="1"/>
  <c r="E32" i="88"/>
  <c r="E31" i="88" s="1"/>
  <c r="C31" i="88"/>
  <c r="C28" i="69"/>
  <c r="C26" i="69" s="1"/>
  <c r="D30" i="88"/>
  <c r="D28" i="88" s="1"/>
  <c r="D37" i="88" s="1"/>
  <c r="C28" i="88"/>
  <c r="C24" i="69"/>
  <c r="C23" i="69" s="1"/>
  <c r="E26" i="88"/>
  <c r="E25" i="88" s="1"/>
  <c r="C25" i="88"/>
  <c r="E22" i="88"/>
  <c r="C20" i="69"/>
  <c r="C18" i="69" s="1"/>
  <c r="C20" i="88"/>
  <c r="C16" i="69"/>
  <c r="C14" i="69" s="1"/>
  <c r="E18" i="88"/>
  <c r="E16" i="88" s="1"/>
  <c r="C16" i="88"/>
  <c r="C8" i="69"/>
  <c r="E10" i="88"/>
  <c r="C9" i="69"/>
  <c r="E11" i="88"/>
  <c r="C7" i="69"/>
  <c r="E9" i="88"/>
  <c r="C8" i="88"/>
  <c r="E14" i="110"/>
  <c r="E29" i="109"/>
  <c r="E34" i="109"/>
  <c r="E6" i="109"/>
  <c r="C53" i="108"/>
  <c r="E53" i="108" s="1"/>
  <c r="C36" i="108"/>
  <c r="D36" i="108"/>
  <c r="E7" i="108"/>
  <c r="E17" i="110"/>
  <c r="H6" i="109"/>
  <c r="D43" i="109"/>
  <c r="D45" i="109" s="1"/>
  <c r="D69" i="108"/>
  <c r="H68" i="108"/>
  <c r="E41" i="108"/>
  <c r="F53" i="108"/>
  <c r="H53" i="108" l="1"/>
  <c r="F69" i="108"/>
  <c r="H69" i="108" s="1"/>
  <c r="H45" i="109"/>
  <c r="H43" i="109"/>
  <c r="C52" i="69"/>
  <c r="C68" i="69" s="1"/>
  <c r="E30" i="88"/>
  <c r="E28" i="88" s="1"/>
  <c r="C37" i="88"/>
  <c r="E20" i="88"/>
  <c r="C6" i="69"/>
  <c r="C35" i="69" s="1"/>
  <c r="E8" i="88"/>
  <c r="C69" i="108"/>
  <c r="E69" i="108" s="1"/>
  <c r="E36" i="108"/>
  <c r="E43" i="109"/>
  <c r="E45" i="109"/>
  <c r="E37" i="88" l="1"/>
  <c r="G33" i="97"/>
  <c r="F33" i="97"/>
  <c r="E33" i="97"/>
  <c r="D33" i="97"/>
  <c r="C33" i="97"/>
  <c r="G24" i="97"/>
  <c r="G37" i="97" s="1"/>
  <c r="F24" i="97"/>
  <c r="E24" i="97"/>
  <c r="D24" i="97"/>
  <c r="C24" i="97"/>
  <c r="G18" i="97"/>
  <c r="F18" i="97"/>
  <c r="E18" i="97"/>
  <c r="D18" i="97"/>
  <c r="C18" i="97"/>
  <c r="G14" i="97"/>
  <c r="F14" i="97"/>
  <c r="E14" i="97"/>
  <c r="D14" i="97"/>
  <c r="C14" i="97"/>
  <c r="G11" i="97"/>
  <c r="F11" i="97"/>
  <c r="E11" i="97"/>
  <c r="D11" i="97"/>
  <c r="C11" i="97"/>
  <c r="G8" i="97"/>
  <c r="F8" i="97"/>
  <c r="E8" i="97"/>
  <c r="D8" i="97"/>
  <c r="C8" i="97"/>
  <c r="G21" i="97" l="1"/>
  <c r="G39" i="97" s="1"/>
  <c r="G5" i="86"/>
  <c r="F5" i="86"/>
  <c r="E5" i="86"/>
  <c r="D5" i="86"/>
  <c r="G5" i="84"/>
  <c r="F5" i="84"/>
  <c r="E5" i="84"/>
  <c r="D5" i="84"/>
  <c r="C5" i="84"/>
  <c r="E6" i="86" l="1"/>
  <c r="E13" i="86" s="1"/>
  <c r="F6" i="86"/>
  <c r="F13" i="86" s="1"/>
  <c r="G6" i="86"/>
  <c r="G13" i="86" s="1"/>
  <c r="C21" i="94" l="1"/>
  <c r="C20" i="94"/>
  <c r="C19" i="94"/>
  <c r="C30" i="95" l="1"/>
  <c r="C26" i="95"/>
  <c r="C18" i="95"/>
  <c r="C8" i="95"/>
  <c r="C36" i="95" s="1"/>
  <c r="D13" i="86" l="1"/>
  <c r="C6" i="86" l="1"/>
  <c r="C13" i="86" s="1"/>
  <c r="D16" i="94" l="1"/>
  <c r="D21" i="94"/>
  <c r="D7" i="94"/>
  <c r="D15" i="94"/>
  <c r="D19" i="94"/>
  <c r="D17" i="94"/>
  <c r="D12" i="94"/>
  <c r="D8" i="94"/>
  <c r="D20" i="94"/>
  <c r="D11" i="94"/>
  <c r="D13" i="94"/>
  <c r="D9"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S21" i="90" l="1"/>
  <c r="F21" i="91" s="1"/>
  <c r="S20" i="90"/>
  <c r="S19" i="90"/>
  <c r="S18" i="90"/>
  <c r="S17" i="90"/>
  <c r="F17" i="91" s="1"/>
  <c r="G17" i="91" s="1"/>
  <c r="H17" i="91" s="1"/>
  <c r="S16" i="90"/>
  <c r="S15" i="90"/>
  <c r="F15" i="91" s="1"/>
  <c r="S14" i="90"/>
  <c r="F14" i="91" s="1"/>
  <c r="S13" i="90"/>
  <c r="F13" i="91" s="1"/>
  <c r="G13" i="91" s="1"/>
  <c r="H13" i="91" s="1"/>
  <c r="S12" i="90"/>
  <c r="F12" i="91" s="1"/>
  <c r="G12" i="91" s="1"/>
  <c r="H12" i="91" s="1"/>
  <c r="S11" i="90"/>
  <c r="F11" i="91" s="1"/>
  <c r="G11" i="91" s="1"/>
  <c r="H11" i="91" s="1"/>
  <c r="S10" i="90"/>
  <c r="F10" i="91" s="1"/>
  <c r="G10" i="91" s="1"/>
  <c r="H10" i="91" s="1"/>
  <c r="S9" i="90"/>
  <c r="F9" i="91" s="1"/>
  <c r="G9" i="91" s="1"/>
  <c r="H9" i="91" s="1"/>
  <c r="S8" i="90"/>
  <c r="F8" i="91" s="1"/>
  <c r="G8" i="91" s="1"/>
  <c r="H8" i="91" s="1"/>
  <c r="T21" i="64" l="1"/>
  <c r="U21" i="64"/>
  <c r="S21" i="64"/>
  <c r="C21" i="64"/>
  <c r="F22" i="91"/>
  <c r="E22" i="91"/>
  <c r="D22" i="91"/>
  <c r="C22" i="91"/>
  <c r="K22" i="90" l="1"/>
  <c r="L22" i="90"/>
  <c r="N22" i="90"/>
  <c r="O22" i="90"/>
  <c r="P22" i="90"/>
  <c r="Q22" i="90"/>
  <c r="R22" i="90"/>
  <c r="S22" i="90"/>
  <c r="C5" i="73" l="1"/>
  <c r="C22" i="90" l="1"/>
  <c r="C12" i="89"/>
  <c r="C6" i="89"/>
  <c r="D22" i="90" l="1"/>
  <c r="E22" i="90"/>
  <c r="F22" i="90"/>
  <c r="G22" i="90"/>
  <c r="H22" i="90"/>
  <c r="I22" i="90"/>
  <c r="J22" i="90"/>
  <c r="C29" i="89"/>
  <c r="C35" i="95" s="1"/>
  <c r="C38" i="95" s="1"/>
  <c r="C32" i="89"/>
  <c r="C31" i="89" s="1"/>
  <c r="C36" i="89"/>
  <c r="C42" i="89" s="1"/>
  <c r="C44" i="89"/>
  <c r="C48" i="89"/>
  <c r="C8" i="73" l="1"/>
  <c r="C13" i="73" s="1"/>
  <c r="C53" i="89"/>
  <c r="D21" i="64" l="1"/>
  <c r="E21" i="64"/>
  <c r="F21" i="64"/>
  <c r="G21" i="64"/>
  <c r="H21" i="64"/>
  <c r="I21" i="64"/>
  <c r="J21" i="64"/>
  <c r="K21" i="64"/>
  <c r="L21" i="64"/>
  <c r="M21" i="64"/>
  <c r="N21" i="64"/>
  <c r="O21" i="64"/>
  <c r="P21" i="64"/>
  <c r="Q21" i="64"/>
  <c r="R21" i="64"/>
  <c r="V8" i="64" l="1"/>
  <c r="V9" i="64"/>
  <c r="V10" i="64"/>
  <c r="V11" i="64"/>
  <c r="V12" i="64"/>
  <c r="V13" i="64"/>
  <c r="G14" i="91" s="1"/>
  <c r="V14" i="64"/>
  <c r="G15" i="91" s="1"/>
  <c r="H15" i="91" s="1"/>
  <c r="V15" i="64"/>
  <c r="V16" i="64"/>
  <c r="V17" i="64"/>
  <c r="V18" i="64"/>
  <c r="V19" i="64"/>
  <c r="V20" i="64"/>
  <c r="G21" i="91" s="1"/>
  <c r="H21" i="91" s="1"/>
  <c r="V7" i="64"/>
  <c r="H14" i="91" l="1"/>
  <c r="G22" i="91"/>
  <c r="H22" i="91" s="1"/>
  <c r="V21" i="64"/>
</calcChain>
</file>

<file path=xl/sharedStrings.xml><?xml version="1.0" encoding="utf-8"?>
<sst xmlns="http://schemas.openxmlformats.org/spreadsheetml/2006/main" count="1190" uniqueCount="732">
  <si>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</si>
  <si>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</si>
  <si>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</si>
  <si>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</si>
  <si>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</si>
  <si>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</si>
  <si>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</si>
  <si>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</si>
  <si>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</si>
  <si>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</si>
  <si>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</si>
  <si>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</si>
  <si>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</si>
  <si>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</si>
  <si>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</si>
  <si>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</si>
  <si>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</si>
  <si>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</si>
  <si>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</si>
  <si>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</si>
  <si>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</si>
  <si>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</si>
  <si>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</si>
  <si>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</si>
  <si>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</si>
  <si>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</si>
  <si>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</si>
  <si>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</si>
  <si>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</si>
  <si>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</si>
  <si>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</si>
  <si>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</si>
  <si>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</si>
  <si>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</si>
  <si>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</si>
  <si>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</si>
  <si>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</si>
  <si>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</si>
  <si>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</si>
  <si>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</si>
  <si>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</si>
  <si>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</si>
  <si>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</si>
  <si>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</si>
  <si>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</si>
  <si>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</si>
  <si>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</si>
  <si>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</si>
  <si>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</si>
  <si>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</si>
  <si>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</si>
  <si>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</si>
  <si>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</si>
  <si>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</si>
  <si>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</si>
  <si>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</si>
  <si>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</si>
  <si>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</si>
  <si>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</si>
  <si>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</si>
  <si>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</si>
  <si>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</si>
  <si>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</si>
  <si>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</si>
  <si>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</si>
  <si>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</si>
  <si>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</si>
  <si>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</si>
  <si>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</si>
  <si>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</si>
  <si>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</si>
  <si>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</si>
  <si>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</si>
  <si>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</si>
  <si>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</si>
  <si>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</si>
  <si>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</si>
  <si>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</si>
  <si>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</si>
  <si>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</si>
  <si>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</si>
  <si>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</si>
  <si>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</si>
  <si>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</si>
  <si>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</si>
  <si>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</si>
  <si>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</si>
  <si>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</si>
  <si>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</si>
  <si>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</si>
  <si>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</si>
  <si>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</si>
  <si>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</si>
  <si>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</si>
  <si>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</si>
  <si>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</si>
  <si>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</si>
  <si>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</si>
  <si>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</si>
  <si>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</si>
  <si>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</si>
  <si>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</si>
  <si>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</si>
  <si>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</si>
  <si>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</si>
  <si>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</si>
  <si>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</si>
  <si>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</si>
  <si>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</si>
  <si>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</si>
  <si>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</si>
  <si>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</si>
  <si>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</si>
  <si>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</si>
  <si>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</si>
  <si>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</si>
  <si>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</si>
  <si>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</si>
  <si>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</si>
  <si>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</si>
  <si>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</si>
  <si>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</si>
  <si>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</si>
  <si>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</si>
  <si>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</si>
  <si>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</si>
  <si>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</si>
  <si>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</si>
  <si>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</si>
  <si>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</si>
  <si>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</si>
  <si>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</si>
  <si>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</si>
  <si>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</si>
  <si>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</si>
  <si>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</si>
  <si>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</si>
  <si>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</si>
  <si>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</si>
  <si>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</si>
  <si>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</si>
  <si>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</si>
  <si>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</si>
  <si>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</si>
  <si>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</si>
  <si>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</si>
  <si>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</si>
  <si>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</si>
  <si>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</si>
  <si>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</si>
  <si>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</si>
  <si>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</si>
  <si>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</si>
  <si>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</si>
  <si>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</si>
  <si>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</si>
  <si>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</si>
  <si>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</si>
  <si>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</si>
  <si>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</si>
  <si>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</si>
  <si>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</si>
  <si>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</si>
  <si>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</si>
  <si>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</si>
  <si>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</si>
  <si>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</si>
  <si>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</si>
  <si>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</si>
  <si>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</si>
  <si>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</si>
  <si>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</si>
  <si>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</si>
  <si>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</si>
  <si>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</si>
  <si>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</si>
  <si>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</si>
  <si>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</si>
  <si>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</si>
  <si>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</si>
  <si>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</si>
  <si>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</si>
  <si>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</si>
  <si>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</si>
  <si>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</si>
  <si>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</si>
  <si>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</si>
  <si>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</si>
  <si>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</si>
  <si>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</si>
  <si>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</si>
  <si>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</si>
  <si>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</si>
  <si>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</si>
  <si>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</si>
  <si>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</si>
  <si>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</si>
  <si>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</si>
  <si>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</si>
  <si>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</si>
  <si>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</si>
  <si>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</si>
  <si>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</si>
  <si>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</si>
  <si>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</si>
  <si>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</si>
  <si>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</si>
  <si>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</si>
  <si>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</si>
  <si>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</si>
  <si>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</si>
  <si>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</si>
  <si>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</si>
  <si>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</si>
  <si>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</si>
  <si>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</si>
  <si>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</si>
  <si>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</si>
  <si>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</si>
  <si>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</si>
  <si>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</si>
  <si>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</si>
  <si>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</si>
  <si>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</si>
  <si>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</si>
  <si>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</si>
  <si>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</si>
  <si>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</si>
  <si>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</si>
  <si>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</si>
  <si>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</si>
  <si>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</si>
  <si>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</si>
  <si>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</si>
  <si>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</si>
  <si>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</si>
  <si>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</si>
  <si>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</si>
  <si>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</si>
  <si>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</si>
  <si>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</si>
  <si>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</si>
  <si>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</si>
  <si>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</si>
  <si>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</si>
  <si>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</si>
  <si>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</si>
  <si>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</si>
  <si>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</si>
  <si>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</si>
  <si>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</si>
  <si>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</si>
  <si>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</si>
  <si>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</si>
  <si>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</si>
  <si>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</si>
  <si>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</si>
  <si>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</si>
  <si>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</si>
  <si>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</si>
  <si>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</si>
  <si>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</si>
  <si>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</si>
  <si>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</si>
  <si>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</si>
  <si>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</si>
  <si>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</si>
  <si>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</si>
  <si>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</si>
  <si>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</si>
  <si>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</si>
  <si>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</si>
  <si>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</si>
  <si>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</si>
  <si>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</si>
  <si>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</si>
  <si>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</si>
  <si>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</si>
  <si>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</si>
  <si>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</si>
  <si>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</si>
  <si>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</si>
  <si>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</si>
  <si>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</si>
  <si>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</si>
  <si>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</si>
  <si>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</si>
  <si>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</si>
  <si>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</si>
  <si>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</si>
  <si>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</si>
  <si>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</si>
  <si>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</si>
  <si>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</si>
  <si>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</si>
  <si>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</si>
  <si>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</si>
  <si>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</si>
  <si>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</si>
  <si>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</si>
  <si>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</si>
  <si>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</si>
  <si>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</si>
  <si>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</si>
  <si>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</si>
  <si>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</si>
  <si>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</si>
  <si>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</si>
  <si>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</si>
  <si>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</si>
  <si>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</si>
  <si>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</si>
  <si>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</si>
  <si>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</si>
  <si>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</si>
  <si>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</si>
  <si>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</si>
  <si>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</si>
  <si>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</si>
  <si>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</si>
  <si>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</si>
  <si>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</si>
  <si>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</si>
  <si>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</si>
  <si>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</si>
  <si>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</si>
  <si>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</si>
  <si>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</si>
  <si>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</si>
  <si>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</si>
  <si>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</si>
  <si>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</si>
  <si>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</si>
  <si>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</si>
  <si>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</si>
  <si>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</si>
  <si>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</si>
  <si>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</si>
  <si>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</si>
  <si>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</si>
  <si>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</si>
  <si>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</si>
  <si>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</si>
  <si>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</si>
  <si>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</si>
  <si>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</si>
  <si>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</si>
  <si>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</si>
  <si>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</si>
  <si>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</si>
  <si>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</si>
  <si>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</si>
  <si>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</si>
  <si>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</si>
  <si>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</si>
  <si>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Balance sheet items *</t>
  </si>
  <si>
    <t>Effect of other adjustments *</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</si>
  <si>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</si>
  <si>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</si>
  <si>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</si>
  <si>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</si>
  <si>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</si>
  <si>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</si>
  <si>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</si>
  <si>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</si>
  <si>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</si>
  <si>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</si>
  <si>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</si>
  <si>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</si>
  <si>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</si>
  <si>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</si>
  <si>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</si>
  <si>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</si>
  <si>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</si>
  <si>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</si>
  <si>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</si>
  <si>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</si>
  <si>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</si>
  <si>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</si>
  <si>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</si>
  <si>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</si>
  <si>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</si>
  <si>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</si>
  <si>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</si>
  <si>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</si>
  <si>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</si>
  <si>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</si>
  <si>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</si>
  <si>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</si>
  <si>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</si>
  <si>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</si>
  <si>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</si>
  <si>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</si>
  <si>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</si>
  <si>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</si>
  <si>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</si>
  <si>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</si>
  <si>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</si>
  <si>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</si>
  <si>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</si>
  <si>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</si>
  <si>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</si>
  <si>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</si>
  <si>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</si>
  <si>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</si>
  <si>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</si>
  <si>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</si>
  <si>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</si>
  <si>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</si>
  <si>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</si>
  <si>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</si>
  <si>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</si>
  <si>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</si>
  <si>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</si>
  <si>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</si>
  <si>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</si>
  <si>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</si>
  <si>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</si>
  <si>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</si>
  <si>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</si>
  <si>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</si>
  <si>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</si>
  <si>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</si>
  <si>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</si>
  <si>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</si>
  <si>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</si>
  <si>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</si>
  <si>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</si>
  <si>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</si>
  <si>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</si>
  <si>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</si>
  <si>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</si>
  <si>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</si>
  <si>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</si>
  <si>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</si>
  <si>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</si>
  <si>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</si>
  <si>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</si>
  <si>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</si>
  <si>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</si>
  <si>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</si>
  <si>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</si>
  <si>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</si>
  <si>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</si>
  <si>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</si>
  <si>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</si>
  <si>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</si>
  <si>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</si>
  <si>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</si>
  <si>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</si>
  <si>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</si>
  <si>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</si>
  <si>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</si>
  <si>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</si>
  <si>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</si>
  <si>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</si>
  <si>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</si>
  <si>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</si>
  <si>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</si>
  <si>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</si>
  <si>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</si>
  <si>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</si>
  <si>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</si>
  <si>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</si>
  <si>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</si>
  <si>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</si>
  <si>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</si>
  <si>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</si>
  <si>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</si>
  <si>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</si>
  <si>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</si>
  <si>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</si>
  <si>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</si>
  <si>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</si>
  <si>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</si>
  <si>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</si>
  <si>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</si>
  <si>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</si>
  <si>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</si>
  <si>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</si>
  <si>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</si>
  <si>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</si>
  <si>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</si>
  <si>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</si>
  <si>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</si>
  <si>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</si>
  <si>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</si>
  <si>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</si>
  <si>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</si>
  <si>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</si>
  <si>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</si>
  <si>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</si>
  <si>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</si>
  <si>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</si>
  <si>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</si>
  <si>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</si>
  <si>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</si>
  <si>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</si>
  <si>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</si>
  <si>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</si>
  <si>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</si>
  <si>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</si>
  <si>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</si>
  <si>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</si>
  <si>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</si>
  <si>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</si>
  <si>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</si>
  <si>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</si>
  <si>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</si>
  <si>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</si>
  <si>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</si>
  <si>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</si>
  <si>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</si>
  <si>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</si>
  <si>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</si>
  <si>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</si>
  <si>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</si>
  <si>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</si>
  <si>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</si>
  <si>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</si>
  <si>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</si>
  <si>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</si>
  <si>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</si>
  <si>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</si>
  <si>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</si>
  <si>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</si>
  <si>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</si>
  <si>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</si>
  <si>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</si>
  <si>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</si>
  <si>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</si>
  <si>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</si>
  <si>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</si>
  <si>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</si>
  <si>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</si>
  <si>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</si>
  <si>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</si>
  <si>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</si>
  <si>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</si>
  <si>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</si>
  <si>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</si>
  <si>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</si>
  <si>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</si>
  <si>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</si>
  <si>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</si>
  <si>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</si>
  <si>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</si>
  <si>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</si>
  <si>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</si>
  <si>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</si>
  <si>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</si>
  <si>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</si>
  <si>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</si>
  <si>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</si>
  <si>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</si>
  <si>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</si>
  <si>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</si>
  <si>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</si>
  <si>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</si>
  <si>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</si>
  <si>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</si>
  <si>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</si>
  <si>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</si>
  <si>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</si>
  <si>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</si>
  <si>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</si>
  <si>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</si>
  <si>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</si>
  <si>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</si>
  <si>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</si>
  <si>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</si>
  <si>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</si>
  <si>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</si>
  <si>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</si>
  <si>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</si>
  <si>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</si>
  <si>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</si>
  <si>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</si>
  <si>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</si>
  <si>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</si>
  <si>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</si>
  <si>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</si>
  <si>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</si>
  <si>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</si>
  <si>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</si>
  <si>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</si>
  <si>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</si>
  <si>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</si>
  <si>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</si>
  <si>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</si>
  <si>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</si>
  <si>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</si>
  <si>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</si>
  <si>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</si>
  <si>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</si>
  <si>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</si>
  <si>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</si>
  <si>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</si>
  <si>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</si>
  <si>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</si>
  <si>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</si>
  <si>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</si>
  <si>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</si>
  <si>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</si>
  <si>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</si>
  <si>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</si>
  <si>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</si>
  <si>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</si>
  <si>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</si>
  <si>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</si>
  <si>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</si>
  <si>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</si>
  <si>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</si>
  <si>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</si>
  <si>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</si>
  <si>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</si>
  <si>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</si>
  <si>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</si>
  <si>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</si>
  <si>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</si>
  <si>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</si>
  <si>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</si>
  <si>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</si>
  <si>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</si>
  <si>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</si>
  <si>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</si>
  <si>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</si>
  <si>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</si>
  <si>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</si>
  <si>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</si>
  <si>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</si>
  <si>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</si>
  <si>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</si>
  <si>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</si>
  <si>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</si>
  <si>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</si>
  <si>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</si>
  <si>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</si>
  <si>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</si>
  <si>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</si>
  <si>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</si>
  <si>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</si>
  <si>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</si>
  <si>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</si>
  <si>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</si>
  <si>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</si>
  <si>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</si>
  <si>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</si>
  <si>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</si>
  <si>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</si>
  <si>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</si>
  <si>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</si>
  <si>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</si>
  <si>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</si>
  <si>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</si>
  <si>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</si>
  <si>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</si>
  <si>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</si>
  <si>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</si>
  <si>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</si>
  <si>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</si>
  <si>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</si>
  <si>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</si>
  <si>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</si>
  <si>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</si>
  <si>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</si>
  <si>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</si>
  <si>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</si>
  <si>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</si>
  <si>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</si>
  <si>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</si>
  <si>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</si>
  <si>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</si>
  <si>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</si>
  <si>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</si>
  <si>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</si>
  <si>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</si>
  <si>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</si>
  <si>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</si>
  <si>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</si>
  <si>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</si>
  <si>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</si>
  <si>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</si>
  <si>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</si>
  <si>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</si>
  <si>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</si>
  <si>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</si>
  <si>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</si>
  <si>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</si>
  <si>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</si>
  <si>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</si>
  <si>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</si>
  <si>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</si>
  <si>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</si>
  <si>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</si>
  <si>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</si>
  <si>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</si>
  <si>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</si>
  <si>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</si>
  <si>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</si>
  <si>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</si>
  <si>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</si>
  <si>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</si>
  <si>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</si>
  <si>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</si>
  <si>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</si>
  <si>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JSC Isbank Georgia</t>
  </si>
  <si>
    <t>Olgun Tufan Kurbanoğlu</t>
  </si>
  <si>
    <t>Hüseyin Emre Yılmaz</t>
  </si>
  <si>
    <t>www.isbank.ge</t>
  </si>
  <si>
    <t>Non-independent chair</t>
  </si>
  <si>
    <t>Ozan Uyar</t>
  </si>
  <si>
    <t>Non-independent member</t>
  </si>
  <si>
    <t>Huseyn Serdar Yücel</t>
  </si>
  <si>
    <t>Tamar Sanikidze</t>
  </si>
  <si>
    <t>Independent member</t>
  </si>
  <si>
    <t>Natia Janelidze</t>
  </si>
  <si>
    <t>Chief Executive Officer</t>
  </si>
  <si>
    <t>Deputy Chief Executive Officer</t>
  </si>
  <si>
    <t>Ucha Saralidze</t>
  </si>
  <si>
    <t>Chief Financial Officer</t>
  </si>
  <si>
    <t>Vasil Apkhazava</t>
  </si>
  <si>
    <t>Chief Risk Officer</t>
  </si>
  <si>
    <t>Turkıye Is Bankası A.S.</t>
  </si>
  <si>
    <t>Turkıye Is Bankası A,S, Employees" Pensıon Fund</t>
  </si>
  <si>
    <t>Turkey Republıcan People"s Party</t>
  </si>
  <si>
    <t>Table 9 (Capital), N2</t>
  </si>
  <si>
    <t>Table 9 (Capital), N6</t>
  </si>
  <si>
    <t>Ahmet Hakan Ünal</t>
  </si>
  <si>
    <t>Hüseyin Karabulut</t>
  </si>
  <si>
    <t>Capital Conservation Buffer</t>
  </si>
  <si>
    <t>Abdulvahap Doğan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</si>
</sst>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5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b/>
      <sz val="10"/>
      <name val="Arial"/>
      <family val="2"/>
      <charset val="162"/>
    </font>
    <font>
      <b/>
      <sz val="11"/>
      <color theme="1"/>
      <name val="Calibri"/>
      <family val="2"/>
      <charset val="162"/>
      <scheme val="minor"/>
    </font>
    <font>
      <b/>
      <sz val="10"/>
      <name val="Sylfaen"/>
      <family val="1"/>
      <charset val="162"/>
    </font>
    <font>
      <b/>
      <sz val="10"/>
      <color theme="1"/>
      <name val="Times New Roman"/>
      <family val="1"/>
    </font>
    <font>
      <b/>
      <sz val="10"/>
      <color theme="1"/>
      <name val="Times New Roman"/>
      <family val="1"/>
      <charset val="162"/>
    </font>
    <font>
      <b/>
      <sz val="10"/>
      <color theme="1"/>
      <name val="Arial"/>
      <family val="2"/>
      <charset val="162"/>
    </font>
    <font>
      <b/>
      <sz val="11"/>
      <color theme="1"/>
      <name val="Arial"/>
      <family val="2"/>
      <charset val="162"/>
    </font>
    <font>
      <b/>
      <u/>
      <sz val="10"/>
      <color indexed="12"/>
      <name val="Arial"/>
      <family val="2"/>
      <charset val="162"/>
    </font>
    <font>
      <b/>
      <i/>
      <sz val="10"/>
      <color theme="1"/>
      <name val="Arial"/>
      <family val="2"/>
      <charset val="162"/>
    </font>
    <font>
      <sz val="10"/>
      <color theme="1"/>
      <name val="Arial"/>
      <family val="2"/>
      <charset val="162"/>
    </font>
    <font>
      <b/>
      <i/>
      <sz val="10"/>
      <color theme="1"/>
      <name val="Sylfaen"/>
      <family val="1"/>
      <charset val="162"/>
    </font>
    <font>
      <b/>
      <sz val="10"/>
      <color theme="1"/>
      <name val="Calibri"/>
      <family val="2"/>
      <charset val="162"/>
      <scheme val="minor"/>
    </font>
    <font>
      <sz val="9"/>
      <color theme="1"/>
      <name val="Sylfaen"/>
      <family val="1"/>
      <charset val="162"/>
    </font>
    <font>
      <b/>
      <sz val="9"/>
      <name val="Sylfaen"/>
      <family val="1"/>
      <charset val="162"/>
    </font>
    <font>
      <b/>
      <sz val="9"/>
      <color theme="1"/>
      <name val="Sylfaen"/>
      <family val="1"/>
      <charset val="162"/>
    </font>
    <font>
      <sz val="9"/>
      <name val="Sylfaen"/>
      <family val="1"/>
      <charset val="162"/>
    </font>
    <font>
      <b/>
      <sz val="9"/>
      <name val="Calibri"/>
      <family val="2"/>
      <charset val="16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s>
  <borders count="13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theme="6" tint="-0.499984740745262"/>
      </left>
      <right style="thin">
        <color theme="6" tint="-0.499984740745262"/>
      </right>
      <top style="thin">
        <color theme="6" tint="-0.499984740745262"/>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s>
  <cellStyleXfs count="2096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9" fontId="23"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2" fillId="9" borderId="32"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0" fontId="21"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168" fontId="23" fillId="64" borderId="39" applyNumberFormat="0" applyAlignment="0" applyProtection="0"/>
    <xf numFmtId="169" fontId="23" fillId="64" borderId="39" applyNumberFormat="0" applyAlignment="0" applyProtection="0"/>
    <xf numFmtId="168" fontId="23" fillId="64" borderId="39" applyNumberFormat="0" applyAlignment="0" applyProtection="0"/>
    <xf numFmtId="0" fontId="21" fillId="64" borderId="39" applyNumberFormat="0" applyAlignment="0" applyProtection="0"/>
    <xf numFmtId="0" fontId="24"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0" fontId="25" fillId="10" borderId="35"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169" fontId="26" fillId="65" borderId="40" applyNumberFormat="0" applyAlignment="0" applyProtection="0"/>
    <xf numFmtId="168" fontId="26" fillId="65" borderId="40" applyNumberFormat="0" applyAlignment="0" applyProtection="0"/>
    <xf numFmtId="0" fontId="24" fillId="65" borderId="4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41">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0" applyNumberFormat="0" applyAlignment="0" applyProtection="0">
      <alignment horizontal="left" vertical="center"/>
    </xf>
    <xf numFmtId="0" fontId="37" fillId="0" borderId="30" applyNumberFormat="0" applyAlignment="0" applyProtection="0">
      <alignment horizontal="left" vertical="center"/>
    </xf>
    <xf numFmtId="168" fontId="37" fillId="0" borderId="30"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2" applyNumberFormat="0" applyFill="0" applyAlignment="0" applyProtection="0"/>
    <xf numFmtId="169" fontId="38" fillId="0" borderId="42" applyNumberFormat="0" applyFill="0" applyAlignment="0" applyProtection="0"/>
    <xf numFmtId="0"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168" fontId="38" fillId="0" borderId="42" applyNumberFormat="0" applyFill="0" applyAlignment="0" applyProtection="0"/>
    <xf numFmtId="169" fontId="38" fillId="0" borderId="42" applyNumberFormat="0" applyFill="0" applyAlignment="0" applyProtection="0"/>
    <xf numFmtId="168" fontId="38" fillId="0" borderId="42" applyNumberFormat="0" applyFill="0" applyAlignment="0" applyProtection="0"/>
    <xf numFmtId="0" fontId="38" fillId="0" borderId="42" applyNumberFormat="0" applyFill="0" applyAlignment="0" applyProtection="0"/>
    <xf numFmtId="0" fontId="39" fillId="0" borderId="43" applyNumberFormat="0" applyFill="0" applyAlignment="0" applyProtection="0"/>
    <xf numFmtId="169" fontId="39" fillId="0" borderId="43" applyNumberFormat="0" applyFill="0" applyAlignment="0" applyProtection="0"/>
    <xf numFmtId="0"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168" fontId="39" fillId="0" borderId="43" applyNumberFormat="0" applyFill="0" applyAlignment="0" applyProtection="0"/>
    <xf numFmtId="169" fontId="39" fillId="0" borderId="43" applyNumberFormat="0" applyFill="0" applyAlignment="0" applyProtection="0"/>
    <xf numFmtId="168" fontId="39" fillId="0" borderId="43"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169"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168" fontId="40" fillId="0" borderId="44" applyNumberFormat="0" applyFill="0" applyAlignment="0" applyProtection="0"/>
    <xf numFmtId="169" fontId="40" fillId="0" borderId="44" applyNumberFormat="0" applyFill="0" applyAlignment="0" applyProtection="0"/>
    <xf numFmtId="168" fontId="40" fillId="0" borderId="44"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9" fontId="51"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50" fillId="8" borderId="32"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0" fontId="49"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168" fontId="51" fillId="43" borderId="39" applyNumberFormat="0" applyAlignment="0" applyProtection="0"/>
    <xf numFmtId="169" fontId="51" fillId="43" borderId="39" applyNumberFormat="0" applyAlignment="0" applyProtection="0"/>
    <xf numFmtId="168" fontId="51" fillId="43" borderId="39" applyNumberFormat="0" applyAlignment="0" applyProtection="0"/>
    <xf numFmtId="0" fontId="49" fillId="43" borderId="39"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5"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0" fontId="52" fillId="0" borderId="45"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0" fontId="53" fillId="0" borderId="34"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168" fontId="54" fillId="0" borderId="45" applyNumberFormat="0" applyFill="0" applyAlignment="0" applyProtection="0"/>
    <xf numFmtId="169" fontId="54" fillId="0" borderId="45" applyNumberFormat="0" applyFill="0" applyAlignment="0" applyProtection="0"/>
    <xf numFmtId="168" fontId="54" fillId="0" borderId="45" applyNumberFormat="0" applyFill="0" applyAlignment="0" applyProtection="0"/>
    <xf numFmtId="0" fontId="52" fillId="0" borderId="45"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46"/>
    <xf numFmtId="169" fontId="9" fillId="0" borderId="46"/>
    <xf numFmtId="168" fontId="9" fillId="0" borderId="4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168" fontId="2" fillId="0" borderId="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169"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0" borderId="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1" fillId="11" borderId="36"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10"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168" fontId="2" fillId="0" borderId="0"/>
    <xf numFmtId="0" fontId="2" fillId="74" borderId="47" applyNumberFormat="0" applyFont="0" applyAlignment="0" applyProtection="0"/>
    <xf numFmtId="0" fontId="2" fillId="74" borderId="47" applyNumberFormat="0" applyFont="0" applyAlignment="0" applyProtection="0"/>
    <xf numFmtId="169" fontId="2" fillId="0" borderId="0"/>
    <xf numFmtId="168" fontId="2" fillId="0" borderId="0"/>
    <xf numFmtId="168" fontId="2" fillId="0" borderId="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0" fontId="2" fillId="74" borderId="47"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9" fontId="68"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7" fillId="9" borderId="33"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0" fontId="66"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168" fontId="68" fillId="64" borderId="48" applyNumberFormat="0" applyAlignment="0" applyProtection="0"/>
    <xf numFmtId="169" fontId="68" fillId="64" borderId="48" applyNumberFormat="0" applyAlignment="0" applyProtection="0"/>
    <xf numFmtId="168" fontId="68" fillId="64" borderId="48" applyNumberFormat="0" applyAlignment="0" applyProtection="0"/>
    <xf numFmtId="0" fontId="66" fillId="64" borderId="48"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9" fontId="77"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4" fillId="0" borderId="37"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0" fontId="30"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168" fontId="77" fillId="0" borderId="49" applyNumberFormat="0" applyFill="0" applyAlignment="0" applyProtection="0"/>
    <xf numFmtId="169" fontId="77" fillId="0" borderId="49" applyNumberFormat="0" applyFill="0" applyAlignment="0" applyProtection="0"/>
    <xf numFmtId="168" fontId="77" fillId="0" borderId="49" applyNumberFormat="0" applyFill="0" applyAlignment="0" applyProtection="0"/>
    <xf numFmtId="0" fontId="30" fillId="0" borderId="49" applyNumberFormat="0" applyFill="0" applyAlignment="0" applyProtection="0"/>
    <xf numFmtId="0" fontId="8" fillId="0" borderId="50"/>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123" fillId="0" borderId="0"/>
  </cellStyleXfs>
  <cellXfs count="916">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vertical="center" wrapText="1"/>
    </xf>
    <xf numFmtId="0" fontId="2" fillId="0" borderId="18" xfId="0" applyFont="1" applyFill="1" applyBorder="1" applyAlignment="1">
      <alignment horizontal="center" vertical="center" wrapText="1"/>
    </xf>
    <xf numFmtId="0" fontId="2" fillId="0" borderId="3" xfId="0" applyFont="1" applyBorder="1" applyAlignment="1">
      <alignment vertical="center" wrapText="1"/>
    </xf>
    <xf numFmtId="0" fontId="85" fillId="0" borderId="0" xfId="0" applyFont="1" applyFill="1"/>
    <xf numFmtId="0" fontId="2" fillId="0" borderId="0" xfId="0" applyFont="1" applyAlignment="1">
      <alignment horizontal="right"/>
    </xf>
    <xf numFmtId="0" fontId="88" fillId="0" borderId="0" xfId="0" applyFont="1"/>
    <xf numFmtId="0" fontId="46" fillId="0" borderId="0" xfId="0" applyFont="1" applyFill="1" applyBorder="1" applyAlignment="1" applyProtection="1">
      <alignment horizontal="right"/>
      <protection locked="0"/>
    </xf>
    <xf numFmtId="0" fontId="88" fillId="0" borderId="0" xfId="0" applyFont="1" applyBorder="1"/>
    <xf numFmtId="0" fontId="46" fillId="0" borderId="0" xfId="0" applyFont="1" applyFill="1" applyAlignment="1">
      <alignment horizontal="center"/>
    </xf>
    <xf numFmtId="0" fontId="84" fillId="0" borderId="18" xfId="0" applyFont="1" applyBorder="1" applyAlignment="1">
      <alignment horizontal="center" vertical="center" wrapText="1"/>
    </xf>
    <xf numFmtId="0" fontId="84" fillId="0" borderId="3" xfId="0" applyFont="1" applyFill="1" applyBorder="1" applyAlignment="1">
      <alignment vertical="center" wrapText="1"/>
    </xf>
    <xf numFmtId="0" fontId="84" fillId="0" borderId="21" xfId="0" applyFont="1" applyBorder="1" applyAlignment="1">
      <alignment horizontal="center"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5" xfId="0" applyFont="1" applyBorder="1"/>
    <xf numFmtId="0" fontId="2" fillId="0" borderId="18" xfId="0" applyFont="1" applyBorder="1" applyAlignment="1">
      <alignment vertical="center"/>
    </xf>
    <xf numFmtId="0" fontId="2" fillId="0" borderId="8" xfId="0" applyFont="1" applyBorder="1" applyAlignment="1">
      <alignment wrapText="1"/>
    </xf>
    <xf numFmtId="0" fontId="84" fillId="0" borderId="20" xfId="0" applyFont="1" applyBorder="1" applyAlignment="1"/>
    <xf numFmtId="0" fontId="85" fillId="0" borderId="0" xfId="0" applyFont="1" applyAlignment="1">
      <alignment wrapText="1"/>
    </xf>
    <xf numFmtId="0" fontId="2" fillId="0" borderId="20" xfId="0" applyFont="1" applyBorder="1" applyAlignment="1"/>
    <xf numFmtId="0" fontId="2" fillId="0" borderId="20" xfId="0" applyFont="1" applyBorder="1" applyAlignment="1">
      <alignment wrapText="1"/>
    </xf>
    <xf numFmtId="0" fontId="2" fillId="0" borderId="21" xfId="0" applyFont="1" applyBorder="1"/>
    <xf numFmtId="0" fontId="2" fillId="0" borderId="24"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6" xfId="11" applyFont="1" applyFill="1" applyBorder="1" applyAlignment="1" applyProtection="1">
      <alignment horizontal="center" vertical="center"/>
    </xf>
    <xf numFmtId="0" fontId="45" fillId="0" borderId="17"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0" xfId="0" applyFont="1" applyAlignment="1">
      <alignment vertical="center"/>
    </xf>
    <xf numFmtId="0" fontId="84" fillId="0" borderId="18" xfId="0" applyFont="1" applyBorder="1" applyAlignment="1">
      <alignment horizontal="center" vertical="center"/>
    </xf>
    <xf numFmtId="0" fontId="85" fillId="0" borderId="0" xfId="0" applyFont="1" applyAlignment="1"/>
    <xf numFmtId="0" fontId="84" fillId="0" borderId="11"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5"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17" xfId="2" applyNumberFormat="1" applyFont="1" applyFill="1" applyBorder="1" applyAlignment="1" applyProtection="1">
      <alignment horizontal="center" vertical="center"/>
      <protection locked="0"/>
    </xf>
    <xf numFmtId="0" fontId="2" fillId="0" borderId="18"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193" fontId="2" fillId="3" borderId="19"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3" fontId="2" fillId="3"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18"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3" fontId="2" fillId="36" borderId="19"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45" fillId="36" borderId="22" xfId="13" applyFont="1" applyFill="1" applyBorder="1" applyAlignment="1" applyProtection="1">
      <alignment vertical="center" wrapText="1"/>
      <protection locked="0"/>
    </xf>
    <xf numFmtId="193" fontId="2" fillId="36" borderId="23"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59" xfId="0" applyFont="1" applyFill="1" applyBorder="1" applyAlignment="1">
      <alignment horizontal="center" vertical="center" wrapText="1"/>
    </xf>
    <xf numFmtId="0" fontId="84" fillId="0" borderId="6" xfId="0" applyFont="1" applyFill="1" applyBorder="1" applyAlignment="1">
      <alignment horizontal="center" vertical="center" wrapText="1"/>
    </xf>
    <xf numFmtId="167" fontId="84" fillId="0" borderId="60" xfId="0" applyNumberFormat="1" applyFont="1" applyBorder="1" applyAlignment="1">
      <alignment horizontal="center"/>
    </xf>
    <xf numFmtId="167" fontId="85" fillId="0" borderId="0" xfId="0" applyNumberFormat="1" applyFont="1" applyBorder="1" applyAlignment="1">
      <alignment horizontal="center"/>
    </xf>
    <xf numFmtId="167" fontId="84" fillId="0" borderId="58" xfId="0" applyNumberFormat="1" applyFont="1" applyBorder="1" applyAlignment="1">
      <alignment horizontal="center"/>
    </xf>
    <xf numFmtId="167" fontId="91" fillId="0" borderId="0" xfId="0" applyNumberFormat="1" applyFont="1" applyBorder="1" applyAlignment="1">
      <alignment horizontal="center"/>
    </xf>
    <xf numFmtId="167" fontId="84" fillId="0" borderId="61" xfId="0" applyNumberFormat="1" applyFont="1" applyBorder="1" applyAlignment="1">
      <alignment horizontal="center"/>
    </xf>
    <xf numFmtId="167" fontId="89" fillId="0" borderId="0" xfId="0" applyNumberFormat="1" applyFont="1" applyFill="1" applyBorder="1" applyAlignment="1">
      <alignment horizontal="center"/>
    </xf>
    <xf numFmtId="193" fontId="87" fillId="0" borderId="12" xfId="0" applyNumberFormat="1" applyFont="1" applyBorder="1" applyAlignment="1">
      <alignment vertical="center"/>
    </xf>
    <xf numFmtId="167" fontId="84" fillId="0" borderId="62" xfId="0" applyNumberFormat="1" applyFont="1" applyBorder="1" applyAlignment="1">
      <alignment horizontal="center"/>
    </xf>
    <xf numFmtId="0" fontId="84" fillId="0" borderId="18" xfId="0" applyFont="1" applyBorder="1" applyAlignment="1">
      <alignment vertical="center"/>
    </xf>
    <xf numFmtId="193" fontId="84" fillId="0" borderId="3" xfId="0" applyNumberFormat="1" applyFont="1" applyBorder="1" applyAlignment="1"/>
    <xf numFmtId="0" fontId="88" fillId="0" borderId="0" xfId="0" applyFont="1" applyAlignment="1"/>
    <xf numFmtId="0" fontId="2" fillId="3" borderId="21" xfId="9" applyFont="1" applyFill="1" applyBorder="1" applyAlignment="1" applyProtection="1">
      <alignment horizontal="left" vertical="center"/>
      <protection locked="0"/>
    </xf>
    <xf numFmtId="0" fontId="45" fillId="3" borderId="22" xfId="16" applyFont="1" applyFill="1" applyBorder="1" applyAlignment="1" applyProtection="1">
      <protection locked="0"/>
    </xf>
    <xf numFmtId="0" fontId="86" fillId="0" borderId="0" xfId="0" applyFont="1" applyAlignment="1">
      <alignment horizontal="center"/>
    </xf>
    <xf numFmtId="0" fontId="84" fillId="0" borderId="15" xfId="0" applyFont="1" applyBorder="1"/>
    <xf numFmtId="0" fontId="84" fillId="0" borderId="17" xfId="0" applyFont="1" applyBorder="1"/>
    <xf numFmtId="0" fontId="84" fillId="0" borderId="19" xfId="0" applyFont="1" applyBorder="1" applyAlignment="1">
      <alignment horizontal="center" vertical="center"/>
    </xf>
    <xf numFmtId="164" fontId="2" fillId="3" borderId="18"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19" xfId="1" applyNumberFormat="1" applyFont="1" applyFill="1" applyBorder="1" applyAlignment="1" applyProtection="1">
      <alignment horizontal="center" vertical="center" wrapText="1"/>
      <protection locked="0"/>
    </xf>
    <xf numFmtId="0" fontId="2" fillId="3" borderId="18" xfId="5" applyFont="1" applyFill="1" applyBorder="1" applyAlignment="1" applyProtection="1">
      <alignment horizontal="right" vertical="center"/>
      <protection locked="0"/>
    </xf>
    <xf numFmtId="193" fontId="84" fillId="0" borderId="18" xfId="0" applyNumberFormat="1" applyFont="1" applyBorder="1" applyAlignment="1"/>
    <xf numFmtId="193" fontId="84" fillId="0" borderId="19" xfId="0" applyNumberFormat="1" applyFont="1" applyBorder="1" applyAlignment="1"/>
    <xf numFmtId="0" fontId="45" fillId="3" borderId="23" xfId="16" applyFont="1" applyFill="1" applyBorder="1" applyAlignment="1" applyProtection="1">
      <protection locked="0"/>
    </xf>
    <xf numFmtId="0" fontId="84" fillId="0" borderId="0" xfId="0" applyFont="1" applyBorder="1" applyAlignment="1">
      <alignment vertical="center"/>
    </xf>
    <xf numFmtId="0" fontId="84" fillId="0" borderId="16" xfId="0" applyFont="1" applyBorder="1"/>
    <xf numFmtId="0" fontId="88" fillId="0" borderId="0" xfId="0" applyFont="1" applyAlignment="1">
      <alignment wrapText="1"/>
    </xf>
    <xf numFmtId="0" fontId="84" fillId="0" borderId="18" xfId="0" applyFont="1" applyBorder="1"/>
    <xf numFmtId="0" fontId="84" fillId="0" borderId="3" xfId="0" applyFont="1" applyBorder="1"/>
    <xf numFmtId="0" fontId="84" fillId="0" borderId="63" xfId="0" applyFont="1" applyBorder="1" applyAlignment="1">
      <alignment wrapText="1"/>
    </xf>
    <xf numFmtId="0" fontId="84" fillId="0" borderId="21" xfId="0" applyFont="1" applyBorder="1"/>
    <xf numFmtId="0" fontId="86" fillId="0" borderId="22" xfId="0" applyFont="1" applyBorder="1"/>
    <xf numFmtId="193" fontId="45" fillId="36" borderId="22" xfId="16" applyNumberFormat="1" applyFont="1" applyFill="1" applyBorder="1" applyAlignment="1" applyProtection="1">
      <protection locked="0"/>
    </xf>
    <xf numFmtId="0" fontId="84" fillId="0" borderId="54" xfId="0" applyFont="1" applyBorder="1" applyAlignment="1">
      <alignment horizontal="center"/>
    </xf>
    <xf numFmtId="0" fontId="84" fillId="0" borderId="55" xfId="0" applyFont="1" applyBorder="1" applyAlignment="1">
      <alignment horizontal="center"/>
    </xf>
    <xf numFmtId="0" fontId="84" fillId="0" borderId="16" xfId="0" applyFont="1" applyBorder="1" applyAlignment="1">
      <alignment horizontal="center"/>
    </xf>
    <xf numFmtId="0" fontId="84" fillId="0" borderId="17" xfId="0" applyFont="1" applyBorder="1" applyAlignment="1">
      <alignment horizontal="center"/>
    </xf>
    <xf numFmtId="0" fontId="88" fillId="0" borderId="0" xfId="0" applyFont="1" applyAlignment="1">
      <alignment horizontal="center"/>
    </xf>
    <xf numFmtId="0" fontId="2" fillId="3" borderId="18"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19"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2" xfId="16" applyNumberFormat="1" applyFont="1" applyFill="1" applyBorder="1" applyAlignment="1" applyProtection="1">
      <protection locked="0"/>
    </xf>
    <xf numFmtId="193" fontId="45" fillId="36" borderId="22" xfId="1" applyNumberFormat="1" applyFont="1" applyFill="1" applyBorder="1" applyAlignment="1" applyProtection="1">
      <protection locked="0"/>
    </xf>
    <xf numFmtId="193" fontId="2" fillId="3" borderId="22" xfId="5" applyNumberFormat="1" applyFont="1" applyFill="1" applyBorder="1" applyProtection="1">
      <protection locked="0"/>
    </xf>
    <xf numFmtId="164" fontId="45" fillId="36" borderId="23" xfId="1" applyNumberFormat="1" applyFont="1" applyFill="1" applyBorder="1" applyAlignment="1" applyProtection="1">
      <protection locked="0"/>
    </xf>
    <xf numFmtId="193" fontId="84" fillId="0" borderId="0" xfId="0" applyNumberFormat="1" applyFont="1"/>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2" xfId="0" applyFont="1" applyBorder="1" applyAlignment="1">
      <alignment vertical="center" wrapText="1"/>
    </xf>
    <xf numFmtId="0" fontId="2" fillId="0" borderId="15" xfId="11" applyFont="1" applyFill="1" applyBorder="1" applyAlignment="1" applyProtection="1">
      <alignment vertical="center"/>
    </xf>
    <xf numFmtId="0" fontId="2" fillId="0" borderId="16" xfId="11" applyFont="1" applyFill="1" applyBorder="1" applyAlignment="1" applyProtection="1">
      <alignment vertical="center"/>
    </xf>
    <xf numFmtId="193" fontId="86" fillId="36" borderId="22"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2" xfId="0" applyFont="1" applyFill="1" applyBorder="1" applyAlignment="1">
      <alignment wrapText="1"/>
    </xf>
    <xf numFmtId="0" fontId="84" fillId="0" borderId="15" xfId="0" applyFont="1" applyBorder="1" applyAlignment="1">
      <alignment horizontal="center" vertical="center"/>
    </xf>
    <xf numFmtId="0" fontId="84" fillId="0" borderId="0" xfId="0" applyFont="1" applyAlignment="1"/>
    <xf numFmtId="193" fontId="84" fillId="0" borderId="19" xfId="0" applyNumberFormat="1" applyFont="1" applyBorder="1" applyAlignment="1">
      <alignment wrapText="1"/>
    </xf>
    <xf numFmtId="0" fontId="45" fillId="0" borderId="0" xfId="11" applyFont="1" applyFill="1" applyBorder="1" applyAlignment="1" applyProtection="1">
      <alignment horizontal="center"/>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5" xfId="0" applyFont="1" applyBorder="1" applyAlignment="1">
      <alignment horizontal="center" vertical="center" wrapText="1"/>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19" xfId="1" applyNumberFormat="1" applyFont="1" applyFill="1" applyBorder="1" applyAlignment="1" applyProtection="1">
      <alignment horizontal="center" vertical="center" wrapText="1"/>
      <protection locked="0"/>
    </xf>
    <xf numFmtId="0" fontId="3" fillId="0" borderId="54" xfId="0" applyFont="1" applyBorder="1"/>
    <xf numFmtId="0" fontId="3" fillId="0" borderId="55" xfId="0" applyFont="1" applyBorder="1"/>
    <xf numFmtId="0" fontId="3" fillId="0" borderId="16"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97" fillId="0" borderId="0" xfId="0" applyFont="1"/>
    <xf numFmtId="0" fontId="3" fillId="0" borderId="63" xfId="0" applyFont="1" applyBorder="1"/>
    <xf numFmtId="193" fontId="84" fillId="0" borderId="20" xfId="0" applyNumberFormat="1" applyFont="1" applyBorder="1" applyAlignment="1"/>
    <xf numFmtId="0" fontId="3" fillId="0" borderId="0" xfId="0" applyFont="1"/>
    <xf numFmtId="0" fontId="3" fillId="0" borderId="16" xfId="0" applyFont="1" applyBorder="1" applyAlignment="1">
      <alignment wrapText="1"/>
    </xf>
    <xf numFmtId="0" fontId="3" fillId="0" borderId="26" xfId="0" applyFont="1" applyBorder="1" applyAlignment="1">
      <alignment wrapText="1"/>
    </xf>
    <xf numFmtId="0" fontId="3" fillId="0" borderId="17"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68" xfId="0" applyFont="1" applyFill="1" applyBorder="1" applyAlignment="1">
      <alignment vertical="center" wrapText="1"/>
    </xf>
    <xf numFmtId="0" fontId="84" fillId="0" borderId="18" xfId="0" applyFont="1" applyFill="1" applyBorder="1"/>
    <xf numFmtId="193" fontId="86" fillId="36" borderId="22"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76" xfId="0" applyFont="1" applyFill="1" applyBorder="1" applyAlignment="1">
      <alignment wrapText="1"/>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78" xfId="0" applyFont="1" applyFill="1" applyBorder="1" applyAlignment="1">
      <alignment horizontal="left"/>
    </xf>
    <xf numFmtId="0" fontId="99" fillId="3" borderId="79" xfId="0" applyFont="1" applyFill="1" applyBorder="1" applyAlignment="1">
      <alignment horizontal="left"/>
    </xf>
    <xf numFmtId="0" fontId="4" fillId="3" borderId="82" xfId="0" applyFont="1" applyFill="1" applyBorder="1" applyAlignment="1">
      <alignment vertical="center"/>
    </xf>
    <xf numFmtId="0" fontId="3" fillId="3" borderId="83" xfId="0" applyFont="1" applyFill="1" applyBorder="1" applyAlignment="1">
      <alignment vertical="center"/>
    </xf>
    <xf numFmtId="0" fontId="3" fillId="3" borderId="84" xfId="0" applyFont="1" applyFill="1" applyBorder="1" applyAlignment="1">
      <alignment vertical="center"/>
    </xf>
    <xf numFmtId="0" fontId="3" fillId="0" borderId="67"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18" xfId="0" applyFont="1" applyFill="1" applyBorder="1" applyAlignment="1">
      <alignment horizontal="center" vertical="center"/>
    </xf>
    <xf numFmtId="0" fontId="3" fillId="0" borderId="80" xfId="0" applyFont="1" applyFill="1" applyBorder="1" applyAlignment="1">
      <alignment vertical="center"/>
    </xf>
    <xf numFmtId="0" fontId="4" fillId="0" borderId="80" xfId="0" applyFont="1" applyFill="1" applyBorder="1" applyAlignment="1">
      <alignment vertical="center"/>
    </xf>
    <xf numFmtId="0" fontId="3" fillId="0" borderId="21" xfId="0" applyFont="1" applyFill="1" applyBorder="1" applyAlignment="1">
      <alignment horizontal="center" vertical="center"/>
    </xf>
    <xf numFmtId="0" fontId="4" fillId="0" borderId="22" xfId="0" applyFont="1" applyFill="1" applyBorder="1" applyAlignment="1">
      <alignment vertical="center"/>
    </xf>
    <xf numFmtId="0" fontId="3" fillId="3" borderId="63" xfId="0" applyFont="1" applyFill="1" applyBorder="1" applyAlignment="1">
      <alignment horizontal="center" vertical="center"/>
    </xf>
    <xf numFmtId="0" fontId="3" fillId="3" borderId="0"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169" fontId="9" fillId="37" borderId="55" xfId="20" applyBorder="1"/>
    <xf numFmtId="0" fontId="3" fillId="0" borderId="86" xfId="0" applyFont="1" applyFill="1" applyBorder="1" applyAlignment="1">
      <alignment horizontal="center" vertical="center"/>
    </xf>
    <xf numFmtId="0" fontId="3" fillId="0" borderId="87" xfId="0" applyFont="1" applyFill="1" applyBorder="1" applyAlignment="1">
      <alignment vertical="center"/>
    </xf>
    <xf numFmtId="169" fontId="9" fillId="37" borderId="24" xfId="20" applyBorder="1"/>
    <xf numFmtId="169" fontId="9" fillId="37" borderId="88" xfId="20" applyBorder="1"/>
    <xf numFmtId="169" fontId="9" fillId="37" borderId="25" xfId="20" applyBorder="1"/>
    <xf numFmtId="0" fontId="3" fillId="0" borderId="90" xfId="0" applyFont="1" applyFill="1" applyBorder="1" applyAlignment="1">
      <alignment horizontal="center" vertical="center"/>
    </xf>
    <xf numFmtId="0" fontId="3" fillId="0" borderId="91" xfId="0" applyFont="1" applyFill="1" applyBorder="1" applyAlignment="1">
      <alignment vertical="center"/>
    </xf>
    <xf numFmtId="169" fontId="9" fillId="37" borderId="30" xfId="20" applyBorder="1"/>
    <xf numFmtId="0" fontId="4" fillId="0" borderId="0" xfId="0" applyFont="1" applyFill="1" applyAlignment="1">
      <alignment horizontal="center"/>
    </xf>
    <xf numFmtId="0" fontId="86" fillId="0" borderId="81" xfId="0" applyFont="1" applyFill="1" applyBorder="1" applyAlignment="1">
      <alignment horizontal="center" vertical="center" wrapText="1"/>
    </xf>
    <xf numFmtId="0" fontId="94" fillId="0" borderId="0" xfId="11" applyFont="1" applyFill="1" applyBorder="1" applyProtection="1"/>
    <xf numFmtId="0" fontId="4" fillId="36" borderId="16" xfId="0" applyFont="1" applyFill="1" applyBorder="1" applyAlignment="1">
      <alignment horizontal="center" vertical="center" wrapText="1"/>
    </xf>
    <xf numFmtId="0" fontId="4" fillId="36" borderId="17" xfId="0" applyFont="1" applyFill="1" applyBorder="1" applyAlignment="1">
      <alignment horizontal="center" vertical="center" wrapText="1"/>
    </xf>
    <xf numFmtId="0" fontId="4" fillId="36" borderId="18" xfId="0" applyFont="1" applyFill="1" applyBorder="1" applyAlignment="1">
      <alignment horizontal="left" vertical="center" wrapText="1"/>
    </xf>
    <xf numFmtId="0" fontId="4" fillId="36" borderId="81" xfId="0" applyFont="1" applyFill="1" applyBorder="1" applyAlignment="1">
      <alignment horizontal="left" vertical="center" wrapText="1"/>
    </xf>
    <xf numFmtId="0" fontId="3" fillId="0" borderId="18" xfId="0" applyFont="1" applyFill="1" applyBorder="1" applyAlignment="1">
      <alignment horizontal="right" vertical="center" wrapText="1"/>
    </xf>
    <xf numFmtId="0" fontId="100" fillId="0" borderId="18" xfId="0" applyFont="1" applyFill="1" applyBorder="1" applyAlignment="1">
      <alignment horizontal="right" vertical="center" wrapText="1"/>
    </xf>
    <xf numFmtId="0" fontId="4" fillId="0" borderId="18"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1" fillId="0" borderId="21" xfId="5" applyNumberFormat="1" applyFont="1" applyFill="1" applyBorder="1" applyAlignment="1" applyProtection="1">
      <alignment horizontal="left" vertical="center"/>
      <protection locked="0"/>
    </xf>
    <xf numFmtId="0" fontId="102" fillId="0" borderId="22" xfId="9" applyFont="1" applyFill="1" applyBorder="1" applyAlignment="1" applyProtection="1">
      <alignment horizontal="left" vertical="center" wrapText="1"/>
      <protection locked="0"/>
    </xf>
    <xf numFmtId="0" fontId="6" fillId="0" borderId="80" xfId="17" applyFill="1" applyBorder="1" applyAlignment="1" applyProtection="1"/>
    <xf numFmtId="49" fontId="84" fillId="0" borderId="80"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6" borderId="98" xfId="20964" applyFont="1" applyFill="1" applyBorder="1" applyAlignment="1">
      <alignment vertical="center"/>
    </xf>
    <xf numFmtId="0" fontId="45" fillId="76" borderId="99" xfId="20964" applyFont="1" applyFill="1" applyBorder="1" applyAlignment="1">
      <alignment vertical="center"/>
    </xf>
    <xf numFmtId="0" fontId="45" fillId="76" borderId="96" xfId="20964" applyFont="1" applyFill="1" applyBorder="1" applyAlignment="1">
      <alignment vertical="center"/>
    </xf>
    <xf numFmtId="0" fontId="105" fillId="70" borderId="95" xfId="20964" applyFont="1" applyFill="1" applyBorder="1" applyAlignment="1">
      <alignment horizontal="center" vertical="center"/>
    </xf>
    <xf numFmtId="0" fontId="105" fillId="70" borderId="96" xfId="20964" applyFont="1" applyFill="1" applyBorder="1" applyAlignment="1">
      <alignment horizontal="left" vertical="center" wrapText="1"/>
    </xf>
    <xf numFmtId="164" fontId="105" fillId="0" borderId="97" xfId="7" applyNumberFormat="1" applyFont="1" applyFill="1" applyBorder="1" applyAlignment="1" applyProtection="1">
      <alignment horizontal="right" vertical="center"/>
      <protection locked="0"/>
    </xf>
    <xf numFmtId="0" fontId="104" fillId="77" borderId="97" xfId="20964" applyFont="1" applyFill="1" applyBorder="1" applyAlignment="1">
      <alignment horizontal="center" vertical="center"/>
    </xf>
    <xf numFmtId="0" fontId="104" fillId="77" borderId="99" xfId="20964" applyFont="1" applyFill="1" applyBorder="1" applyAlignment="1">
      <alignment vertical="top" wrapText="1"/>
    </xf>
    <xf numFmtId="164" fontId="45" fillId="76" borderId="96" xfId="7" applyNumberFormat="1" applyFont="1" applyFill="1" applyBorder="1" applyAlignment="1">
      <alignment horizontal="right" vertical="center"/>
    </xf>
    <xf numFmtId="0" fontId="106" fillId="70" borderId="95" xfId="20964" applyFont="1" applyFill="1" applyBorder="1" applyAlignment="1">
      <alignment horizontal="center" vertical="center"/>
    </xf>
    <xf numFmtId="0" fontId="105" fillId="70" borderId="99" xfId="20964" applyFont="1" applyFill="1" applyBorder="1" applyAlignment="1">
      <alignment vertical="center" wrapText="1"/>
    </xf>
    <xf numFmtId="0" fontId="105" fillId="70" borderId="96" xfId="20964" applyFont="1" applyFill="1" applyBorder="1" applyAlignment="1">
      <alignment horizontal="left" vertical="center"/>
    </xf>
    <xf numFmtId="0" fontId="106" fillId="3" borderId="95" xfId="20964" applyFont="1" applyFill="1" applyBorder="1" applyAlignment="1">
      <alignment horizontal="center" vertical="center"/>
    </xf>
    <xf numFmtId="0" fontId="105" fillId="3" borderId="96" xfId="20964" applyFont="1" applyFill="1" applyBorder="1" applyAlignment="1">
      <alignment horizontal="left" vertical="center"/>
    </xf>
    <xf numFmtId="0" fontId="106" fillId="0" borderId="95" xfId="20964" applyFont="1" applyFill="1" applyBorder="1" applyAlignment="1">
      <alignment horizontal="center" vertical="center"/>
    </xf>
    <xf numFmtId="0" fontId="105" fillId="0" borderId="96" xfId="20964" applyFont="1" applyFill="1" applyBorder="1" applyAlignment="1">
      <alignment horizontal="left" vertical="center"/>
    </xf>
    <xf numFmtId="0" fontId="107" fillId="77" borderId="97" xfId="20964" applyFont="1" applyFill="1" applyBorder="1" applyAlignment="1">
      <alignment horizontal="center" vertical="center"/>
    </xf>
    <xf numFmtId="0" fontId="104" fillId="77" borderId="99" xfId="20964" applyFont="1" applyFill="1" applyBorder="1" applyAlignment="1">
      <alignment vertical="center"/>
    </xf>
    <xf numFmtId="164" fontId="105" fillId="77" borderId="97" xfId="7" applyNumberFormat="1" applyFont="1" applyFill="1" applyBorder="1" applyAlignment="1" applyProtection="1">
      <alignment horizontal="right" vertical="center"/>
      <protection locked="0"/>
    </xf>
    <xf numFmtId="0" fontId="104" fillId="76" borderId="98" xfId="20964" applyFont="1" applyFill="1" applyBorder="1" applyAlignment="1">
      <alignment vertical="center"/>
    </xf>
    <xf numFmtId="0" fontId="104" fillId="76" borderId="99" xfId="20964" applyFont="1" applyFill="1" applyBorder="1" applyAlignment="1">
      <alignment vertical="center"/>
    </xf>
    <xf numFmtId="164" fontId="104" fillId="76" borderId="96" xfId="7" applyNumberFormat="1" applyFont="1" applyFill="1" applyBorder="1" applyAlignment="1">
      <alignment horizontal="right" vertical="center"/>
    </xf>
    <xf numFmtId="0" fontId="109" fillId="3" borderId="95" xfId="20964" applyFont="1" applyFill="1" applyBorder="1" applyAlignment="1">
      <alignment horizontal="center" vertical="center"/>
    </xf>
    <xf numFmtId="0" fontId="110" fillId="77" borderId="97" xfId="20964" applyFont="1" applyFill="1" applyBorder="1" applyAlignment="1">
      <alignment horizontal="center" vertical="center"/>
    </xf>
    <xf numFmtId="0" fontId="45" fillId="77" borderId="99" xfId="20964" applyFont="1" applyFill="1" applyBorder="1" applyAlignment="1">
      <alignment vertical="center"/>
    </xf>
    <xf numFmtId="0" fontId="109" fillId="70" borderId="95" xfId="20964" applyFont="1" applyFill="1" applyBorder="1" applyAlignment="1">
      <alignment horizontal="center" vertical="center"/>
    </xf>
    <xf numFmtId="164" fontId="105" fillId="3" borderId="97" xfId="7" applyNumberFormat="1" applyFont="1" applyFill="1" applyBorder="1" applyAlignment="1" applyProtection="1">
      <alignment horizontal="right" vertical="center"/>
      <protection locked="0"/>
    </xf>
    <xf numFmtId="0" fontId="110" fillId="3" borderId="97" xfId="20964" applyFont="1" applyFill="1" applyBorder="1" applyAlignment="1">
      <alignment horizontal="center" vertical="center"/>
    </xf>
    <xf numFmtId="0" fontId="45" fillId="3" borderId="99" xfId="20964" applyFont="1" applyFill="1" applyBorder="1" applyAlignment="1">
      <alignment vertical="center"/>
    </xf>
    <xf numFmtId="0" fontId="106" fillId="70" borderId="97" xfId="20964" applyFont="1" applyFill="1" applyBorder="1" applyAlignment="1">
      <alignment horizontal="center" vertical="center"/>
    </xf>
    <xf numFmtId="0" fontId="19" fillId="70" borderId="97" xfId="20964" applyFont="1" applyFill="1" applyBorder="1" applyAlignment="1">
      <alignment horizontal="center" vertical="center"/>
    </xf>
    <xf numFmtId="0" fontId="100" fillId="0" borderId="97" xfId="0" applyFont="1" applyFill="1" applyBorder="1" applyAlignment="1">
      <alignment horizontal="left" vertical="center" wrapText="1"/>
    </xf>
    <xf numFmtId="10" fontId="96" fillId="0" borderId="97" xfId="20962" applyNumberFormat="1" applyFont="1" applyFill="1" applyBorder="1" applyAlignment="1">
      <alignment horizontal="left" vertical="center" wrapText="1"/>
    </xf>
    <xf numFmtId="10" fontId="3" fillId="0"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left" vertical="center" wrapText="1"/>
    </xf>
    <xf numFmtId="10" fontId="100" fillId="0" borderId="97" xfId="20962" applyNumberFormat="1" applyFont="1" applyFill="1" applyBorder="1" applyAlignment="1">
      <alignment horizontal="left" vertical="center" wrapText="1"/>
    </xf>
    <xf numFmtId="10" fontId="4" fillId="36" borderId="97" xfId="20962" applyNumberFormat="1" applyFont="1" applyFill="1" applyBorder="1" applyAlignment="1">
      <alignment horizontal="left" vertical="center" wrapText="1"/>
    </xf>
    <xf numFmtId="10" fontId="4" fillId="36" borderId="97" xfId="0" applyNumberFormat="1" applyFont="1" applyFill="1" applyBorder="1" applyAlignment="1">
      <alignment horizontal="center" vertical="center" wrapText="1"/>
    </xf>
    <xf numFmtId="10" fontId="102" fillId="0" borderId="22" xfId="20962" applyNumberFormat="1" applyFont="1" applyFill="1" applyBorder="1" applyAlignment="1" applyProtection="1">
      <alignment horizontal="left" vertical="center"/>
    </xf>
    <xf numFmtId="0" fontId="4" fillId="36" borderId="97"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4" fillId="36" borderId="82" xfId="0" applyFont="1" applyFill="1" applyBorder="1" applyAlignment="1">
      <alignment vertical="center" wrapText="1"/>
    </xf>
    <xf numFmtId="0" fontId="4" fillId="36" borderId="96" xfId="0" applyFont="1" applyFill="1" applyBorder="1" applyAlignment="1">
      <alignment vertical="center" wrapText="1"/>
    </xf>
    <xf numFmtId="0" fontId="4" fillId="36" borderId="69" xfId="0" applyFont="1" applyFill="1" applyBorder="1" applyAlignment="1">
      <alignment vertical="center" wrapText="1"/>
    </xf>
    <xf numFmtId="0" fontId="4" fillId="36" borderId="29" xfId="0" applyFont="1" applyFill="1" applyBorder="1" applyAlignment="1">
      <alignment vertical="center" wrapText="1"/>
    </xf>
    <xf numFmtId="0" fontId="84" fillId="0" borderId="97" xfId="0" applyFont="1" applyBorder="1"/>
    <xf numFmtId="0" fontId="6" fillId="0" borderId="97" xfId="17" applyFill="1" applyBorder="1" applyAlignment="1" applyProtection="1">
      <alignment horizontal="left" vertical="center"/>
    </xf>
    <xf numFmtId="0" fontId="6" fillId="0" borderId="97" xfId="17" applyBorder="1" applyAlignment="1" applyProtection="1"/>
    <xf numFmtId="0" fontId="84" fillId="0" borderId="97" xfId="0" applyFont="1" applyFill="1" applyBorder="1"/>
    <xf numFmtId="0" fontId="6" fillId="0" borderId="97" xfId="17" applyFill="1" applyBorder="1" applyAlignment="1" applyProtection="1">
      <alignment horizontal="left" vertical="center" wrapText="1"/>
    </xf>
    <xf numFmtId="0" fontId="6" fillId="0" borderId="97" xfId="17" applyFill="1" applyBorder="1" applyAlignment="1" applyProtection="1"/>
    <xf numFmtId="0" fontId="45" fillId="0" borderId="16" xfId="0" applyFont="1" applyBorder="1" applyAlignment="1">
      <alignment horizontal="center" vertical="center" wrapText="1"/>
    </xf>
    <xf numFmtId="0" fontId="45" fillId="0" borderId="17" xfId="0" applyFont="1" applyBorder="1" applyAlignment="1">
      <alignment horizontal="center" vertical="center" wrapText="1"/>
    </xf>
    <xf numFmtId="0" fontId="2" fillId="0" borderId="3" xfId="0" applyFont="1" applyBorder="1" applyAlignment="1">
      <alignment wrapText="1"/>
    </xf>
    <xf numFmtId="0" fontId="84" fillId="0" borderId="19" xfId="0" applyFont="1" applyBorder="1" applyAlignment="1"/>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14" fontId="2" fillId="0" borderId="0" xfId="0" applyNumberFormat="1" applyFont="1"/>
    <xf numFmtId="169" fontId="2" fillId="37" borderId="0" xfId="20" applyFont="1" applyBorder="1"/>
    <xf numFmtId="169" fontId="2" fillId="37" borderId="94" xfId="20" applyFont="1" applyBorder="1"/>
    <xf numFmtId="0" fontId="2" fillId="0" borderId="18" xfId="0" applyFont="1" applyFill="1" applyBorder="1" applyAlignment="1">
      <alignment horizontal="right" vertical="center" wrapText="1"/>
    </xf>
    <xf numFmtId="0" fontId="2" fillId="2" borderId="18" xfId="0" applyFont="1" applyFill="1" applyBorder="1" applyAlignment="1">
      <alignment horizontal="right" vertical="center"/>
    </xf>
    <xf numFmtId="0" fontId="45" fillId="0" borderId="18" xfId="0" applyFont="1" applyFill="1" applyBorder="1" applyAlignment="1">
      <alignment horizontal="center" vertical="center" wrapText="1"/>
    </xf>
    <xf numFmtId="0" fontId="2" fillId="2" borderId="21"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4" xfId="0" applyFont="1" applyFill="1" applyBorder="1"/>
    <xf numFmtId="0" fontId="3" fillId="3" borderId="100" xfId="0" applyFont="1" applyFill="1" applyBorder="1" applyAlignment="1">
      <alignment wrapText="1"/>
    </xf>
    <xf numFmtId="0" fontId="3" fillId="3" borderId="101" xfId="0" applyFont="1" applyFill="1" applyBorder="1"/>
    <xf numFmtId="0" fontId="4" fillId="3" borderId="75" xfId="0" applyFont="1" applyFill="1" applyBorder="1" applyAlignment="1">
      <alignment horizontal="center" wrapText="1"/>
    </xf>
    <xf numFmtId="0" fontId="3" fillId="0" borderId="97" xfId="0" applyFont="1" applyFill="1" applyBorder="1" applyAlignment="1">
      <alignment horizontal="center"/>
    </xf>
    <xf numFmtId="0" fontId="3" fillId="0" borderId="97" xfId="0" applyFont="1" applyBorder="1" applyAlignment="1">
      <alignment horizontal="center"/>
    </xf>
    <xf numFmtId="0" fontId="3" fillId="3" borderId="63"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4" xfId="0" applyFont="1" applyFill="1" applyBorder="1" applyAlignment="1">
      <alignment horizontal="center" vertical="center" wrapText="1"/>
    </xf>
    <xf numFmtId="0" fontId="3" fillId="0" borderId="18" xfId="0" applyFont="1" applyBorder="1"/>
    <xf numFmtId="0" fontId="3" fillId="0" borderId="97" xfId="0" applyFont="1" applyBorder="1" applyAlignment="1">
      <alignment wrapText="1"/>
    </xf>
    <xf numFmtId="164" fontId="3" fillId="0" borderId="97" xfId="7" applyNumberFormat="1" applyFont="1" applyBorder="1"/>
    <xf numFmtId="164" fontId="3" fillId="0" borderId="81" xfId="7" applyNumberFormat="1" applyFont="1" applyBorder="1"/>
    <xf numFmtId="0" fontId="99" fillId="0" borderId="97" xfId="0" applyFont="1" applyBorder="1" applyAlignment="1">
      <alignment horizontal="left" wrapText="1" indent="2"/>
    </xf>
    <xf numFmtId="169" fontId="9" fillId="37" borderId="97" xfId="20" applyBorder="1"/>
    <xf numFmtId="164" fontId="3" fillId="0" borderId="97" xfId="7" applyNumberFormat="1" applyFont="1" applyBorder="1" applyAlignment="1">
      <alignment vertical="center"/>
    </xf>
    <xf numFmtId="0" fontId="4" fillId="0" borderId="18" xfId="0" applyFont="1" applyBorder="1"/>
    <xf numFmtId="0" fontId="4" fillId="0" borderId="97" xfId="0" applyFont="1" applyBorder="1" applyAlignment="1">
      <alignment wrapText="1"/>
    </xf>
    <xf numFmtId="164" fontId="4" fillId="0" borderId="81" xfId="7" applyNumberFormat="1" applyFont="1" applyBorder="1"/>
    <xf numFmtId="0" fontId="111" fillId="3" borderId="63"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4" xfId="7" applyNumberFormat="1" applyFont="1" applyFill="1" applyBorder="1"/>
    <xf numFmtId="164" fontId="3" fillId="0" borderId="97" xfId="7" applyNumberFormat="1" applyFont="1" applyFill="1" applyBorder="1"/>
    <xf numFmtId="164" fontId="3" fillId="0" borderId="97" xfId="7" applyNumberFormat="1" applyFont="1" applyFill="1" applyBorder="1" applyAlignment="1">
      <alignment vertical="center"/>
    </xf>
    <xf numFmtId="0" fontId="99" fillId="0" borderId="97"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4" xfId="0" applyFont="1" applyFill="1" applyBorder="1"/>
    <xf numFmtId="0" fontId="4" fillId="0" borderId="21" xfId="0" applyFont="1" applyBorder="1"/>
    <xf numFmtId="0" fontId="4" fillId="0" borderId="22" xfId="0" applyFont="1" applyBorder="1" applyAlignment="1">
      <alignment wrapText="1"/>
    </xf>
    <xf numFmtId="10" fontId="4" fillId="0" borderId="23" xfId="20962" applyNumberFormat="1" applyFont="1" applyBorder="1"/>
    <xf numFmtId="0" fontId="2" fillId="2" borderId="86" xfId="0" applyFont="1" applyFill="1" applyBorder="1" applyAlignment="1">
      <alignment horizontal="right" vertical="center"/>
    </xf>
    <xf numFmtId="0" fontId="2" fillId="0" borderId="95" xfId="0" applyFont="1" applyBorder="1" applyAlignment="1">
      <alignment vertical="center" wrapText="1"/>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3" fillId="0" borderId="0" xfId="0" applyFont="1" applyFill="1"/>
    <xf numFmtId="0" fontId="115" fillId="0" borderId="68" xfId="0" applyNumberFormat="1" applyFont="1" applyFill="1" applyBorder="1" applyAlignment="1">
      <alignment horizontal="left" vertical="center" wrapText="1"/>
    </xf>
    <xf numFmtId="0" fontId="6" fillId="0" borderId="112" xfId="17" applyBorder="1" applyAlignment="1" applyProtection="1"/>
    <xf numFmtId="0" fontId="113" fillId="0" borderId="0" xfId="0" applyFont="1" applyFill="1" applyAlignment="1">
      <alignment horizontal="left" vertical="top" wrapText="1"/>
    </xf>
    <xf numFmtId="193" fontId="2" fillId="3" borderId="81" xfId="2" applyNumberFormat="1" applyFont="1" applyFill="1" applyBorder="1" applyAlignment="1" applyProtection="1">
      <alignment vertical="top" wrapText="1"/>
      <protection locked="0"/>
    </xf>
    <xf numFmtId="0" fontId="126" fillId="3" borderId="118" xfId="0" applyFont="1" applyFill="1" applyBorder="1" applyAlignment="1">
      <alignment horizontal="left" vertical="center" wrapText="1"/>
    </xf>
    <xf numFmtId="0" fontId="124" fillId="0" borderId="118" xfId="0" applyFont="1" applyFill="1" applyBorder="1" applyAlignment="1">
      <alignment horizontal="left" vertical="center" wrapText="1"/>
    </xf>
    <xf numFmtId="0" fontId="126" fillId="0" borderId="118" xfId="0" applyFont="1" applyFill="1" applyBorder="1" applyAlignment="1">
      <alignment horizontal="left" vertical="center" wrapText="1"/>
    </xf>
    <xf numFmtId="0" fontId="126" fillId="0" borderId="118" xfId="0" applyFont="1" applyFill="1" applyBorder="1" applyAlignment="1">
      <alignment vertical="center" wrapText="1"/>
    </xf>
    <xf numFmtId="0" fontId="127" fillId="0" borderId="118" xfId="0" applyFont="1" applyFill="1" applyBorder="1" applyAlignment="1">
      <alignment horizontal="left" vertical="center" wrapText="1" indent="1"/>
    </xf>
    <xf numFmtId="0" fontId="127" fillId="3" borderId="118" xfId="0" applyFont="1" applyFill="1" applyBorder="1" applyAlignment="1">
      <alignment horizontal="left" vertical="center" wrapText="1" indent="1"/>
    </xf>
    <xf numFmtId="0" fontId="126" fillId="3" borderId="119" xfId="0" applyFont="1" applyFill="1" applyBorder="1" applyAlignment="1">
      <alignment horizontal="left" vertical="center" wrapText="1"/>
    </xf>
    <xf numFmtId="0" fontId="126" fillId="3" borderId="120" xfId="0" applyFont="1" applyFill="1" applyBorder="1" applyAlignment="1">
      <alignment horizontal="left" vertical="center" wrapText="1"/>
    </xf>
    <xf numFmtId="0" fontId="0" fillId="0" borderId="121" xfId="0" applyBorder="1" applyAlignment="1">
      <alignment horizontal="center"/>
    </xf>
    <xf numFmtId="0" fontId="125" fillId="3" borderId="121" xfId="20966" applyFont="1" applyFill="1" applyBorder="1" applyAlignment="1">
      <alignment horizontal="left" vertical="center" wrapText="1" indent="1"/>
    </xf>
    <xf numFmtId="0" fontId="125" fillId="3" borderId="118" xfId="0" applyFont="1" applyFill="1" applyBorder="1" applyAlignment="1">
      <alignment horizontal="left" vertical="center" wrapText="1" indent="1"/>
    </xf>
    <xf numFmtId="0" fontId="125" fillId="0" borderId="121" xfId="20966" applyFont="1" applyFill="1" applyBorder="1" applyAlignment="1">
      <alignment horizontal="left" vertical="center" wrapText="1" indent="1"/>
    </xf>
    <xf numFmtId="0" fontId="126" fillId="0" borderId="121" xfId="20966" applyFont="1" applyFill="1" applyBorder="1" applyAlignment="1">
      <alignment horizontal="left" vertical="center" wrapText="1"/>
    </xf>
    <xf numFmtId="0" fontId="126" fillId="0" borderId="121" xfId="0" applyFont="1" applyFill="1" applyBorder="1" applyAlignment="1">
      <alignment vertical="center" wrapText="1"/>
    </xf>
    <xf numFmtId="0" fontId="128" fillId="0" borderId="121" xfId="20966" applyFont="1" applyFill="1" applyBorder="1" applyAlignment="1">
      <alignment horizontal="center" vertical="center" wrapText="1"/>
    </xf>
    <xf numFmtId="0" fontId="126" fillId="3" borderId="121" xfId="20966" applyFont="1" applyFill="1" applyBorder="1" applyAlignment="1">
      <alignment horizontal="left" vertical="center" wrapText="1"/>
    </xf>
    <xf numFmtId="0" fontId="126" fillId="0" borderId="12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1" xfId="0" applyFont="1" applyFill="1" applyBorder="1" applyAlignment="1" applyProtection="1">
      <alignment horizontal="center" vertical="center" wrapText="1"/>
    </xf>
    <xf numFmtId="0" fontId="0" fillId="0" borderId="121" xfId="0" applyBorder="1" applyAlignment="1">
      <alignment horizontal="center" vertical="center"/>
    </xf>
    <xf numFmtId="0" fontId="126" fillId="0" borderId="126" xfId="0" applyFont="1" applyFill="1" applyBorder="1" applyAlignment="1">
      <alignment horizontal="justify" vertical="center" wrapText="1"/>
    </xf>
    <xf numFmtId="0" fontId="125" fillId="0" borderId="118" xfId="0" applyFont="1" applyFill="1" applyBorder="1" applyAlignment="1">
      <alignment horizontal="left" vertical="center" wrapText="1" indent="1"/>
    </xf>
    <xf numFmtId="0" fontId="125" fillId="0" borderId="119" xfId="0" applyFont="1" applyFill="1" applyBorder="1" applyAlignment="1">
      <alignment horizontal="left" vertical="center" wrapText="1" indent="1"/>
    </xf>
    <xf numFmtId="0" fontId="126" fillId="0" borderId="118" xfId="0" applyFont="1" applyFill="1" applyBorder="1" applyAlignment="1">
      <alignment horizontal="justify" vertical="center" wrapText="1"/>
    </xf>
    <xf numFmtId="0" fontId="124" fillId="0" borderId="118" xfId="0" applyFont="1" applyFill="1" applyBorder="1" applyAlignment="1">
      <alignment horizontal="justify" vertical="center" wrapText="1"/>
    </xf>
    <xf numFmtId="0" fontId="126" fillId="3" borderId="118" xfId="0" applyFont="1" applyFill="1" applyBorder="1" applyAlignment="1">
      <alignment horizontal="justify" vertical="center" wrapText="1"/>
    </xf>
    <xf numFmtId="0" fontId="126" fillId="0" borderId="119" xfId="0" applyFont="1" applyFill="1" applyBorder="1" applyAlignment="1">
      <alignment horizontal="justify" vertical="center" wrapText="1"/>
    </xf>
    <xf numFmtId="0" fontId="126" fillId="0" borderId="120" xfId="0" applyFont="1" applyFill="1" applyBorder="1" applyAlignment="1">
      <alignment horizontal="justify" vertical="center" wrapText="1"/>
    </xf>
    <xf numFmtId="0" fontId="124" fillId="0" borderId="118" xfId="0" applyFont="1" applyFill="1" applyBorder="1" applyAlignment="1">
      <alignment vertical="center" wrapText="1"/>
    </xf>
    <xf numFmtId="0" fontId="125" fillId="0" borderId="118" xfId="0" applyFont="1" applyFill="1" applyBorder="1" applyAlignment="1">
      <alignment horizontal="left" vertical="center" wrapText="1"/>
    </xf>
    <xf numFmtId="0" fontId="126" fillId="0" borderId="127" xfId="0" applyFont="1" applyFill="1" applyBorder="1" applyAlignment="1">
      <alignment vertical="center" wrapText="1"/>
    </xf>
    <xf numFmtId="193" fontId="94" fillId="0" borderId="0" xfId="0" applyNumberFormat="1" applyFont="1" applyFill="1" applyBorder="1" applyAlignment="1" applyProtection="1">
      <alignment horizontal="right"/>
    </xf>
    <xf numFmtId="43" fontId="84" fillId="0" borderId="121" xfId="7" applyFont="1" applyFill="1" applyBorder="1" applyAlignment="1">
      <alignment horizontal="center" vertical="center"/>
    </xf>
    <xf numFmtId="0" fontId="125" fillId="3" borderId="119" xfId="0" applyFont="1" applyFill="1" applyBorder="1" applyAlignment="1">
      <alignment horizontal="left" vertical="center" wrapText="1" indent="1"/>
    </xf>
    <xf numFmtId="0" fontId="125" fillId="3" borderId="121" xfId="0" applyFont="1" applyFill="1" applyBorder="1" applyAlignment="1">
      <alignment horizontal="left" vertical="center" wrapText="1" indent="1"/>
    </xf>
    <xf numFmtId="0" fontId="126" fillId="0" borderId="121" xfId="0" applyFont="1" applyBorder="1" applyAlignment="1">
      <alignment horizontal="left" vertical="center" wrapText="1"/>
    </xf>
    <xf numFmtId="0" fontId="84" fillId="0" borderId="121" xfId="0" applyFont="1" applyBorder="1"/>
    <xf numFmtId="0" fontId="125" fillId="0" borderId="121" xfId="0" applyFont="1" applyBorder="1" applyAlignment="1">
      <alignment horizontal="left" vertical="center" wrapText="1" indent="1"/>
    </xf>
    <xf numFmtId="0" fontId="126" fillId="3" borderId="121" xfId="0" applyFont="1" applyFill="1" applyBorder="1" applyAlignment="1">
      <alignment horizontal="left" vertical="center" wrapText="1"/>
    </xf>
    <xf numFmtId="0" fontId="127" fillId="3" borderId="121" xfId="0" applyFont="1" applyFill="1" applyBorder="1" applyAlignment="1">
      <alignment horizontal="left" vertical="center" wrapText="1" indent="1"/>
    </xf>
    <xf numFmtId="0" fontId="129" fillId="0" borderId="121" xfId="0" applyFont="1" applyBorder="1" applyAlignment="1">
      <alignment horizontal="justify"/>
    </xf>
    <xf numFmtId="167" fontId="86" fillId="0" borderId="56" xfId="0" applyNumberFormat="1" applyFont="1" applyFill="1" applyBorder="1" applyAlignment="1">
      <alignment horizontal="center"/>
    </xf>
    <xf numFmtId="167" fontId="84" fillId="0" borderId="58" xfId="0" applyNumberFormat="1" applyFont="1" applyFill="1" applyBorder="1" applyAlignment="1">
      <alignment horizontal="center"/>
    </xf>
    <xf numFmtId="167" fontId="87" fillId="0" borderId="58" xfId="0" applyNumberFormat="1" applyFont="1" applyFill="1" applyBorder="1" applyAlignment="1">
      <alignment horizontal="center"/>
    </xf>
    <xf numFmtId="167" fontId="46" fillId="0" borderId="58" xfId="0" applyNumberFormat="1" applyFont="1" applyFill="1" applyBorder="1" applyAlignment="1">
      <alignment horizontal="center"/>
    </xf>
    <xf numFmtId="167" fontId="84" fillId="0" borderId="61" xfId="0" applyNumberFormat="1" applyFont="1" applyFill="1" applyBorder="1" applyAlignment="1">
      <alignment horizontal="center"/>
    </xf>
    <xf numFmtId="193" fontId="84" fillId="0" borderId="11" xfId="0" applyNumberFormat="1" applyFont="1" applyBorder="1" applyAlignment="1">
      <alignment horizontal="center" vertical="center"/>
    </xf>
    <xf numFmtId="193" fontId="86" fillId="0" borderId="13" xfId="0" applyNumberFormat="1" applyFont="1" applyFill="1" applyBorder="1" applyAlignment="1">
      <alignment horizontal="center" vertical="center"/>
    </xf>
    <xf numFmtId="0" fontId="125" fillId="0" borderId="121" xfId="0" applyFont="1" applyFill="1" applyBorder="1" applyAlignment="1">
      <alignment horizontal="left" vertical="center" wrapText="1" indent="1"/>
    </xf>
    <xf numFmtId="0" fontId="113" fillId="0" borderId="0" xfId="0" applyFont="1"/>
    <xf numFmtId="0" fontId="116" fillId="0" borderId="121" xfId="0" applyFont="1" applyBorder="1"/>
    <xf numFmtId="49" fontId="118" fillId="0" borderId="121" xfId="5" applyNumberFormat="1" applyFont="1" applyFill="1" applyBorder="1" applyAlignment="1" applyProtection="1">
      <alignment horizontal="right" vertical="center"/>
      <protection locked="0"/>
    </xf>
    <xf numFmtId="0" fontId="117" fillId="3" borderId="121" xfId="13" applyFont="1" applyFill="1" applyBorder="1" applyAlignment="1" applyProtection="1">
      <alignment horizontal="left" vertical="center" wrapText="1"/>
      <protection locked="0"/>
    </xf>
    <xf numFmtId="49" fontId="117" fillId="3" borderId="121" xfId="5" applyNumberFormat="1" applyFont="1" applyFill="1" applyBorder="1" applyAlignment="1" applyProtection="1">
      <alignment horizontal="right" vertical="center"/>
      <protection locked="0"/>
    </xf>
    <xf numFmtId="0" fontId="117" fillId="0" borderId="121" xfId="13" applyFont="1" applyFill="1" applyBorder="1" applyAlignment="1" applyProtection="1">
      <alignment horizontal="left" vertical="center" wrapText="1"/>
      <protection locked="0"/>
    </xf>
    <xf numFmtId="49" fontId="117" fillId="0" borderId="121" xfId="5" applyNumberFormat="1" applyFont="1" applyFill="1" applyBorder="1" applyAlignment="1" applyProtection="1">
      <alignment horizontal="right" vertical="center"/>
      <protection locked="0"/>
    </xf>
    <xf numFmtId="0" fontId="119" fillId="0" borderId="121" xfId="13" applyFont="1" applyFill="1" applyBorder="1" applyAlignment="1" applyProtection="1">
      <alignment horizontal="left" vertical="center" wrapText="1"/>
      <protection locked="0"/>
    </xf>
    <xf numFmtId="0" fontId="116" fillId="0" borderId="121" xfId="0" applyFont="1" applyFill="1" applyBorder="1" applyAlignment="1">
      <alignment horizontal="center" vertical="center" wrapText="1"/>
    </xf>
    <xf numFmtId="0" fontId="113" fillId="0" borderId="0" xfId="0" applyFont="1" applyAlignment="1">
      <alignment wrapText="1"/>
    </xf>
    <xf numFmtId="0" fontId="112" fillId="0" borderId="121" xfId="0" applyFont="1" applyBorder="1"/>
    <xf numFmtId="0" fontId="112" fillId="0" borderId="121" xfId="0" applyFont="1" applyFill="1" applyBorder="1"/>
    <xf numFmtId="0" fontId="112" fillId="0" borderId="121" xfId="0" applyFont="1" applyBorder="1" applyAlignment="1">
      <alignment horizontal="left" indent="8"/>
    </xf>
    <xf numFmtId="0" fontId="112" fillId="0" borderId="121" xfId="0" applyFont="1" applyBorder="1" applyAlignment="1">
      <alignment wrapText="1"/>
    </xf>
    <xf numFmtId="0" fontId="116" fillId="0" borderId="0" xfId="0" applyFont="1"/>
    <xf numFmtId="0" fontId="115" fillId="0" borderId="121" xfId="0" applyFont="1" applyBorder="1"/>
    <xf numFmtId="49" fontId="118" fillId="0" borderId="121" xfId="5" applyNumberFormat="1" applyFont="1" applyFill="1" applyBorder="1" applyAlignment="1" applyProtection="1">
      <alignment horizontal="right" vertical="center" wrapText="1"/>
      <protection locked="0"/>
    </xf>
    <xf numFmtId="49" fontId="117" fillId="3" borderId="121" xfId="5" applyNumberFormat="1" applyFont="1" applyFill="1" applyBorder="1" applyAlignment="1" applyProtection="1">
      <alignment horizontal="right" vertical="center" wrapText="1"/>
      <protection locked="0"/>
    </xf>
    <xf numFmtId="49" fontId="117" fillId="0" borderId="121" xfId="5" applyNumberFormat="1" applyFont="1" applyFill="1" applyBorder="1" applyAlignment="1" applyProtection="1">
      <alignment horizontal="right" vertical="center" wrapText="1"/>
      <protection locked="0"/>
    </xf>
    <xf numFmtId="0" fontId="112" fillId="0" borderId="121" xfId="0" applyFont="1" applyBorder="1" applyAlignment="1">
      <alignment horizontal="center" vertical="center" wrapText="1"/>
    </xf>
    <xf numFmtId="0" fontId="112" fillId="0" borderId="125" xfId="0" applyFont="1" applyFill="1" applyBorder="1" applyAlignment="1">
      <alignment horizontal="center" vertical="center" wrapText="1"/>
    </xf>
    <xf numFmtId="0" fontId="112" fillId="0" borderId="121" xfId="0" applyFont="1" applyBorder="1" applyAlignment="1">
      <alignment horizontal="center" vertical="center"/>
    </xf>
    <xf numFmtId="0" fontId="112" fillId="0" borderId="0" xfId="0" applyFont="1"/>
    <xf numFmtId="0" fontId="112" fillId="0" borderId="0" xfId="0" applyFont="1" applyAlignment="1">
      <alignment wrapText="1"/>
    </xf>
    <xf numFmtId="14" fontId="112" fillId="0" borderId="0" xfId="0" applyNumberFormat="1" applyFont="1"/>
    <xf numFmtId="0" fontId="113" fillId="0" borderId="0" xfId="0" applyFont="1" applyBorder="1"/>
    <xf numFmtId="0" fontId="113" fillId="0" borderId="0" xfId="0" applyFont="1" applyBorder="1" applyAlignment="1">
      <alignment horizontal="left"/>
    </xf>
    <xf numFmtId="0" fontId="115" fillId="0" borderId="121" xfId="0" applyFont="1" applyFill="1" applyBorder="1"/>
    <xf numFmtId="0" fontId="112" fillId="0" borderId="121" xfId="0" applyNumberFormat="1" applyFont="1" applyFill="1" applyBorder="1" applyAlignment="1">
      <alignment horizontal="left" vertical="center" wrapText="1"/>
    </xf>
    <xf numFmtId="0" fontId="115" fillId="0" borderId="121" xfId="0" applyFont="1" applyFill="1" applyBorder="1" applyAlignment="1">
      <alignment horizontal="left" wrapText="1" indent="1"/>
    </xf>
    <xf numFmtId="0" fontId="115" fillId="0" borderId="121" xfId="0" applyFont="1" applyFill="1" applyBorder="1" applyAlignment="1">
      <alignment horizontal="left" vertical="center" indent="1"/>
    </xf>
    <xf numFmtId="0" fontId="112" fillId="0" borderId="121" xfId="0" applyFont="1" applyFill="1" applyBorder="1" applyAlignment="1">
      <alignment horizontal="left" wrapText="1" indent="1"/>
    </xf>
    <xf numFmtId="0" fontId="112" fillId="0" borderId="121" xfId="0" applyFont="1" applyFill="1" applyBorder="1" applyAlignment="1">
      <alignment horizontal="left" indent="1"/>
    </xf>
    <xf numFmtId="0" fontId="112" fillId="0" borderId="121" xfId="0" applyFont="1" applyFill="1" applyBorder="1" applyAlignment="1">
      <alignment horizontal="left" wrapText="1" indent="4"/>
    </xf>
    <xf numFmtId="0" fontId="112" fillId="0" borderId="121" xfId="0" applyNumberFormat="1" applyFont="1" applyFill="1" applyBorder="1" applyAlignment="1">
      <alignment horizontal="left" indent="3"/>
    </xf>
    <xf numFmtId="0" fontId="115" fillId="0" borderId="121" xfId="0" applyFont="1" applyFill="1" applyBorder="1" applyAlignment="1">
      <alignment horizontal="left" indent="1"/>
    </xf>
    <xf numFmtId="0" fontId="113" fillId="78" borderId="121" xfId="0" applyFont="1" applyFill="1" applyBorder="1"/>
    <xf numFmtId="0" fontId="116" fillId="0" borderId="7" xfId="0" applyFont="1" applyBorder="1"/>
    <xf numFmtId="0" fontId="116" fillId="0" borderId="121" xfId="0" applyFont="1" applyFill="1" applyBorder="1"/>
    <xf numFmtId="0" fontId="113" fillId="0" borderId="121" xfId="0" applyFont="1" applyFill="1" applyBorder="1" applyAlignment="1">
      <alignment horizontal="left" wrapText="1" indent="2"/>
    </xf>
    <xf numFmtId="0" fontId="113" fillId="0" borderId="121" xfId="0" applyFont="1" applyFill="1" applyBorder="1"/>
    <xf numFmtId="0" fontId="113" fillId="0" borderId="121" xfId="0" applyFont="1" applyFill="1" applyBorder="1" applyAlignment="1">
      <alignment horizontal="left" wrapText="1"/>
    </xf>
    <xf numFmtId="0" fontId="112" fillId="0" borderId="0" xfId="0" applyFont="1" applyBorder="1"/>
    <xf numFmtId="0" fontId="115" fillId="76" borderId="121" xfId="0" applyFont="1" applyFill="1" applyBorder="1"/>
    <xf numFmtId="0" fontId="112" fillId="0" borderId="121" xfId="0" applyFont="1" applyBorder="1" applyAlignment="1">
      <alignment horizontal="left" indent="1"/>
    </xf>
    <xf numFmtId="0" fontId="112" fillId="0" borderId="121" xfId="0" applyFont="1" applyBorder="1" applyAlignment="1">
      <alignment horizontal="center"/>
    </xf>
    <xf numFmtId="0" fontId="112" fillId="0" borderId="0" xfId="0" applyFont="1" applyBorder="1" applyAlignment="1">
      <alignment horizontal="center" vertical="center"/>
    </xf>
    <xf numFmtId="0" fontId="112" fillId="0" borderId="121" xfId="0" applyFont="1" applyFill="1" applyBorder="1" applyAlignment="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wrapText="1"/>
    </xf>
    <xf numFmtId="0" fontId="112" fillId="0" borderId="0" xfId="0" applyFont="1" applyBorder="1" applyAlignment="1">
      <alignment horizontal="center" vertical="center" wrapText="1"/>
    </xf>
    <xf numFmtId="0" fontId="112" fillId="0" borderId="104" xfId="0" applyFont="1" applyFill="1" applyBorder="1" applyAlignment="1">
      <alignment horizontal="center" vertical="center" wrapText="1"/>
    </xf>
    <xf numFmtId="0" fontId="112" fillId="0" borderId="0" xfId="0" applyFont="1" applyFill="1" applyBorder="1" applyAlignment="1">
      <alignment horizontal="center" vertical="center" wrapText="1"/>
    </xf>
    <xf numFmtId="0" fontId="112" fillId="0" borderId="124" xfId="0" applyFont="1" applyFill="1" applyBorder="1" applyAlignment="1">
      <alignment horizontal="center" vertical="center" wrapText="1"/>
    </xf>
    <xf numFmtId="0" fontId="112" fillId="0" borderId="105" xfId="0" applyFont="1" applyFill="1" applyBorder="1" applyAlignment="1">
      <alignment horizontal="center" vertical="center" wrapText="1"/>
    </xf>
    <xf numFmtId="0" fontId="112" fillId="0" borderId="0" xfId="0" applyFont="1" applyFill="1"/>
    <xf numFmtId="0" fontId="112" fillId="0" borderId="23" xfId="0" applyFont="1" applyFill="1" applyBorder="1"/>
    <xf numFmtId="0" fontId="112" fillId="0" borderId="22" xfId="0" applyFont="1" applyFill="1" applyBorder="1"/>
    <xf numFmtId="0" fontId="112" fillId="0" borderId="25" xfId="0" applyFont="1" applyFill="1" applyBorder="1"/>
    <xf numFmtId="49" fontId="112" fillId="0" borderId="21" xfId="0" applyNumberFormat="1" applyFont="1" applyFill="1" applyBorder="1" applyAlignment="1">
      <alignment horizontal="left" wrapText="1" indent="1"/>
    </xf>
    <xf numFmtId="49" fontId="112" fillId="0" borderId="23" xfId="0" applyNumberFormat="1" applyFont="1" applyFill="1" applyBorder="1" applyAlignment="1">
      <alignment horizontal="left" wrapText="1" indent="1"/>
    </xf>
    <xf numFmtId="0" fontId="112" fillId="0" borderId="21" xfId="0" applyNumberFormat="1" applyFont="1" applyFill="1" applyBorder="1" applyAlignment="1">
      <alignment horizontal="left" wrapText="1" indent="1"/>
    </xf>
    <xf numFmtId="0" fontId="112" fillId="0" borderId="81" xfId="0" applyFont="1" applyFill="1" applyBorder="1"/>
    <xf numFmtId="0" fontId="112" fillId="0" borderId="124" xfId="0" applyFont="1" applyFill="1" applyBorder="1"/>
    <xf numFmtId="49" fontId="112" fillId="0" borderId="18" xfId="0" applyNumberFormat="1" applyFont="1" applyFill="1" applyBorder="1" applyAlignment="1">
      <alignment horizontal="left" wrapText="1" indent="1"/>
    </xf>
    <xf numFmtId="49" fontId="112" fillId="0" borderId="81" xfId="0" applyNumberFormat="1" applyFont="1" applyFill="1" applyBorder="1" applyAlignment="1">
      <alignment horizontal="left" wrapText="1" indent="1"/>
    </xf>
    <xf numFmtId="0" fontId="112" fillId="0" borderId="18" xfId="0" applyNumberFormat="1" applyFont="1" applyFill="1" applyBorder="1" applyAlignment="1">
      <alignment horizontal="left" wrapText="1" indent="1"/>
    </xf>
    <xf numFmtId="49" fontId="112" fillId="0" borderId="18" xfId="0" applyNumberFormat="1" applyFont="1" applyFill="1" applyBorder="1" applyAlignment="1">
      <alignment horizontal="left" wrapText="1" indent="3"/>
    </xf>
    <xf numFmtId="49" fontId="112" fillId="0" borderId="81" xfId="0" applyNumberFormat="1" applyFont="1" applyFill="1" applyBorder="1" applyAlignment="1">
      <alignment horizontal="left" wrapText="1" indent="3"/>
    </xf>
    <xf numFmtId="49" fontId="112" fillId="0" borderId="81" xfId="0" applyNumberFormat="1" applyFont="1" applyFill="1" applyBorder="1" applyAlignment="1">
      <alignment horizontal="left" wrapText="1" indent="2"/>
    </xf>
    <xf numFmtId="49" fontId="112" fillId="0" borderId="18" xfId="0" applyNumberFormat="1" applyFont="1" applyBorder="1" applyAlignment="1">
      <alignment horizontal="left" wrapText="1" indent="2"/>
    </xf>
    <xf numFmtId="49" fontId="112" fillId="0" borderId="81" xfId="0" applyNumberFormat="1" applyFont="1" applyFill="1" applyBorder="1" applyAlignment="1">
      <alignment horizontal="left" vertical="top" wrapText="1" indent="2"/>
    </xf>
    <xf numFmtId="0" fontId="112" fillId="79" borderId="81" xfId="0" applyFont="1" applyFill="1" applyBorder="1"/>
    <xf numFmtId="0" fontId="112" fillId="79" borderId="121" xfId="0" applyFont="1" applyFill="1" applyBorder="1"/>
    <xf numFmtId="0" fontId="112" fillId="79" borderId="124" xfId="0" applyFont="1" applyFill="1" applyBorder="1"/>
    <xf numFmtId="49" fontId="112" fillId="0" borderId="81" xfId="0" applyNumberFormat="1" applyFont="1" applyFill="1" applyBorder="1" applyAlignment="1">
      <alignment horizontal="left" indent="1"/>
    </xf>
    <xf numFmtId="0" fontId="112" fillId="0" borderId="18" xfId="0" applyNumberFormat="1" applyFont="1" applyBorder="1" applyAlignment="1">
      <alignment horizontal="left" indent="1"/>
    </xf>
    <xf numFmtId="0" fontId="112" fillId="0" borderId="81" xfId="0" applyFont="1" applyBorder="1"/>
    <xf numFmtId="0" fontId="112" fillId="0" borderId="124" xfId="0" applyFont="1" applyBorder="1"/>
    <xf numFmtId="49" fontId="112" fillId="0" borderId="18" xfId="0" applyNumberFormat="1" applyFont="1" applyBorder="1" applyAlignment="1">
      <alignment horizontal="left" indent="1"/>
    </xf>
    <xf numFmtId="49" fontId="112" fillId="0" borderId="81" xfId="0" applyNumberFormat="1" applyFont="1" applyFill="1" applyBorder="1" applyAlignment="1">
      <alignment horizontal="left" indent="3"/>
    </xf>
    <xf numFmtId="49" fontId="112" fillId="0" borderId="18" xfId="0" applyNumberFormat="1" applyFont="1" applyBorder="1" applyAlignment="1">
      <alignment horizontal="left" indent="3"/>
    </xf>
    <xf numFmtId="0" fontId="112" fillId="0" borderId="18" xfId="0" applyFont="1" applyBorder="1" applyAlignment="1">
      <alignment horizontal="left" indent="2"/>
    </xf>
    <xf numFmtId="0" fontId="112" fillId="0" borderId="81" xfId="0" applyFont="1" applyBorder="1" applyAlignment="1">
      <alignment horizontal="left" indent="2"/>
    </xf>
    <xf numFmtId="0" fontId="112" fillId="0" borderId="18" xfId="0" applyFont="1" applyBorder="1" applyAlignment="1">
      <alignment horizontal="left" indent="1"/>
    </xf>
    <xf numFmtId="0" fontId="112" fillId="0" borderId="81" xfId="0" applyFont="1" applyBorder="1" applyAlignment="1">
      <alignment horizontal="left" indent="1"/>
    </xf>
    <xf numFmtId="0" fontId="115" fillId="0" borderId="64" xfId="0" applyFont="1" applyBorder="1"/>
    <xf numFmtId="0" fontId="112" fillId="0" borderId="67" xfId="0" applyFont="1" applyBorder="1"/>
    <xf numFmtId="0" fontId="112" fillId="0" borderId="75" xfId="0" applyFont="1" applyBorder="1" applyAlignment="1">
      <alignment horizontal="center" vertical="center" wrapText="1"/>
    </xf>
    <xf numFmtId="0" fontId="112" fillId="0" borderId="81" xfId="0" applyFont="1" applyFill="1" applyBorder="1" applyAlignment="1">
      <alignment horizontal="center" vertical="center" wrapText="1"/>
    </xf>
    <xf numFmtId="0" fontId="112" fillId="0" borderId="0" xfId="0" applyFont="1" applyBorder="1" applyAlignment="1">
      <alignment wrapText="1"/>
    </xf>
    <xf numFmtId="14" fontId="112" fillId="0" borderId="0" xfId="0" applyNumberFormat="1" applyFont="1" applyBorder="1"/>
    <xf numFmtId="0" fontId="112" fillId="0" borderId="0" xfId="0" applyFont="1" applyAlignment="1">
      <alignment horizontal="center" vertical="center"/>
    </xf>
    <xf numFmtId="0" fontId="112" fillId="0" borderId="0" xfId="0" applyFont="1" applyBorder="1" applyAlignment="1">
      <alignment horizontal="left"/>
    </xf>
    <xf numFmtId="0" fontId="115" fillId="0" borderId="121" xfId="0" applyNumberFormat="1" applyFont="1" applyFill="1" applyBorder="1" applyAlignment="1">
      <alignment horizontal="left" vertical="center" wrapText="1"/>
    </xf>
    <xf numFmtId="0" fontId="112" fillId="0" borderId="7" xfId="0" applyFont="1" applyFill="1" applyBorder="1" applyAlignment="1">
      <alignment horizontal="center" vertical="center" wrapText="1"/>
    </xf>
    <xf numFmtId="0" fontId="117" fillId="0" borderId="0" xfId="0" applyFont="1"/>
    <xf numFmtId="0" fontId="94" fillId="0" borderId="0" xfId="0" applyFont="1" applyFill="1" applyBorder="1" applyAlignment="1">
      <alignment wrapText="1"/>
    </xf>
    <xf numFmtId="0" fontId="117" fillId="0" borderId="121" xfId="0" applyFont="1" applyBorder="1"/>
    <xf numFmtId="0" fontId="115" fillId="0" borderId="121" xfId="0" applyFont="1" applyBorder="1" applyAlignment="1">
      <alignment horizontal="center" vertical="center" wrapText="1"/>
    </xf>
    <xf numFmtId="0" fontId="117" fillId="0" borderId="0" xfId="0" applyFont="1" applyAlignment="1">
      <alignment horizontal="center" vertical="center"/>
    </xf>
    <xf numFmtId="0" fontId="133" fillId="0" borderId="0" xfId="0" applyFont="1"/>
    <xf numFmtId="0" fontId="112" fillId="0" borderId="116" xfId="0" applyNumberFormat="1" applyFont="1" applyFill="1" applyBorder="1" applyAlignment="1">
      <alignment horizontal="left" vertical="center" wrapText="1" indent="1" readingOrder="1"/>
    </xf>
    <xf numFmtId="0" fontId="133" fillId="0" borderId="121" xfId="0" applyFont="1" applyBorder="1" applyAlignment="1">
      <alignment horizontal="left" indent="3"/>
    </xf>
    <xf numFmtId="0" fontId="115" fillId="0" borderId="121" xfId="0" applyNumberFormat="1" applyFont="1" applyFill="1" applyBorder="1" applyAlignment="1">
      <alignment vertical="center" wrapText="1" readingOrder="1"/>
    </xf>
    <xf numFmtId="0" fontId="133" fillId="0" borderId="121" xfId="0" applyFont="1" applyFill="1" applyBorder="1" applyAlignment="1">
      <alignment horizontal="left" indent="2"/>
    </xf>
    <xf numFmtId="0" fontId="112" fillId="0" borderId="117" xfId="0" applyNumberFormat="1" applyFont="1" applyFill="1" applyBorder="1" applyAlignment="1">
      <alignment vertical="center" wrapText="1" readingOrder="1"/>
    </xf>
    <xf numFmtId="0" fontId="133" fillId="0" borderId="125" xfId="0" applyFont="1" applyBorder="1" applyAlignment="1">
      <alignment horizontal="left" indent="2"/>
    </xf>
    <xf numFmtId="0" fontId="112" fillId="0" borderId="116" xfId="0" applyNumberFormat="1" applyFont="1" applyFill="1" applyBorder="1" applyAlignment="1">
      <alignment vertical="center" wrapText="1" readingOrder="1"/>
    </xf>
    <xf numFmtId="0" fontId="133" fillId="0" borderId="121" xfId="0" applyFont="1" applyBorder="1" applyAlignment="1">
      <alignment horizontal="left" indent="2"/>
    </xf>
    <xf numFmtId="0" fontId="112" fillId="0" borderId="115" xfId="0" applyNumberFormat="1" applyFont="1" applyFill="1" applyBorder="1" applyAlignment="1">
      <alignment vertical="center" wrapText="1" readingOrder="1"/>
    </xf>
    <xf numFmtId="0" fontId="133" fillId="0" borderId="7" xfId="0" applyFont="1" applyBorder="1"/>
    <xf numFmtId="0" fontId="2" fillId="0" borderId="15" xfId="0" applyNumberFormat="1" applyFont="1" applyFill="1" applyBorder="1" applyAlignment="1">
      <alignment horizontal="left" vertical="center" wrapText="1" indent="1"/>
    </xf>
    <xf numFmtId="169" fontId="2" fillId="37" borderId="63" xfId="20" applyFont="1" applyBorder="1"/>
    <xf numFmtId="0" fontId="2" fillId="81" borderId="0" xfId="13" applyFont="1" applyFill="1" applyBorder="1" applyAlignment="1" applyProtection="1">
      <alignment wrapText="1"/>
      <protection locked="0"/>
    </xf>
    <xf numFmtId="0" fontId="45" fillId="0" borderId="0" xfId="0" applyFont="1"/>
    <xf numFmtId="179" fontId="45" fillId="0" borderId="0" xfId="0" applyNumberFormat="1" applyFont="1" applyAlignment="1">
      <alignment horizontal="left"/>
    </xf>
    <xf numFmtId="0" fontId="2" fillId="0" borderId="26" xfId="0" applyNumberFormat="1" applyFont="1" applyFill="1" applyBorder="1" applyAlignment="1">
      <alignment horizontal="left" vertical="center" wrapText="1" indent="1"/>
    </xf>
    <xf numFmtId="193" fontId="2" fillId="0" borderId="122" xfId="0" applyNumberFormat="1" applyFont="1" applyFill="1" applyBorder="1" applyAlignment="1" applyProtection="1">
      <alignment vertical="center" wrapText="1"/>
      <protection locked="0"/>
    </xf>
    <xf numFmtId="193" fontId="2" fillId="0" borderId="122" xfId="0" applyNumberFormat="1" applyFont="1" applyFill="1" applyBorder="1" applyAlignment="1" applyProtection="1">
      <alignment horizontal="right" vertical="center" wrapText="1"/>
      <protection locked="0"/>
    </xf>
    <xf numFmtId="193" fontId="45" fillId="0" borderId="122" xfId="0" applyNumberFormat="1" applyFont="1" applyFill="1" applyBorder="1" applyAlignment="1" applyProtection="1">
      <alignment horizontal="right" vertical="center" wrapText="1"/>
      <protection locked="0"/>
    </xf>
    <xf numFmtId="10" fontId="2" fillId="0" borderId="122" xfId="20962" applyNumberFormat="1" applyFont="1" applyBorder="1" applyAlignment="1" applyProtection="1">
      <alignment horizontal="right" vertical="center" wrapText="1"/>
      <protection locked="0"/>
    </xf>
    <xf numFmtId="193" fontId="2" fillId="2" borderId="122" xfId="0" applyNumberFormat="1" applyFont="1" applyFill="1" applyBorder="1" applyAlignment="1" applyProtection="1">
      <alignment vertical="center"/>
      <protection locked="0"/>
    </xf>
    <xf numFmtId="193" fontId="2" fillId="2" borderId="104" xfId="0" applyNumberFormat="1" applyFont="1" applyFill="1" applyBorder="1" applyAlignment="1" applyProtection="1">
      <alignment vertical="center"/>
      <protection locked="0"/>
    </xf>
    <xf numFmtId="10" fontId="2" fillId="2" borderId="104" xfId="20962" applyNumberFormat="1" applyFont="1" applyFill="1" applyBorder="1" applyAlignment="1" applyProtection="1">
      <alignment vertical="center"/>
      <protection locked="0"/>
    </xf>
    <xf numFmtId="10" fontId="2" fillId="2" borderId="24" xfId="20962" applyNumberFormat="1" applyFont="1" applyFill="1" applyBorder="1" applyAlignment="1" applyProtection="1">
      <alignment vertical="center"/>
      <protection locked="0"/>
    </xf>
    <xf numFmtId="10" fontId="2" fillId="2" borderId="122" xfId="20962" applyNumberFormat="1" applyFont="1" applyFill="1" applyBorder="1" applyAlignment="1" applyProtection="1">
      <alignment vertical="center"/>
      <protection locked="0"/>
    </xf>
    <xf numFmtId="164" fontId="0" fillId="0" borderId="121" xfId="7" applyNumberFormat="1" applyFont="1" applyBorder="1"/>
    <xf numFmtId="164" fontId="135" fillId="36" borderId="121" xfId="7" applyNumberFormat="1" applyFont="1" applyFill="1" applyBorder="1"/>
    <xf numFmtId="164" fontId="135" fillId="0" borderId="121" xfId="7" applyNumberFormat="1" applyFont="1" applyBorder="1"/>
    <xf numFmtId="0" fontId="134" fillId="0" borderId="121" xfId="0" applyFont="1" applyFill="1" applyBorder="1" applyAlignment="1" applyProtection="1">
      <alignment horizontal="center" vertical="center" wrapText="1"/>
    </xf>
    <xf numFmtId="0" fontId="134" fillId="0" borderId="81" xfId="0" applyFont="1" applyFill="1" applyBorder="1" applyAlignment="1" applyProtection="1">
      <alignment horizontal="center" vertical="center" wrapText="1"/>
    </xf>
    <xf numFmtId="0" fontId="0" fillId="0" borderId="18" xfId="0" applyBorder="1" applyAlignment="1">
      <alignment horizontal="center"/>
    </xf>
    <xf numFmtId="0" fontId="124" fillId="3" borderId="121" xfId="20966" applyFont="1" applyFill="1" applyBorder="1" applyAlignment="1">
      <alignment horizontal="left" vertical="center" wrapText="1"/>
    </xf>
    <xf numFmtId="164" fontId="135" fillId="36" borderId="121" xfId="7" applyNumberFormat="1" applyFont="1" applyFill="1" applyBorder="1" applyAlignment="1">
      <alignment vertical="center"/>
    </xf>
    <xf numFmtId="0" fontId="127" fillId="0" borderId="121" xfId="20966" applyFont="1" applyFill="1" applyBorder="1" applyAlignment="1">
      <alignment horizontal="left" vertical="center" wrapText="1" indent="1"/>
    </xf>
    <xf numFmtId="0" fontId="129" fillId="0" borderId="0" xfId="0" applyFont="1" applyBorder="1" applyAlignment="1">
      <alignment horizontal="justify"/>
    </xf>
    <xf numFmtId="0" fontId="0" fillId="0" borderId="21" xfId="0" applyBorder="1" applyAlignment="1">
      <alignment horizontal="center"/>
    </xf>
    <xf numFmtId="0" fontId="126" fillId="0" borderId="22" xfId="0" applyFont="1" applyFill="1" applyBorder="1" applyAlignment="1">
      <alignment horizontal="left" vertical="center" wrapText="1"/>
    </xf>
    <xf numFmtId="164" fontId="135" fillId="0" borderId="22" xfId="7" applyNumberFormat="1" applyFont="1" applyBorder="1"/>
    <xf numFmtId="164" fontId="135" fillId="36" borderId="22" xfId="7" applyNumberFormat="1" applyFont="1" applyFill="1" applyBorder="1"/>
    <xf numFmtId="0" fontId="111" fillId="0" borderId="122" xfId="0" applyFont="1" applyBorder="1" applyAlignment="1">
      <alignment horizontal="center" vertical="center"/>
    </xf>
    <xf numFmtId="0" fontId="124" fillId="3" borderId="122" xfId="20966" applyFont="1" applyFill="1" applyBorder="1" applyAlignment="1">
      <alignment horizontal="left" vertical="center" wrapText="1"/>
    </xf>
    <xf numFmtId="0" fontId="125" fillId="0" borderId="122" xfId="20966" applyFont="1" applyFill="1" applyBorder="1" applyAlignment="1">
      <alignment horizontal="left" vertical="center" wrapText="1" indent="1"/>
    </xf>
    <xf numFmtId="0" fontId="126" fillId="3" borderId="131" xfId="0" applyFont="1" applyFill="1" applyBorder="1" applyAlignment="1">
      <alignment horizontal="left" vertical="center" wrapText="1"/>
    </xf>
    <xf numFmtId="0" fontId="125" fillId="3" borderId="122" xfId="20966" applyFont="1" applyFill="1" applyBorder="1" applyAlignment="1">
      <alignment horizontal="left" vertical="center" wrapText="1" indent="1"/>
    </xf>
    <xf numFmtId="0" fontId="124" fillId="0" borderId="131" xfId="0" applyFont="1" applyFill="1" applyBorder="1" applyAlignment="1">
      <alignment horizontal="left" vertical="center" wrapText="1"/>
    </xf>
    <xf numFmtId="0" fontId="126" fillId="0" borderId="131" xfId="0" applyFont="1" applyFill="1" applyBorder="1" applyAlignment="1">
      <alignment horizontal="left" vertical="center" wrapText="1"/>
    </xf>
    <xf numFmtId="0" fontId="126" fillId="0" borderId="131" xfId="0" applyFont="1" applyFill="1" applyBorder="1" applyAlignment="1">
      <alignment vertical="center" wrapText="1"/>
    </xf>
    <xf numFmtId="0" fontId="127" fillId="0" borderId="131" xfId="0" applyFont="1" applyFill="1" applyBorder="1" applyAlignment="1">
      <alignment horizontal="left" vertical="center" wrapText="1" indent="1"/>
    </xf>
    <xf numFmtId="0" fontId="127" fillId="3" borderId="131" xfId="0" applyFont="1" applyFill="1" applyBorder="1" applyAlignment="1">
      <alignment horizontal="left" vertical="center" wrapText="1" indent="1"/>
    </xf>
    <xf numFmtId="0" fontId="126" fillId="3" borderId="132" xfId="0" applyFont="1" applyFill="1" applyBorder="1" applyAlignment="1">
      <alignment horizontal="left" vertical="center" wrapText="1"/>
    </xf>
    <xf numFmtId="0" fontId="127" fillId="0" borderId="122" xfId="20966" applyFont="1" applyFill="1" applyBorder="1" applyAlignment="1">
      <alignment horizontal="left" vertical="center" wrapText="1" indent="1"/>
    </xf>
    <xf numFmtId="0" fontId="126" fillId="0" borderId="122" xfId="0" applyFont="1" applyFill="1" applyBorder="1" applyAlignment="1">
      <alignment horizontal="left" vertical="center" wrapText="1"/>
    </xf>
    <xf numFmtId="0" fontId="128" fillId="0" borderId="122" xfId="20966" applyFont="1" applyFill="1" applyBorder="1" applyAlignment="1">
      <alignment horizontal="center" vertical="center" wrapText="1"/>
    </xf>
    <xf numFmtId="0" fontId="126" fillId="3" borderId="133" xfId="0" applyFont="1" applyFill="1" applyBorder="1" applyAlignment="1">
      <alignment horizontal="left" vertical="center" wrapText="1"/>
    </xf>
    <xf numFmtId="0" fontId="125" fillId="3" borderId="131" xfId="0" applyFont="1" applyFill="1" applyBorder="1" applyAlignment="1">
      <alignment horizontal="left" vertical="center" wrapText="1" indent="1"/>
    </xf>
    <xf numFmtId="0" fontId="126" fillId="0" borderId="131" xfId="0" applyFont="1" applyBorder="1" applyAlignment="1">
      <alignment horizontal="left" vertical="center" wrapText="1"/>
    </xf>
    <xf numFmtId="0" fontId="125" fillId="0" borderId="131" xfId="0" applyFont="1" applyBorder="1" applyAlignment="1">
      <alignment horizontal="left" vertical="center" wrapText="1" indent="1"/>
    </xf>
    <xf numFmtId="0" fontId="125" fillId="0" borderId="132" xfId="0" applyFont="1" applyBorder="1" applyAlignment="1">
      <alignment horizontal="left" vertical="center" wrapText="1" indent="1"/>
    </xf>
    <xf numFmtId="0" fontId="126" fillId="0" borderId="122" xfId="20966" applyFont="1" applyFill="1" applyBorder="1" applyAlignment="1">
      <alignment horizontal="left" vertical="center" wrapText="1"/>
    </xf>
    <xf numFmtId="0" fontId="126" fillId="0" borderId="122" xfId="0" applyFont="1" applyFill="1" applyBorder="1" applyAlignment="1">
      <alignment vertical="center" wrapText="1"/>
    </xf>
    <xf numFmtId="0" fontId="126" fillId="3" borderId="122" xfId="20966" applyFont="1" applyFill="1" applyBorder="1" applyAlignment="1">
      <alignment horizontal="left" vertical="center" wrapText="1"/>
    </xf>
    <xf numFmtId="0" fontId="125" fillId="0" borderId="131" xfId="0" applyFont="1" applyFill="1" applyBorder="1" applyAlignment="1">
      <alignment horizontal="left" vertical="center" wrapText="1" indent="1"/>
    </xf>
    <xf numFmtId="0" fontId="126" fillId="0" borderId="24" xfId="0" applyFont="1" applyFill="1" applyBorder="1" applyAlignment="1">
      <alignment horizontal="left" vertical="center" wrapText="1"/>
    </xf>
    <xf numFmtId="0" fontId="134" fillId="0" borderId="18" xfId="0" applyFont="1" applyFill="1" applyBorder="1" applyAlignment="1" applyProtection="1">
      <alignment horizontal="center" vertical="center" wrapText="1"/>
    </xf>
    <xf numFmtId="164" fontId="0" fillId="0" borderId="18" xfId="7" applyNumberFormat="1" applyFont="1" applyBorder="1"/>
    <xf numFmtId="164" fontId="135" fillId="0" borderId="18" xfId="7" applyNumberFormat="1" applyFont="1" applyBorder="1"/>
    <xf numFmtId="164" fontId="135" fillId="0" borderId="21" xfId="7" applyNumberFormat="1" applyFont="1" applyBorder="1"/>
    <xf numFmtId="0" fontId="104" fillId="0" borderId="123" xfId="0" applyNumberFormat="1" applyFont="1" applyFill="1" applyBorder="1" applyAlignment="1">
      <alignment vertical="center" wrapText="1"/>
    </xf>
    <xf numFmtId="0" fontId="2" fillId="0" borderId="123" xfId="0" applyNumberFormat="1" applyFont="1" applyFill="1" applyBorder="1" applyAlignment="1">
      <alignment horizontal="left" vertical="center" wrapText="1" indent="4"/>
    </xf>
    <xf numFmtId="0" fontId="45" fillId="0" borderId="123" xfId="0" applyNumberFormat="1" applyFont="1" applyFill="1" applyBorder="1" applyAlignment="1">
      <alignment vertical="center" wrapText="1"/>
    </xf>
    <xf numFmtId="0" fontId="2" fillId="0" borderId="122" xfId="0" applyFont="1" applyFill="1" applyBorder="1" applyAlignment="1" applyProtection="1">
      <alignment horizontal="left" vertical="center" indent="11"/>
      <protection locked="0"/>
    </xf>
    <xf numFmtId="0" fontId="46" fillId="0" borderId="122" xfId="0" applyFont="1" applyFill="1" applyBorder="1" applyAlignment="1" applyProtection="1">
      <alignment horizontal="left" vertical="center" indent="17"/>
      <protection locked="0"/>
    </xf>
    <xf numFmtId="0" fontId="111" fillId="0" borderId="122" xfId="0" applyFont="1" applyBorder="1" applyAlignment="1">
      <alignment vertical="center"/>
    </xf>
    <xf numFmtId="0" fontId="95" fillId="0" borderId="122" xfId="0" applyNumberFormat="1" applyFont="1" applyFill="1" applyBorder="1" applyAlignment="1">
      <alignment vertical="center" wrapText="1"/>
    </xf>
    <xf numFmtId="0" fontId="96" fillId="0" borderId="123" xfId="0" applyNumberFormat="1" applyFont="1" applyFill="1" applyBorder="1" applyAlignment="1">
      <alignment horizontal="left" vertical="center" wrapText="1"/>
    </xf>
    <xf numFmtId="0" fontId="2" fillId="0" borderId="123" xfId="0" applyNumberFormat="1" applyFont="1" applyFill="1" applyBorder="1" applyAlignment="1">
      <alignment horizontal="left" vertical="center" wrapText="1"/>
    </xf>
    <xf numFmtId="0" fontId="45" fillId="0" borderId="88" xfId="0" applyNumberFormat="1" applyFont="1" applyFill="1" applyBorder="1" applyAlignment="1">
      <alignment vertical="center" wrapText="1"/>
    </xf>
    <xf numFmtId="0" fontId="2" fillId="0" borderId="18" xfId="0" applyFont="1" applyFill="1" applyBorder="1" applyAlignment="1" applyProtection="1">
      <alignment horizontal="center" vertical="center" wrapText="1"/>
    </xf>
    <xf numFmtId="0" fontId="2" fillId="0" borderId="81" xfId="0" applyFont="1" applyFill="1" applyBorder="1" applyAlignment="1" applyProtection="1">
      <alignment horizontal="center" vertical="center" wrapText="1"/>
    </xf>
    <xf numFmtId="164" fontId="94" fillId="0" borderId="18" xfId="7" applyNumberFormat="1" applyFont="1" applyFill="1" applyBorder="1" applyAlignment="1" applyProtection="1">
      <alignment horizontal="right"/>
    </xf>
    <xf numFmtId="164" fontId="94" fillId="0" borderId="121" xfId="7" applyNumberFormat="1" applyFont="1" applyFill="1" applyBorder="1" applyAlignment="1" applyProtection="1">
      <alignment horizontal="right"/>
    </xf>
    <xf numFmtId="164" fontId="94" fillId="0" borderId="21" xfId="7" applyNumberFormat="1" applyFont="1" applyFill="1" applyBorder="1" applyAlignment="1" applyProtection="1">
      <alignment horizontal="right"/>
    </xf>
    <xf numFmtId="164" fontId="94" fillId="0" borderId="22" xfId="7" applyNumberFormat="1" applyFont="1" applyFill="1" applyBorder="1" applyAlignment="1" applyProtection="1">
      <alignment horizontal="right"/>
    </xf>
    <xf numFmtId="164" fontId="136" fillId="36" borderId="121" xfId="7" applyNumberFormat="1" applyFont="1" applyFill="1" applyBorder="1" applyAlignment="1" applyProtection="1">
      <alignment horizontal="right"/>
    </xf>
    <xf numFmtId="164" fontId="136" fillId="36" borderId="22" xfId="7" applyNumberFormat="1" applyFont="1" applyFill="1" applyBorder="1" applyAlignment="1" applyProtection="1">
      <alignment horizontal="right"/>
    </xf>
    <xf numFmtId="0" fontId="84" fillId="0" borderId="26" xfId="0" applyFont="1" applyFill="1" applyBorder="1" applyAlignment="1">
      <alignment horizontal="left" vertical="center" wrapText="1" indent="2"/>
    </xf>
    <xf numFmtId="0" fontId="84" fillId="0" borderId="122" xfId="0" applyFont="1" applyBorder="1" applyAlignment="1">
      <alignment vertical="center" wrapText="1"/>
    </xf>
    <xf numFmtId="14" fontId="2" fillId="3" borderId="122" xfId="8" quotePrefix="1" applyNumberFormat="1" applyFont="1" applyFill="1" applyBorder="1" applyAlignment="1" applyProtection="1">
      <alignment horizontal="left"/>
      <protection locked="0"/>
    </xf>
    <xf numFmtId="0" fontId="86" fillId="0" borderId="24" xfId="0" applyFont="1" applyBorder="1" applyAlignment="1">
      <alignment vertical="center" wrapText="1"/>
    </xf>
    <xf numFmtId="164" fontId="103" fillId="0" borderId="18" xfId="7" applyNumberFormat="1" applyFont="1" applyBorder="1" applyAlignment="1">
      <alignment vertical="center" wrapText="1"/>
    </xf>
    <xf numFmtId="164" fontId="103" fillId="0" borderId="121" xfId="7" applyNumberFormat="1" applyFont="1" applyBorder="1" applyAlignment="1">
      <alignment vertical="center" wrapText="1"/>
    </xf>
    <xf numFmtId="164" fontId="103" fillId="0" borderId="81" xfId="7" applyNumberFormat="1" applyFont="1" applyBorder="1" applyAlignment="1">
      <alignment vertical="center" wrapText="1"/>
    </xf>
    <xf numFmtId="164" fontId="103" fillId="0" borderId="18" xfId="7" applyNumberFormat="1" applyFont="1" applyFill="1" applyBorder="1" applyAlignment="1">
      <alignment vertical="center" wrapText="1"/>
    </xf>
    <xf numFmtId="164" fontId="103" fillId="0" borderId="121" xfId="7" applyNumberFormat="1" applyFont="1" applyFill="1" applyBorder="1" applyAlignment="1">
      <alignment vertical="center" wrapText="1"/>
    </xf>
    <xf numFmtId="164" fontId="103" fillId="0" borderId="81" xfId="7" applyNumberFormat="1" applyFont="1" applyFill="1" applyBorder="1" applyAlignment="1">
      <alignment vertical="center" wrapText="1"/>
    </xf>
    <xf numFmtId="0" fontId="45" fillId="0" borderId="15" xfId="0" applyNumberFormat="1" applyFont="1" applyFill="1" applyBorder="1" applyAlignment="1">
      <alignment horizontal="left" vertical="center" wrapText="1" indent="1"/>
    </xf>
    <xf numFmtId="0" fontId="45" fillId="0" borderId="16" xfId="0" applyNumberFormat="1" applyFont="1" applyFill="1" applyBorder="1" applyAlignment="1">
      <alignment horizontal="left" vertical="center" wrapText="1" indent="1"/>
    </xf>
    <xf numFmtId="0" fontId="45" fillId="0" borderId="17" xfId="0" applyNumberFormat="1" applyFont="1" applyFill="1" applyBorder="1" applyAlignment="1">
      <alignment horizontal="left" vertical="center" wrapText="1" indent="1"/>
    </xf>
    <xf numFmtId="164" fontId="137" fillId="36" borderId="18" xfId="7" applyNumberFormat="1" applyFont="1" applyFill="1" applyBorder="1" applyAlignment="1">
      <alignment vertical="center" wrapText="1"/>
    </xf>
    <xf numFmtId="164" fontId="137" fillId="36" borderId="121" xfId="7" applyNumberFormat="1" applyFont="1" applyFill="1" applyBorder="1" applyAlignment="1">
      <alignment vertical="center" wrapText="1"/>
    </xf>
    <xf numFmtId="164" fontId="137" fillId="36" borderId="81" xfId="7" applyNumberFormat="1" applyFont="1" applyFill="1" applyBorder="1" applyAlignment="1">
      <alignment vertical="center" wrapText="1"/>
    </xf>
    <xf numFmtId="164" fontId="138" fillId="36" borderId="21" xfId="7" applyNumberFormat="1" applyFont="1" applyFill="1" applyBorder="1" applyAlignment="1">
      <alignment vertical="center" wrapText="1"/>
    </xf>
    <xf numFmtId="164" fontId="138" fillId="36" borderId="22" xfId="7" applyNumberFormat="1" applyFont="1" applyFill="1" applyBorder="1" applyAlignment="1">
      <alignment vertical="center" wrapText="1"/>
    </xf>
    <xf numFmtId="164" fontId="138" fillId="36" borderId="23" xfId="7" applyNumberFormat="1" applyFont="1" applyFill="1" applyBorder="1" applyAlignment="1">
      <alignment vertical="center" wrapText="1"/>
    </xf>
    <xf numFmtId="0" fontId="2" fillId="0" borderId="122" xfId="0" applyFont="1" applyBorder="1" applyAlignment="1">
      <alignment wrapText="1"/>
    </xf>
    <xf numFmtId="0" fontId="84" fillId="0" borderId="84" xfId="0" applyFont="1" applyBorder="1" applyAlignment="1"/>
    <xf numFmtId="0" fontId="2" fillId="0" borderId="84" xfId="0" applyFont="1" applyBorder="1" applyAlignment="1"/>
    <xf numFmtId="9" fontId="84" fillId="0" borderId="84" xfId="0" applyNumberFormat="1" applyFont="1" applyBorder="1" applyAlignment="1"/>
    <xf numFmtId="10" fontId="84" fillId="0" borderId="84" xfId="0" applyNumberFormat="1" applyFont="1" applyBorder="1" applyAlignment="1"/>
    <xf numFmtId="10" fontId="84" fillId="0" borderId="38" xfId="0" applyNumberFormat="1" applyFont="1" applyBorder="1" applyAlignment="1"/>
    <xf numFmtId="0" fontId="86" fillId="0" borderId="121" xfId="0" applyFont="1" applyFill="1" applyBorder="1" applyAlignment="1">
      <alignment horizontal="center" vertical="center" wrapText="1"/>
    </xf>
    <xf numFmtId="43" fontId="84" fillId="0" borderId="81" xfId="7" applyFont="1" applyFill="1" applyBorder="1" applyAlignment="1">
      <alignment horizontal="center" vertical="center"/>
    </xf>
    <xf numFmtId="193" fontId="86" fillId="36" borderId="23" xfId="0" applyNumberFormat="1" applyFont="1" applyFill="1" applyBorder="1" applyAlignment="1">
      <alignment horizontal="center" vertical="center"/>
    </xf>
    <xf numFmtId="43" fontId="139" fillId="0" borderId="121" xfId="7" applyFont="1" applyFill="1" applyBorder="1" applyAlignment="1">
      <alignment horizontal="center" vertical="center"/>
    </xf>
    <xf numFmtId="43" fontId="139" fillId="0" borderId="81" xfId="7" applyFont="1" applyFill="1" applyBorder="1" applyAlignment="1">
      <alignment horizontal="center" vertical="center"/>
    </xf>
    <xf numFmtId="193" fontId="139" fillId="36" borderId="17" xfId="0" applyNumberFormat="1" applyFont="1" applyFill="1" applyBorder="1" applyAlignment="1">
      <alignment horizontal="center" vertical="center"/>
    </xf>
    <xf numFmtId="193" fontId="139" fillId="36" borderId="19" xfId="0" applyNumberFormat="1" applyFont="1" applyFill="1" applyBorder="1" applyAlignment="1">
      <alignment horizontal="center" vertical="center" wrapText="1"/>
    </xf>
    <xf numFmtId="193" fontId="139" fillId="36" borderId="23" xfId="0" applyNumberFormat="1" applyFont="1" applyFill="1" applyBorder="1" applyAlignment="1">
      <alignment horizontal="center" vertical="center" wrapText="1"/>
    </xf>
    <xf numFmtId="0" fontId="140" fillId="0" borderId="121" xfId="0" applyFont="1" applyBorder="1"/>
    <xf numFmtId="0" fontId="141" fillId="0" borderId="121" xfId="17" applyFont="1" applyBorder="1" applyAlignment="1" applyProtection="1"/>
    <xf numFmtId="193" fontId="134" fillId="36" borderId="19" xfId="2" applyNumberFormat="1" applyFont="1" applyFill="1" applyBorder="1" applyAlignment="1" applyProtection="1">
      <alignment vertical="top"/>
    </xf>
    <xf numFmtId="193" fontId="134" fillId="36" borderId="19" xfId="2" applyNumberFormat="1" applyFont="1" applyFill="1" applyBorder="1" applyAlignment="1" applyProtection="1">
      <alignment vertical="top" wrapText="1"/>
    </xf>
    <xf numFmtId="164" fontId="3" fillId="0" borderId="81" xfId="7" applyNumberFormat="1" applyFont="1" applyFill="1" applyBorder="1" applyAlignment="1">
      <alignment horizontal="right" vertical="center" wrapText="1"/>
    </xf>
    <xf numFmtId="164" fontId="4" fillId="36" borderId="81" xfId="7" applyNumberFormat="1" applyFont="1" applyFill="1" applyBorder="1" applyAlignment="1">
      <alignment horizontal="left" vertical="center" wrapText="1"/>
    </xf>
    <xf numFmtId="164" fontId="4" fillId="36" borderId="81" xfId="7" applyNumberFormat="1" applyFont="1" applyFill="1" applyBorder="1" applyAlignment="1">
      <alignment horizontal="center" vertical="center" wrapText="1"/>
    </xf>
    <xf numFmtId="164" fontId="3" fillId="0" borderId="23" xfId="7" applyNumberFormat="1" applyFont="1" applyFill="1" applyBorder="1" applyAlignment="1">
      <alignment horizontal="right" vertical="center" wrapText="1"/>
    </xf>
    <xf numFmtId="0" fontId="134" fillId="0" borderId="0" xfId="11" applyFont="1" applyFill="1" applyBorder="1" applyProtection="1"/>
    <xf numFmtId="193" fontId="139" fillId="0" borderId="12" xfId="0" applyNumberFormat="1" applyFont="1" applyBorder="1" applyAlignment="1">
      <alignment horizontal="center" vertical="center"/>
    </xf>
    <xf numFmtId="193" fontId="139" fillId="0" borderId="31" xfId="0" applyNumberFormat="1" applyFont="1" applyBorder="1" applyAlignment="1">
      <alignment horizontal="center" vertical="center"/>
    </xf>
    <xf numFmtId="193" fontId="139" fillId="0" borderId="11" xfId="0" applyNumberFormat="1" applyFont="1" applyBorder="1" applyAlignment="1">
      <alignment horizontal="center" vertical="center"/>
    </xf>
    <xf numFmtId="193" fontId="142" fillId="0" borderId="11" xfId="0" applyNumberFormat="1" applyFont="1" applyFill="1" applyBorder="1" applyAlignment="1">
      <alignment horizontal="center" vertical="center"/>
    </xf>
    <xf numFmtId="193" fontId="139" fillId="0" borderId="11" xfId="0" applyNumberFormat="1" applyFont="1" applyFill="1" applyBorder="1" applyAlignment="1">
      <alignment horizontal="center" vertical="center"/>
    </xf>
    <xf numFmtId="193" fontId="139" fillId="0" borderId="14" xfId="0" applyNumberFormat="1" applyFont="1" applyBorder="1" applyAlignment="1">
      <alignment horizontal="center" vertical="center"/>
    </xf>
    <xf numFmtId="193" fontId="143" fillId="0" borderId="13" xfId="0" applyNumberFormat="1" applyFont="1" applyFill="1" applyBorder="1" applyAlignment="1">
      <alignment horizontal="center" vertical="center"/>
    </xf>
    <xf numFmtId="193" fontId="139" fillId="0" borderId="13" xfId="0" applyNumberFormat="1" applyFont="1" applyFill="1" applyBorder="1" applyAlignment="1">
      <alignment horizontal="center" vertical="center"/>
    </xf>
    <xf numFmtId="0" fontId="139" fillId="0" borderId="121" xfId="0" applyFont="1" applyBorder="1" applyAlignment="1">
      <alignment horizontal="center"/>
    </xf>
    <xf numFmtId="167" fontId="84" fillId="0" borderId="81" xfId="0" applyNumberFormat="1" applyFont="1" applyBorder="1" applyAlignment="1">
      <alignment horizontal="center"/>
    </xf>
    <xf numFmtId="167" fontId="86" fillId="0" borderId="81" xfId="0" applyNumberFormat="1" applyFont="1" applyFill="1" applyBorder="1" applyAlignment="1">
      <alignment horizontal="center"/>
    </xf>
    <xf numFmtId="0" fontId="84" fillId="0" borderId="81" xfId="0" applyFont="1" applyBorder="1"/>
    <xf numFmtId="193" fontId="139" fillId="0" borderId="134" xfId="0" applyNumberFormat="1" applyFont="1" applyBorder="1" applyAlignment="1">
      <alignment horizontal="center" vertical="center"/>
    </xf>
    <xf numFmtId="0" fontId="84" fillId="0" borderId="23" xfId="0" applyFont="1" applyBorder="1"/>
    <xf numFmtId="167" fontId="144" fillId="80" borderId="57" xfId="0" applyNumberFormat="1" applyFont="1" applyFill="1" applyBorder="1" applyAlignment="1">
      <alignment horizontal="center"/>
    </xf>
    <xf numFmtId="167" fontId="139" fillId="0" borderId="3" xfId="0" applyNumberFormat="1" applyFont="1" applyBorder="1" applyAlignment="1"/>
    <xf numFmtId="167" fontId="139" fillId="36" borderId="22" xfId="0" applyNumberFormat="1" applyFont="1" applyFill="1" applyBorder="1"/>
    <xf numFmtId="193" fontId="139" fillId="36" borderId="22" xfId="0" applyNumberFormat="1" applyFont="1" applyFill="1" applyBorder="1"/>
    <xf numFmtId="193" fontId="139" fillId="36" borderId="52" xfId="0" applyNumberFormat="1" applyFont="1" applyFill="1" applyBorder="1" applyAlignment="1"/>
    <xf numFmtId="193" fontId="139" fillId="36" borderId="53" xfId="0" applyNumberFormat="1" applyFont="1" applyFill="1" applyBorder="1"/>
    <xf numFmtId="193" fontId="139" fillId="36" borderId="21" xfId="0" applyNumberFormat="1" applyFont="1" applyFill="1" applyBorder="1"/>
    <xf numFmtId="193" fontId="139" fillId="36" borderId="23" xfId="0" applyNumberFormat="1" applyFont="1" applyFill="1" applyBorder="1"/>
    <xf numFmtId="9" fontId="145" fillId="0" borderId="19" xfId="20962" applyFont="1" applyBorder="1"/>
    <xf numFmtId="9" fontId="145" fillId="36" borderId="23" xfId="20962" applyFont="1" applyFill="1" applyBorder="1"/>
    <xf numFmtId="193" fontId="145" fillId="36" borderId="22" xfId="0" applyNumberFormat="1" applyFont="1" applyFill="1" applyBorder="1"/>
    <xf numFmtId="0" fontId="45" fillId="0" borderId="121" xfId="0" applyFont="1" applyFill="1" applyBorder="1" applyAlignment="1">
      <alignment horizontal="center" vertical="center" wrapText="1"/>
    </xf>
    <xf numFmtId="0" fontId="45" fillId="0" borderId="81" xfId="0" applyFont="1" applyFill="1" applyBorder="1" applyAlignment="1">
      <alignment horizontal="center" vertical="center" wrapText="1"/>
    </xf>
    <xf numFmtId="0" fontId="45" fillId="0" borderId="124" xfId="0" applyFont="1" applyFill="1" applyBorder="1" applyAlignment="1">
      <alignment horizontal="center" vertical="center" wrapText="1"/>
    </xf>
    <xf numFmtId="0" fontId="3" fillId="3" borderId="82" xfId="0" applyFont="1" applyFill="1" applyBorder="1" applyAlignment="1">
      <alignment vertical="center"/>
    </xf>
    <xf numFmtId="0" fontId="3" fillId="3" borderId="123" xfId="0" applyFont="1" applyFill="1" applyBorder="1" applyAlignment="1">
      <alignment vertical="center"/>
    </xf>
    <xf numFmtId="169" fontId="9" fillId="37" borderId="63" xfId="20" applyBorder="1"/>
    <xf numFmtId="169" fontId="9" fillId="37" borderId="94" xfId="20" applyBorder="1"/>
    <xf numFmtId="194" fontId="3" fillId="0" borderId="82" xfId="7" applyNumberFormat="1" applyFont="1" applyFill="1" applyBorder="1" applyAlignment="1">
      <alignment vertical="center"/>
    </xf>
    <xf numFmtId="194" fontId="3" fillId="0" borderId="85" xfId="7" applyNumberFormat="1" applyFont="1" applyFill="1" applyBorder="1" applyAlignment="1">
      <alignment vertical="center"/>
    </xf>
    <xf numFmtId="194" fontId="4" fillId="0" borderId="81" xfId="7" applyNumberFormat="1" applyFont="1" applyFill="1" applyBorder="1" applyAlignment="1">
      <alignment vertical="center"/>
    </xf>
    <xf numFmtId="194" fontId="3" fillId="0" borderId="123" xfId="7" applyNumberFormat="1" applyFont="1" applyFill="1" applyBorder="1" applyAlignment="1">
      <alignment vertical="center"/>
    </xf>
    <xf numFmtId="194" fontId="3" fillId="0" borderId="121" xfId="7" applyNumberFormat="1" applyFont="1" applyFill="1" applyBorder="1" applyAlignment="1">
      <alignment vertical="center"/>
    </xf>
    <xf numFmtId="194" fontId="3" fillId="0" borderId="18" xfId="7" applyNumberFormat="1" applyFont="1" applyFill="1" applyBorder="1" applyAlignment="1">
      <alignment vertical="center"/>
    </xf>
    <xf numFmtId="0" fontId="3" fillId="0" borderId="18" xfId="0" applyFont="1" applyFill="1" applyBorder="1" applyAlignment="1">
      <alignment vertical="center"/>
    </xf>
    <xf numFmtId="0" fontId="3" fillId="0" borderId="122" xfId="0" applyFont="1" applyFill="1" applyBorder="1" applyAlignment="1">
      <alignment vertical="center"/>
    </xf>
    <xf numFmtId="0" fontId="3" fillId="0" borderId="124" xfId="0" applyFont="1" applyFill="1" applyBorder="1" applyAlignment="1">
      <alignment vertical="center"/>
    </xf>
    <xf numFmtId="194" fontId="4" fillId="0" borderId="18" xfId="0" applyNumberFormat="1" applyFont="1" applyFill="1" applyBorder="1" applyAlignment="1">
      <alignment vertical="center"/>
    </xf>
    <xf numFmtId="194" fontId="4" fillId="0" borderId="123" xfId="0" applyNumberFormat="1" applyFont="1" applyFill="1" applyBorder="1" applyAlignment="1">
      <alignment vertical="center"/>
    </xf>
    <xf numFmtId="194" fontId="4" fillId="0" borderId="82" xfId="0" applyNumberFormat="1" applyFont="1" applyFill="1" applyBorder="1" applyAlignment="1">
      <alignment vertical="center"/>
    </xf>
    <xf numFmtId="194" fontId="4" fillId="0" borderId="121" xfId="0" applyNumberFormat="1" applyFont="1" applyFill="1" applyBorder="1" applyAlignment="1">
      <alignment vertical="center"/>
    </xf>
    <xf numFmtId="194" fontId="3" fillId="0" borderId="122" xfId="7" applyNumberFormat="1" applyFont="1" applyFill="1" applyBorder="1" applyAlignment="1">
      <alignment vertical="center"/>
    </xf>
    <xf numFmtId="194" fontId="3" fillId="0" borderId="124" xfId="7"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88" xfId="0" applyNumberFormat="1" applyFont="1" applyFill="1" applyBorder="1" applyAlignment="1">
      <alignment vertical="center"/>
    </xf>
    <xf numFmtId="194" fontId="4" fillId="0" borderId="23" xfId="7" applyNumberFormat="1" applyFont="1" applyFill="1" applyBorder="1" applyAlignment="1">
      <alignment vertical="center"/>
    </xf>
    <xf numFmtId="194" fontId="4" fillId="0" borderId="135" xfId="0" applyNumberFormat="1" applyFont="1" applyFill="1" applyBorder="1" applyAlignment="1">
      <alignment vertical="center"/>
    </xf>
    <xf numFmtId="194" fontId="4" fillId="0" borderId="22" xfId="0" applyNumberFormat="1" applyFont="1" applyFill="1" applyBorder="1" applyAlignment="1">
      <alignment vertical="center"/>
    </xf>
    <xf numFmtId="194" fontId="3" fillId="0" borderId="69" xfId="7" applyNumberFormat="1" applyFont="1" applyFill="1" applyBorder="1" applyAlignment="1">
      <alignment vertical="center"/>
    </xf>
    <xf numFmtId="194" fontId="3" fillId="0" borderId="26" xfId="7" applyNumberFormat="1" applyFont="1" applyFill="1" applyBorder="1" applyAlignment="1">
      <alignment vertical="center"/>
    </xf>
    <xf numFmtId="194" fontId="4" fillId="0" borderId="17" xfId="7" applyNumberFormat="1" applyFont="1" applyFill="1" applyBorder="1" applyAlignment="1">
      <alignment vertical="center"/>
    </xf>
    <xf numFmtId="194" fontId="4" fillId="0" borderId="89" xfId="7" applyNumberFormat="1" applyFont="1" applyFill="1" applyBorder="1" applyAlignment="1">
      <alignment vertical="center"/>
    </xf>
    <xf numFmtId="43" fontId="3" fillId="0" borderId="78" xfId="0" applyNumberFormat="1" applyFont="1" applyFill="1" applyBorder="1" applyAlignment="1">
      <alignment vertical="center"/>
    </xf>
    <xf numFmtId="164" fontId="3" fillId="0" borderId="22" xfId="0" applyNumberFormat="1" applyFont="1" applyFill="1" applyBorder="1" applyAlignment="1">
      <alignment vertical="center"/>
    </xf>
    <xf numFmtId="10" fontId="4" fillId="0" borderId="129" xfId="20962" applyNumberFormat="1" applyFont="1" applyFill="1" applyBorder="1" applyAlignment="1">
      <alignment vertical="center"/>
    </xf>
    <xf numFmtId="10" fontId="4" fillId="0" borderId="92" xfId="20962" applyNumberFormat="1" applyFont="1" applyFill="1" applyBorder="1" applyAlignment="1">
      <alignment vertical="center"/>
    </xf>
    <xf numFmtId="10" fontId="4" fillId="0" borderId="93" xfId="20962" applyNumberFormat="1" applyFont="1" applyFill="1" applyBorder="1" applyAlignment="1">
      <alignment vertical="center"/>
    </xf>
    <xf numFmtId="10" fontId="105" fillId="0" borderId="97" xfId="20962" applyNumberFormat="1" applyFont="1" applyFill="1" applyBorder="1" applyAlignment="1" applyProtection="1">
      <alignment horizontal="right" vertical="center"/>
      <protection locked="0"/>
    </xf>
    <xf numFmtId="0" fontId="145" fillId="0" borderId="0" xfId="0" applyFont="1"/>
    <xf numFmtId="164" fontId="145" fillId="0" borderId="97" xfId="7" applyNumberFormat="1" applyFont="1" applyBorder="1"/>
    <xf numFmtId="164" fontId="145" fillId="0" borderId="81" xfId="7" applyNumberFormat="1" applyFont="1" applyBorder="1"/>
    <xf numFmtId="164" fontId="145" fillId="0" borderId="97" xfId="7" applyNumberFormat="1" applyFont="1" applyBorder="1" applyAlignment="1">
      <alignment vertical="center"/>
    </xf>
    <xf numFmtId="164" fontId="146" fillId="0" borderId="121" xfId="7" applyNumberFormat="1" applyFont="1" applyBorder="1"/>
    <xf numFmtId="164" fontId="116" fillId="0" borderId="121" xfId="7" applyNumberFormat="1" applyFont="1" applyBorder="1"/>
    <xf numFmtId="164" fontId="112" fillId="0" borderId="121" xfId="7" applyNumberFormat="1" applyFont="1" applyBorder="1"/>
    <xf numFmtId="164" fontId="112" fillId="0" borderId="121" xfId="7" applyNumberFormat="1" applyFont="1" applyFill="1" applyBorder="1"/>
    <xf numFmtId="164" fontId="115" fillId="0" borderId="121" xfId="7" applyNumberFormat="1" applyFont="1" applyBorder="1"/>
    <xf numFmtId="164" fontId="147" fillId="36" borderId="121" xfId="7" applyNumberFormat="1" applyFont="1" applyFill="1" applyBorder="1"/>
    <xf numFmtId="164" fontId="113" fillId="0" borderId="121" xfId="7" applyNumberFormat="1" applyFont="1" applyBorder="1"/>
    <xf numFmtId="164" fontId="148" fillId="0" borderId="121" xfId="7" applyNumberFormat="1" applyFont="1" applyBorder="1"/>
    <xf numFmtId="164" fontId="112" fillId="0" borderId="121" xfId="7" applyNumberFormat="1" applyFont="1" applyBorder="1" applyAlignment="1">
      <alignment horizontal="left" indent="1"/>
    </xf>
    <xf numFmtId="164" fontId="115" fillId="76" borderId="121" xfId="7" applyNumberFormat="1" applyFont="1" applyFill="1" applyBorder="1"/>
    <xf numFmtId="164" fontId="149" fillId="0" borderId="121" xfId="7" applyNumberFormat="1" applyFont="1" applyBorder="1"/>
    <xf numFmtId="164" fontId="147" fillId="0" borderId="121" xfId="7" applyNumberFormat="1" applyFont="1" applyBorder="1"/>
    <xf numFmtId="164" fontId="112" fillId="0" borderId="81" xfId="7" applyNumberFormat="1" applyFont="1" applyBorder="1"/>
    <xf numFmtId="164" fontId="112" fillId="0" borderId="18" xfId="7" applyNumberFormat="1" applyFont="1" applyBorder="1" applyAlignment="1">
      <alignment horizontal="left" indent="1"/>
    </xf>
    <xf numFmtId="164" fontId="112" fillId="0" borderId="18" xfId="7" applyNumberFormat="1" applyFont="1" applyBorder="1" applyAlignment="1">
      <alignment horizontal="left" indent="2"/>
    </xf>
    <xf numFmtId="164" fontId="112" fillId="0" borderId="18" xfId="7" applyNumberFormat="1" applyFont="1" applyFill="1" applyBorder="1" applyAlignment="1">
      <alignment horizontal="left" indent="3"/>
    </xf>
    <xf numFmtId="164" fontId="112" fillId="0" borderId="18" xfId="7" applyNumberFormat="1" applyFont="1" applyFill="1" applyBorder="1" applyAlignment="1">
      <alignment horizontal="left" indent="1"/>
    </xf>
    <xf numFmtId="164" fontId="112" fillId="79" borderId="18" xfId="7" applyNumberFormat="1" applyFont="1" applyFill="1" applyBorder="1"/>
    <xf numFmtId="164" fontId="112" fillId="79" borderId="121" xfId="7" applyNumberFormat="1" applyFont="1" applyFill="1" applyBorder="1"/>
    <xf numFmtId="164" fontId="112" fillId="79" borderId="81" xfId="7" applyNumberFormat="1" applyFont="1" applyFill="1" applyBorder="1"/>
    <xf numFmtId="164" fontId="112" fillId="0" borderId="18" xfId="7" applyNumberFormat="1" applyFont="1" applyFill="1" applyBorder="1" applyAlignment="1">
      <alignment horizontal="left" vertical="top" wrapText="1" indent="2"/>
    </xf>
    <xf numFmtId="164" fontId="112" fillId="0" borderId="81" xfId="7" applyNumberFormat="1" applyFont="1" applyFill="1" applyBorder="1"/>
    <xf numFmtId="164" fontId="112" fillId="0" borderId="18" xfId="7" applyNumberFormat="1" applyFont="1" applyFill="1" applyBorder="1" applyAlignment="1">
      <alignment horizontal="left" wrapText="1" indent="3"/>
    </xf>
    <xf numFmtId="164" fontId="112" fillId="0" borderId="18" xfId="7" applyNumberFormat="1" applyFont="1" applyFill="1" applyBorder="1" applyAlignment="1">
      <alignment horizontal="left" wrapText="1" indent="2"/>
    </xf>
    <xf numFmtId="164" fontId="147" fillId="0" borderId="18" xfId="7" applyNumberFormat="1" applyFont="1" applyBorder="1"/>
    <xf numFmtId="164" fontId="147" fillId="0" borderId="81" xfId="7" applyNumberFormat="1" applyFont="1" applyBorder="1"/>
    <xf numFmtId="164" fontId="112" fillId="0" borderId="121" xfId="7" applyNumberFormat="1" applyFont="1" applyFill="1" applyBorder="1" applyAlignment="1">
      <alignment horizontal="left" vertical="center" wrapText="1"/>
    </xf>
    <xf numFmtId="164" fontId="112" fillId="0" borderId="121" xfId="7" applyNumberFormat="1" applyFont="1" applyBorder="1" applyAlignment="1">
      <alignment horizontal="center" vertical="center" wrapText="1"/>
    </xf>
    <xf numFmtId="164" fontId="112" fillId="0" borderId="121" xfId="7" applyNumberFormat="1" applyFont="1" applyBorder="1" applyAlignment="1">
      <alignment horizontal="center" vertical="center"/>
    </xf>
    <xf numFmtId="164" fontId="115" fillId="0" borderId="121" xfId="7" applyNumberFormat="1" applyFont="1" applyFill="1" applyBorder="1" applyAlignment="1">
      <alignment horizontal="left" vertical="center" wrapText="1"/>
    </xf>
    <xf numFmtId="164" fontId="117" fillId="0" borderId="121" xfId="7" applyNumberFormat="1" applyFont="1" applyBorder="1"/>
    <xf numFmtId="164" fontId="117" fillId="0" borderId="125" xfId="7" applyNumberFormat="1" applyFont="1" applyBorder="1"/>
    <xf numFmtId="164" fontId="150" fillId="0" borderId="121" xfId="7" applyNumberFormat="1" applyFont="1" applyBorder="1"/>
    <xf numFmtId="10" fontId="117" fillId="0" borderId="121" xfId="20962" applyNumberFormat="1" applyFont="1" applyBorder="1"/>
    <xf numFmtId="10" fontId="117" fillId="0" borderId="125" xfId="20962" applyNumberFormat="1" applyFont="1" applyBorder="1"/>
    <xf numFmtId="193" fontId="2" fillId="0" borderId="82" xfId="0" applyNumberFormat="1" applyFont="1" applyFill="1" applyBorder="1" applyAlignment="1" applyProtection="1">
      <alignment vertical="center" wrapText="1"/>
      <protection locked="0"/>
    </xf>
    <xf numFmtId="193" fontId="2" fillId="0" borderId="82" xfId="0" applyNumberFormat="1" applyFont="1" applyFill="1" applyBorder="1" applyAlignment="1" applyProtection="1">
      <alignment horizontal="right" vertical="center" wrapText="1"/>
      <protection locked="0"/>
    </xf>
    <xf numFmtId="193" fontId="45" fillId="0" borderId="82" xfId="0" applyNumberFormat="1" applyFont="1" applyFill="1" applyBorder="1" applyAlignment="1" applyProtection="1">
      <alignment horizontal="right" vertical="center" wrapText="1"/>
      <protection locked="0"/>
    </xf>
    <xf numFmtId="10" fontId="2" fillId="0" borderId="82" xfId="20962" applyNumberFormat="1" applyFont="1" applyBorder="1" applyAlignment="1" applyProtection="1">
      <alignment horizontal="right" vertical="center" wrapText="1"/>
      <protection locked="0"/>
    </xf>
    <xf numFmtId="10" fontId="2" fillId="2" borderId="82" xfId="20962" applyNumberFormat="1" applyFont="1" applyFill="1" applyBorder="1" applyAlignment="1" applyProtection="1">
      <alignment vertical="center"/>
      <protection locked="0"/>
    </xf>
    <xf numFmtId="193" fontId="2" fillId="2" borderId="82" xfId="0" applyNumberFormat="1" applyFont="1" applyFill="1" applyBorder="1" applyAlignment="1" applyProtection="1">
      <alignment vertical="center"/>
      <protection locked="0"/>
    </xf>
    <xf numFmtId="10" fontId="2" fillId="2" borderId="78" xfId="20962" applyNumberFormat="1" applyFont="1" applyFill="1" applyBorder="1" applyAlignment="1" applyProtection="1">
      <alignment vertical="center"/>
      <protection locked="0"/>
    </xf>
    <xf numFmtId="193" fontId="2" fillId="2" borderId="78" xfId="0" applyNumberFormat="1" applyFont="1" applyFill="1" applyBorder="1" applyAlignment="1" applyProtection="1">
      <alignment vertical="center"/>
      <protection locked="0"/>
    </xf>
    <xf numFmtId="10" fontId="2" fillId="2" borderId="135" xfId="20962" applyNumberFormat="1" applyFont="1" applyFill="1" applyBorder="1" applyAlignment="1" applyProtection="1">
      <alignment vertical="center"/>
      <protection locked="0"/>
    </xf>
    <xf numFmtId="164" fontId="0" fillId="0" borderId="0" xfId="0" applyNumberFormat="1"/>
    <xf numFmtId="43" fontId="0" fillId="0" borderId="0" xfId="0" applyNumberFormat="1"/>
    <xf numFmtId="164" fontId="136" fillId="0" borderId="18" xfId="7" applyNumberFormat="1" applyFont="1" applyFill="1" applyBorder="1" applyAlignment="1" applyProtection="1">
      <alignment horizontal="right"/>
    </xf>
    <xf numFmtId="164" fontId="136" fillId="0" borderId="121" xfId="7" applyNumberFormat="1" applyFont="1" applyFill="1" applyBorder="1" applyAlignment="1" applyProtection="1">
      <alignment horizontal="right"/>
    </xf>
    <xf numFmtId="193" fontId="2" fillId="0" borderId="104" xfId="0" applyNumberFormat="1" applyFont="1" applyFill="1" applyBorder="1" applyAlignment="1" applyProtection="1">
      <alignment vertical="center"/>
      <protection locked="0"/>
    </xf>
    <xf numFmtId="169" fontId="2" fillId="37" borderId="70" xfId="20" applyFont="1" applyBorder="1"/>
    <xf numFmtId="193" fontId="2" fillId="0" borderId="81" xfId="0" applyNumberFormat="1" applyFont="1" applyFill="1" applyBorder="1" applyAlignment="1" applyProtection="1">
      <alignment vertical="center" wrapText="1"/>
      <protection locked="0"/>
    </xf>
    <xf numFmtId="169" fontId="2" fillId="37" borderId="136" xfId="20" applyFont="1" applyBorder="1"/>
    <xf numFmtId="193" fontId="2" fillId="0" borderId="81" xfId="0" applyNumberFormat="1" applyFont="1" applyFill="1" applyBorder="1" applyAlignment="1" applyProtection="1">
      <alignment horizontal="right" vertical="center" wrapText="1"/>
      <protection locked="0"/>
    </xf>
    <xf numFmtId="193" fontId="45" fillId="0" borderId="81" xfId="0" applyNumberFormat="1" applyFont="1" applyFill="1" applyBorder="1" applyAlignment="1" applyProtection="1">
      <alignment horizontal="right" vertical="center" wrapText="1"/>
      <protection locked="0"/>
    </xf>
    <xf numFmtId="10" fontId="2" fillId="0" borderId="81" xfId="20962" applyNumberFormat="1" applyFont="1" applyBorder="1" applyAlignment="1" applyProtection="1">
      <alignment horizontal="right" vertical="center" wrapText="1"/>
      <protection locked="0"/>
    </xf>
    <xf numFmtId="10" fontId="2" fillId="2" borderId="81" xfId="20962" applyNumberFormat="1" applyFont="1" applyFill="1" applyBorder="1" applyAlignment="1" applyProtection="1">
      <alignment vertical="center"/>
      <protection locked="0"/>
    </xf>
    <xf numFmtId="193" fontId="2" fillId="2" borderId="81" xfId="0" applyNumberFormat="1" applyFont="1" applyFill="1" applyBorder="1" applyAlignment="1" applyProtection="1">
      <alignment vertical="center"/>
      <protection locked="0"/>
    </xf>
    <xf numFmtId="10" fontId="2" fillId="2" borderId="89" xfId="20962" applyNumberFormat="1" applyFont="1" applyFill="1" applyBorder="1" applyAlignment="1" applyProtection="1">
      <alignment vertical="center"/>
      <protection locked="0"/>
    </xf>
    <xf numFmtId="193" fontId="2" fillId="2" borderId="89" xfId="0" applyNumberFormat="1" applyFont="1" applyFill="1" applyBorder="1" applyAlignment="1" applyProtection="1">
      <alignment vertical="center"/>
      <protection locked="0"/>
    </xf>
    <xf numFmtId="10" fontId="2" fillId="2" borderId="23" xfId="20962" applyNumberFormat="1" applyFont="1" applyFill="1" applyBorder="1" applyAlignment="1" applyProtection="1">
      <alignment vertical="center"/>
      <protection locked="0"/>
    </xf>
    <xf numFmtId="164" fontId="135" fillId="0" borderId="18" xfId="7" applyNumberFormat="1" applyFont="1" applyBorder="1" applyAlignment="1">
      <alignment vertical="center"/>
    </xf>
    <xf numFmtId="164" fontId="135" fillId="0" borderId="121" xfId="7" applyNumberFormat="1" applyFont="1" applyBorder="1" applyAlignment="1">
      <alignment vertical="center"/>
    </xf>
    <xf numFmtId="38" fontId="135" fillId="0" borderId="121" xfId="7" applyNumberFormat="1" applyFont="1" applyBorder="1"/>
    <xf numFmtId="38" fontId="135" fillId="36" borderId="121" xfId="7" applyNumberFormat="1" applyFont="1" applyFill="1" applyBorder="1"/>
    <xf numFmtId="38" fontId="0" fillId="0" borderId="121" xfId="7" applyNumberFormat="1" applyFont="1" applyBorder="1"/>
    <xf numFmtId="164" fontId="135" fillId="0" borderId="124" xfId="7" applyNumberFormat="1" applyFont="1" applyBorder="1"/>
    <xf numFmtId="164" fontId="0" fillId="0" borderId="124" xfId="7" applyNumberFormat="1" applyFont="1" applyBorder="1"/>
    <xf numFmtId="164" fontId="135" fillId="0" borderId="124" xfId="7" applyNumberFormat="1" applyFont="1" applyBorder="1" applyAlignment="1">
      <alignment vertical="center"/>
    </xf>
    <xf numFmtId="164" fontId="135" fillId="0" borderId="25" xfId="7" applyNumberFormat="1" applyFont="1" applyBorder="1"/>
    <xf numFmtId="164" fontId="135" fillId="36" borderId="81" xfId="7" applyNumberFormat="1" applyFont="1" applyFill="1" applyBorder="1"/>
    <xf numFmtId="164" fontId="135" fillId="36" borderId="81" xfId="7" applyNumberFormat="1" applyFont="1" applyFill="1" applyBorder="1" applyAlignment="1">
      <alignment vertical="center"/>
    </xf>
    <xf numFmtId="164" fontId="135" fillId="36" borderId="23" xfId="7" applyNumberFormat="1" applyFont="1" applyFill="1" applyBorder="1"/>
    <xf numFmtId="164" fontId="136" fillId="36" borderId="81" xfId="7" applyNumberFormat="1" applyFont="1" applyFill="1" applyBorder="1" applyAlignment="1" applyProtection="1">
      <alignment horizontal="right"/>
    </xf>
    <xf numFmtId="164" fontId="136" fillId="36" borderId="23" xfId="7" applyNumberFormat="1" applyFont="1" applyFill="1" applyBorder="1" applyAlignment="1" applyProtection="1">
      <alignment horizontal="right"/>
    </xf>
    <xf numFmtId="0" fontId="126" fillId="3" borderId="121" xfId="0" applyFont="1" applyFill="1" applyBorder="1" applyAlignment="1">
      <alignment vertical="center" wrapText="1"/>
    </xf>
    <xf numFmtId="0" fontId="93" fillId="0" borderId="66" xfId="0" applyFont="1" applyBorder="1" applyAlignment="1">
      <alignment horizontal="left" wrapText="1"/>
    </xf>
    <xf numFmtId="0" fontId="93" fillId="0" borderId="65" xfId="0" applyFont="1" applyBorder="1" applyAlignment="1">
      <alignment horizontal="left" wrapText="1"/>
    </xf>
    <xf numFmtId="0" fontId="93" fillId="0" borderId="129" xfId="0" applyFont="1" applyBorder="1" applyAlignment="1">
      <alignment horizontal="center" vertical="center"/>
    </xf>
    <xf numFmtId="0" fontId="93" fillId="0" borderId="30" xfId="0" applyFont="1" applyBorder="1" applyAlignment="1">
      <alignment horizontal="center" vertical="center"/>
    </xf>
    <xf numFmtId="0" fontId="93" fillId="0" borderId="130" xfId="0" applyFont="1" applyBorder="1" applyAlignment="1">
      <alignment horizontal="center" vertical="center"/>
    </xf>
    <xf numFmtId="164" fontId="0" fillId="0" borderId="82" xfId="7" applyNumberFormat="1" applyFont="1" applyBorder="1" applyAlignment="1">
      <alignment horizontal="center"/>
    </xf>
    <xf numFmtId="164" fontId="0" fillId="0" borderId="123" xfId="7" applyNumberFormat="1" applyFont="1" applyBorder="1" applyAlignment="1">
      <alignment horizontal="center"/>
    </xf>
    <xf numFmtId="164" fontId="0" fillId="0" borderId="84" xfId="7" applyNumberFormat="1" applyFont="1" applyBorder="1" applyAlignment="1">
      <alignment horizontal="center"/>
    </xf>
    <xf numFmtId="0" fontId="0" fillId="0" borderId="15" xfId="0" applyBorder="1" applyAlignment="1">
      <alignment horizontal="center" vertical="center"/>
    </xf>
    <xf numFmtId="0" fontId="0" fillId="0" borderId="18" xfId="0" applyBorder="1" applyAlignment="1">
      <alignment horizontal="center" vertical="center"/>
    </xf>
    <xf numFmtId="0" fontId="121" fillId="0" borderId="59" xfId="0" applyFont="1" applyBorder="1" applyAlignment="1">
      <alignment horizontal="center" vertical="center"/>
    </xf>
    <xf numFmtId="0" fontId="121" fillId="0" borderId="85" xfId="0" applyFont="1" applyBorder="1" applyAlignment="1">
      <alignment horizontal="center" vertical="center"/>
    </xf>
    <xf numFmtId="0" fontId="122" fillId="0" borderId="15" xfId="0" applyFont="1" applyFill="1" applyBorder="1" applyAlignment="1" applyProtection="1">
      <alignment horizontal="center" vertical="center"/>
    </xf>
    <xf numFmtId="0" fontId="122" fillId="0" borderId="16" xfId="0" applyFont="1" applyFill="1" applyBorder="1" applyAlignment="1" applyProtection="1">
      <alignment horizontal="center" vertical="center"/>
    </xf>
    <xf numFmtId="0" fontId="122" fillId="0" borderId="17" xfId="0" applyFont="1" applyFill="1" applyBorder="1" applyAlignment="1" applyProtection="1">
      <alignment horizontal="center" vertical="center"/>
    </xf>
    <xf numFmtId="0" fontId="0" fillId="0" borderId="82" xfId="0" applyBorder="1" applyAlignment="1">
      <alignment horizontal="center"/>
    </xf>
    <xf numFmtId="0" fontId="0" fillId="0" borderId="123" xfId="0" applyBorder="1" applyAlignment="1">
      <alignment horizontal="center"/>
    </xf>
    <xf numFmtId="0" fontId="0" fillId="0" borderId="84" xfId="0" applyBorder="1" applyAlignment="1">
      <alignment horizontal="center"/>
    </xf>
    <xf numFmtId="0" fontId="0" fillId="0" borderId="68" xfId="0" applyBorder="1" applyAlignment="1">
      <alignment horizontal="center" vertical="center"/>
    </xf>
    <xf numFmtId="0" fontId="0" fillId="0" borderId="75" xfId="0" applyBorder="1" applyAlignment="1">
      <alignment horizontal="center" vertical="center"/>
    </xf>
    <xf numFmtId="0" fontId="121" fillId="0" borderId="125" xfId="0" applyFont="1" applyBorder="1" applyAlignment="1">
      <alignment horizontal="center" vertical="center" wrapText="1"/>
    </xf>
    <xf numFmtId="0" fontId="121" fillId="0" borderId="7" xfId="0" applyFont="1" applyBorder="1" applyAlignment="1">
      <alignment horizontal="center" vertical="center" wrapText="1"/>
    </xf>
    <xf numFmtId="0" fontId="135" fillId="0" borderId="15" xfId="0" applyFont="1" applyBorder="1" applyAlignment="1">
      <alignment horizontal="center" vertical="center"/>
    </xf>
    <xf numFmtId="0" fontId="135" fillId="0" borderId="18" xfId="0" applyFont="1" applyBorder="1" applyAlignment="1">
      <alignment horizontal="center" vertical="center"/>
    </xf>
    <xf numFmtId="0" fontId="135" fillId="0" borderId="26" xfId="0" applyFont="1" applyBorder="1" applyAlignment="1">
      <alignment horizontal="center" vertical="center" wrapText="1"/>
    </xf>
    <xf numFmtId="0" fontId="135" fillId="0" borderId="12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9" xfId="0" applyFont="1" applyBorder="1" applyAlignment="1">
      <alignment horizontal="center" vertical="center" wrapText="1"/>
    </xf>
    <xf numFmtId="0" fontId="86" fillId="0" borderId="121" xfId="0" applyFont="1" applyFill="1" applyBorder="1" applyAlignment="1">
      <alignment horizontal="center" vertical="center" wrapText="1"/>
    </xf>
    <xf numFmtId="0" fontId="84" fillId="0" borderId="121" xfId="0" applyFont="1" applyFill="1" applyBorder="1" applyAlignment="1">
      <alignment horizontal="center" vertical="center" wrapText="1"/>
    </xf>
    <xf numFmtId="0" fontId="45" fillId="0" borderId="121" xfId="11" applyFont="1" applyFill="1" applyBorder="1" applyAlignment="1" applyProtection="1">
      <alignment horizontal="center" vertical="center" wrapText="1"/>
    </xf>
    <xf numFmtId="0" fontId="45" fillId="0" borderId="81" xfId="11" applyFont="1" applyFill="1" applyBorder="1" applyAlignment="1" applyProtection="1">
      <alignment horizontal="center" vertical="center" wrapText="1"/>
    </xf>
    <xf numFmtId="0" fontId="45" fillId="0" borderId="70"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1" xfId="13" applyFont="1" applyFill="1" applyBorder="1" applyAlignment="1" applyProtection="1">
      <alignment horizontal="center" vertical="center" wrapText="1"/>
      <protection locked="0"/>
    </xf>
    <xf numFmtId="0" fontId="98" fillId="3" borderId="64"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69" xfId="1" applyNumberFormat="1" applyFont="1" applyFill="1" applyBorder="1" applyAlignment="1" applyProtection="1">
      <alignment horizontal="center"/>
      <protection locked="0"/>
    </xf>
    <xf numFmtId="164" fontId="45" fillId="3" borderId="27" xfId="1" applyNumberFormat="1" applyFont="1" applyFill="1" applyBorder="1" applyAlignment="1" applyProtection="1">
      <alignment horizontal="center"/>
      <protection locked="0"/>
    </xf>
    <xf numFmtId="164" fontId="45" fillId="3" borderId="28" xfId="1" applyNumberFormat="1" applyFont="1" applyFill="1" applyBorder="1" applyAlignment="1" applyProtection="1">
      <alignment horizontal="center"/>
      <protection locked="0"/>
    </xf>
    <xf numFmtId="164" fontId="45" fillId="0" borderId="15" xfId="1" applyNumberFormat="1" applyFont="1" applyFill="1" applyBorder="1" applyAlignment="1" applyProtection="1">
      <alignment horizontal="center"/>
      <protection locked="0"/>
    </xf>
    <xf numFmtId="164" fontId="45" fillId="0" borderId="16" xfId="1" applyNumberFormat="1" applyFont="1" applyFill="1" applyBorder="1" applyAlignment="1" applyProtection="1">
      <alignment horizontal="center"/>
      <protection locked="0"/>
    </xf>
    <xf numFmtId="164" fontId="45" fillId="0" borderId="17" xfId="1" applyNumberFormat="1" applyFont="1" applyFill="1" applyBorder="1" applyAlignment="1" applyProtection="1">
      <alignment horizontal="center"/>
      <protection locked="0"/>
    </xf>
    <xf numFmtId="0" fontId="86" fillId="0" borderId="51" xfId="0" applyFont="1" applyBorder="1" applyAlignment="1">
      <alignment horizontal="center" vertical="center" wrapText="1"/>
    </xf>
    <xf numFmtId="0" fontId="86" fillId="0" borderId="52" xfId="0" applyFont="1" applyBorder="1" applyAlignment="1">
      <alignment horizontal="center" vertical="center" wrapText="1"/>
    </xf>
    <xf numFmtId="164" fontId="45" fillId="0" borderId="72" xfId="1" applyNumberFormat="1" applyFont="1" applyFill="1" applyBorder="1" applyAlignment="1" applyProtection="1">
      <alignment horizontal="center" vertical="center" wrapText="1"/>
      <protection locked="0"/>
    </xf>
    <xf numFmtId="164" fontId="45" fillId="0" borderId="73" xfId="1" applyNumberFormat="1" applyFont="1" applyFill="1" applyBorder="1" applyAlignment="1" applyProtection="1">
      <alignment horizontal="center" vertical="center" wrapText="1"/>
      <protection locked="0"/>
    </xf>
    <xf numFmtId="0" fontId="3" fillId="0" borderId="71"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86" fillId="0" borderId="74" xfId="0" applyFont="1" applyBorder="1" applyAlignment="1">
      <alignment horizontal="center"/>
    </xf>
    <xf numFmtId="0" fontId="86" fillId="0" borderId="75"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4" xfId="0" applyFont="1" applyFill="1" applyBorder="1" applyAlignment="1">
      <alignment horizontal="left" vertical="center"/>
    </xf>
    <xf numFmtId="0" fontId="99" fillId="0" borderId="55" xfId="0" applyFont="1" applyFill="1" applyBorder="1" applyAlignment="1">
      <alignment horizontal="left" vertical="center"/>
    </xf>
    <xf numFmtId="0" fontId="3" fillId="0" borderId="55" xfId="0" applyFont="1" applyFill="1" applyBorder="1" applyAlignment="1">
      <alignment horizontal="center" vertical="center" wrapText="1"/>
    </xf>
    <xf numFmtId="0" fontId="3" fillId="0" borderId="7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6" xfId="0" applyFont="1" applyBorder="1" applyAlignment="1">
      <alignment horizontal="center"/>
    </xf>
    <xf numFmtId="0" fontId="3" fillId="0" borderId="17" xfId="0" applyFont="1" applyBorder="1" applyAlignment="1">
      <alignment horizontal="center" vertical="center" wrapText="1"/>
    </xf>
    <xf numFmtId="0" fontId="3" fillId="0" borderId="81" xfId="0" applyFont="1" applyBorder="1" applyAlignment="1">
      <alignment horizontal="center" vertical="center" wrapText="1"/>
    </xf>
    <xf numFmtId="0" fontId="115" fillId="0" borderId="102" xfId="0" applyNumberFormat="1" applyFont="1" applyFill="1" applyBorder="1" applyAlignment="1">
      <alignment horizontal="left" vertical="center" wrapText="1"/>
    </xf>
    <xf numFmtId="0" fontId="115" fillId="0" borderId="103"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08" xfId="0" applyNumberFormat="1" applyFont="1" applyFill="1" applyBorder="1" applyAlignment="1">
      <alignment horizontal="left" vertical="center" wrapText="1"/>
    </xf>
    <xf numFmtId="0" fontId="115" fillId="0" borderId="110"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6" fillId="0" borderId="104" xfId="0" applyFont="1" applyFill="1" applyBorder="1" applyAlignment="1">
      <alignment horizontal="center" vertical="center" wrapText="1"/>
    </xf>
    <xf numFmtId="0" fontId="116" fillId="0" borderId="10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6" fillId="0" borderId="85"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2" fillId="0" borderId="125" xfId="0" applyFont="1" applyBorder="1" applyAlignment="1">
      <alignment horizontal="center" vertical="center" wrapText="1"/>
    </xf>
    <xf numFmtId="0" fontId="112" fillId="0" borderId="7" xfId="0" applyFont="1" applyBorder="1" applyAlignment="1">
      <alignment horizontal="center" vertical="center" wrapText="1"/>
    </xf>
    <xf numFmtId="0" fontId="112" fillId="0" borderId="121" xfId="0" applyFont="1" applyBorder="1" applyAlignment="1">
      <alignment horizontal="center" vertical="center" wrapText="1"/>
    </xf>
    <xf numFmtId="0" fontId="120" fillId="0" borderId="121" xfId="0" applyFont="1" applyFill="1" applyBorder="1" applyAlignment="1">
      <alignment horizontal="center" vertical="center"/>
    </xf>
    <xf numFmtId="0" fontId="120" fillId="0" borderId="104" xfId="0" applyFont="1" applyFill="1" applyBorder="1" applyAlignment="1">
      <alignment horizontal="center" vertical="center"/>
    </xf>
    <xf numFmtId="0" fontId="120" fillId="0" borderId="106" xfId="0" applyFont="1" applyFill="1" applyBorder="1" applyAlignment="1">
      <alignment horizontal="center" vertical="center"/>
    </xf>
    <xf numFmtId="0" fontId="120" fillId="0" borderId="85" xfId="0" applyFont="1" applyFill="1" applyBorder="1" applyAlignment="1">
      <alignment horizontal="center" vertical="center"/>
    </xf>
    <xf numFmtId="0" fontId="120" fillId="0" borderId="75" xfId="0" applyFont="1" applyFill="1" applyBorder="1" applyAlignment="1">
      <alignment horizontal="center" vertical="center"/>
    </xf>
    <xf numFmtId="0" fontId="116" fillId="0" borderId="121" xfId="0" applyFont="1" applyFill="1" applyBorder="1" applyAlignment="1">
      <alignment horizontal="center" vertical="center" wrapText="1"/>
    </xf>
    <xf numFmtId="0" fontId="112" fillId="0" borderId="124" xfId="0" applyFont="1" applyBorder="1" applyAlignment="1">
      <alignment horizontal="center" vertical="center" wrapText="1"/>
    </xf>
    <xf numFmtId="0" fontId="115" fillId="0" borderId="104" xfId="0" applyFont="1" applyFill="1" applyBorder="1" applyAlignment="1">
      <alignment horizontal="center" vertical="center" wrapText="1"/>
    </xf>
    <xf numFmtId="0" fontId="115" fillId="0" borderId="106" xfId="0" applyFont="1" applyFill="1" applyBorder="1" applyAlignment="1">
      <alignment horizontal="center" vertical="center" wrapText="1"/>
    </xf>
    <xf numFmtId="0" fontId="115" fillId="0" borderId="70" xfId="0" applyFont="1" applyFill="1" applyBorder="1" applyAlignment="1">
      <alignment horizontal="center" vertical="center" wrapText="1"/>
    </xf>
    <xf numFmtId="0" fontId="115" fillId="0" borderId="68" xfId="0" applyFont="1" applyFill="1" applyBorder="1" applyAlignment="1">
      <alignment horizontal="center" vertical="center" wrapText="1"/>
    </xf>
    <xf numFmtId="0" fontId="115" fillId="0" borderId="85" xfId="0" applyFont="1" applyFill="1" applyBorder="1" applyAlignment="1">
      <alignment horizontal="center" vertical="center" wrapText="1"/>
    </xf>
    <xf numFmtId="0" fontId="115" fillId="0" borderId="75" xfId="0" applyFont="1" applyFill="1" applyBorder="1" applyAlignment="1">
      <alignment horizontal="center" vertical="center" wrapText="1"/>
    </xf>
    <xf numFmtId="0" fontId="112" fillId="0" borderId="122" xfId="0" applyFont="1" applyFill="1" applyBorder="1" applyAlignment="1">
      <alignment horizontal="center" vertical="center" wrapText="1"/>
    </xf>
    <xf numFmtId="0" fontId="112" fillId="0" borderId="123" xfId="0" applyFont="1" applyFill="1" applyBorder="1" applyAlignment="1">
      <alignment horizontal="center" vertical="center" wrapText="1"/>
    </xf>
    <xf numFmtId="0" fontId="115" fillId="0" borderId="7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12" fillId="0" borderId="75" xfId="0" applyFont="1" applyBorder="1" applyAlignment="1">
      <alignment horizontal="center" vertical="center" wrapText="1"/>
    </xf>
    <xf numFmtId="0" fontId="115" fillId="0" borderId="54" xfId="0" applyNumberFormat="1" applyFont="1" applyFill="1" applyBorder="1" applyAlignment="1">
      <alignment horizontal="left" vertical="top" wrapText="1"/>
    </xf>
    <xf numFmtId="0" fontId="115" fillId="0" borderId="77" xfId="0" applyNumberFormat="1" applyFont="1" applyFill="1" applyBorder="1" applyAlignment="1">
      <alignment horizontal="left" vertical="top" wrapText="1"/>
    </xf>
    <xf numFmtId="0" fontId="115" fillId="0" borderId="63" xfId="0" applyNumberFormat="1" applyFont="1" applyFill="1" applyBorder="1" applyAlignment="1">
      <alignment horizontal="left" vertical="top" wrapText="1"/>
    </xf>
    <xf numFmtId="0" fontId="115" fillId="0" borderId="94" xfId="0" applyNumberFormat="1" applyFont="1" applyFill="1" applyBorder="1" applyAlignment="1">
      <alignment horizontal="left" vertical="top" wrapText="1"/>
    </xf>
    <xf numFmtId="0" fontId="115" fillId="0" borderId="101" xfId="0" applyNumberFormat="1" applyFont="1" applyFill="1" applyBorder="1" applyAlignment="1">
      <alignment horizontal="left" vertical="top" wrapText="1"/>
    </xf>
    <xf numFmtId="0" fontId="115" fillId="0" borderId="128" xfId="0" applyNumberFormat="1" applyFont="1" applyFill="1" applyBorder="1" applyAlignment="1">
      <alignment horizontal="left" vertical="top" wrapText="1"/>
    </xf>
    <xf numFmtId="0" fontId="115" fillId="0" borderId="86" xfId="0" applyFont="1" applyFill="1" applyBorder="1" applyAlignment="1">
      <alignment horizontal="center" vertical="center" wrapText="1"/>
    </xf>
    <xf numFmtId="0" fontId="115" fillId="0" borderId="67" xfId="0" applyFont="1" applyFill="1" applyBorder="1" applyAlignment="1">
      <alignment horizontal="center" vertical="center" wrapText="1"/>
    </xf>
    <xf numFmtId="0" fontId="112" fillId="0" borderId="64" xfId="0" applyFont="1" applyBorder="1" applyAlignment="1">
      <alignment horizontal="center" vertical="center" wrapText="1"/>
    </xf>
    <xf numFmtId="0" fontId="112" fillId="0" borderId="69" xfId="0" applyFont="1" applyFill="1" applyBorder="1" applyAlignment="1">
      <alignment horizontal="center" vertical="center" wrapText="1"/>
    </xf>
    <xf numFmtId="0" fontId="112" fillId="0" borderId="27" xfId="0" applyFont="1" applyFill="1" applyBorder="1" applyAlignment="1">
      <alignment horizontal="center" vertical="center" wrapText="1"/>
    </xf>
    <xf numFmtId="0" fontId="112" fillId="0" borderId="28" xfId="0" applyFont="1" applyFill="1" applyBorder="1" applyAlignment="1">
      <alignment horizontal="center" vertical="center" wrapText="1"/>
    </xf>
    <xf numFmtId="0" fontId="112" fillId="0" borderId="104" xfId="0" applyFont="1" applyBorder="1" applyAlignment="1">
      <alignment horizontal="center" vertical="top" wrapText="1"/>
    </xf>
    <xf numFmtId="0" fontId="112" fillId="0" borderId="105" xfId="0" applyFont="1" applyBorder="1" applyAlignment="1">
      <alignment horizontal="center" vertical="top" wrapText="1"/>
    </xf>
    <xf numFmtId="0" fontId="112" fillId="0" borderId="104" xfId="0" applyFont="1" applyFill="1" applyBorder="1" applyAlignment="1">
      <alignment horizontal="center" vertical="top" wrapText="1"/>
    </xf>
    <xf numFmtId="0" fontId="112" fillId="0" borderId="123" xfId="0" applyFont="1" applyFill="1" applyBorder="1" applyAlignment="1">
      <alignment horizontal="center" vertical="top" wrapText="1"/>
    </xf>
    <xf numFmtId="0" fontId="112" fillId="0" borderId="124" xfId="0" applyFont="1" applyFill="1" applyBorder="1" applyAlignment="1">
      <alignment horizontal="center" vertical="top" wrapText="1"/>
    </xf>
    <xf numFmtId="0" fontId="132" fillId="0" borderId="113" xfId="0" applyNumberFormat="1" applyFont="1" applyFill="1" applyBorder="1" applyAlignment="1">
      <alignment horizontal="left" vertical="top" wrapText="1"/>
    </xf>
    <xf numFmtId="0" fontId="132" fillId="0" borderId="114" xfId="0" applyNumberFormat="1" applyFont="1" applyFill="1" applyBorder="1" applyAlignment="1">
      <alignment horizontal="left" vertical="top" wrapText="1"/>
    </xf>
    <xf numFmtId="0" fontId="118" fillId="0" borderId="104" xfId="0" applyFont="1" applyBorder="1" applyAlignment="1">
      <alignment horizontal="center" vertical="center"/>
    </xf>
    <xf numFmtId="0" fontId="118" fillId="0" borderId="106" xfId="0" applyFont="1" applyBorder="1" applyAlignment="1">
      <alignment horizontal="center" vertical="center"/>
    </xf>
    <xf numFmtId="0" fontId="118" fillId="0" borderId="85" xfId="0" applyFont="1" applyBorder="1" applyAlignment="1">
      <alignment horizontal="center" vertical="center"/>
    </xf>
    <xf numFmtId="0" fontId="118" fillId="0" borderId="75" xfId="0" applyFont="1" applyBorder="1" applyAlignment="1">
      <alignment horizontal="center" vertical="center"/>
    </xf>
    <xf numFmtId="0" fontId="117" fillId="0" borderId="121" xfId="0" applyFont="1" applyBorder="1" applyAlignment="1">
      <alignment horizontal="center" vertical="center" wrapText="1"/>
    </xf>
    <xf numFmtId="0" fontId="117" fillId="0" borderId="125" xfId="0" applyFont="1" applyBorder="1" applyAlignment="1">
      <alignment horizontal="center" vertical="center" wrapText="1"/>
    </xf>
  </cellXfs>
  <cellStyles count="20967">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23" xfId="20966"/>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35"/>
  <sheetViews>
    <sheetView showGridLines="0" tabSelected="1" zoomScaleNormal="100" workbookViewId="0">
      <selection activeCell="B1" sqref="B1"/>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08"/>
      <c r="B1" s="143" t="s">
        <v>222</v>
      </c>
      <c r="C1" s="108"/>
    </row>
    <row r="2" spans="1:3" ht="15">
      <c r="A2" s="144">
        <v>1</v>
      </c>
      <c r="B2" s="254" t="s">
        <v>223</v>
      </c>
      <c r="C2" s="641" t="s">
        <v>706</v>
      </c>
    </row>
    <row r="3" spans="1:3" ht="15">
      <c r="A3" s="144">
        <v>2</v>
      </c>
      <c r="B3" s="255" t="s">
        <v>219</v>
      </c>
      <c r="C3" s="641" t="s">
        <v>707</v>
      </c>
    </row>
    <row r="4" spans="1:3" ht="15">
      <c r="A4" s="144">
        <v>3</v>
      </c>
      <c r="B4" s="256" t="s">
        <v>224</v>
      </c>
      <c r="C4" s="641" t="s">
        <v>708</v>
      </c>
    </row>
    <row r="5" spans="1:3">
      <c r="A5" s="145">
        <v>4</v>
      </c>
      <c r="B5" s="257" t="s">
        <v>220</v>
      </c>
      <c r="C5" s="642" t="s">
        <v>709</v>
      </c>
    </row>
    <row r="6" spans="1:3" s="146" customFormat="1" ht="45.75" customHeight="1">
      <c r="A6" s="791" t="s">
        <v>296</v>
      </c>
      <c r="B6" s="792"/>
      <c r="C6" s="792"/>
    </row>
    <row r="7" spans="1:3" ht="15">
      <c r="A7" s="147" t="s">
        <v>29</v>
      </c>
      <c r="B7" s="143" t="s">
        <v>221</v>
      </c>
    </row>
    <row r="8" spans="1:3">
      <c r="A8" s="108">
        <v>1</v>
      </c>
      <c r="B8" s="178" t="s">
        <v>20</v>
      </c>
    </row>
    <row r="9" spans="1:3">
      <c r="A9" s="108">
        <v>2</v>
      </c>
      <c r="B9" s="179" t="s">
        <v>21</v>
      </c>
    </row>
    <row r="10" spans="1:3">
      <c r="A10" s="108">
        <v>3</v>
      </c>
      <c r="B10" s="179" t="s">
        <v>22</v>
      </c>
    </row>
    <row r="11" spans="1:3">
      <c r="A11" s="108">
        <v>4</v>
      </c>
      <c r="B11" s="179" t="s">
        <v>23</v>
      </c>
      <c r="C11" s="47"/>
    </row>
    <row r="12" spans="1:3">
      <c r="A12" s="108">
        <v>5</v>
      </c>
      <c r="B12" s="179" t="s">
        <v>24</v>
      </c>
    </row>
    <row r="13" spans="1:3">
      <c r="A13" s="108">
        <v>6</v>
      </c>
      <c r="B13" s="180" t="s">
        <v>231</v>
      </c>
    </row>
    <row r="14" spans="1:3">
      <c r="A14" s="108">
        <v>7</v>
      </c>
      <c r="B14" s="179" t="s">
        <v>225</v>
      </c>
    </row>
    <row r="15" spans="1:3">
      <c r="A15" s="108">
        <v>8</v>
      </c>
      <c r="B15" s="179" t="s">
        <v>226</v>
      </c>
    </row>
    <row r="16" spans="1:3">
      <c r="A16" s="108">
        <v>9</v>
      </c>
      <c r="B16" s="179" t="s">
        <v>25</v>
      </c>
    </row>
    <row r="17" spans="1:2">
      <c r="A17" s="253" t="s">
        <v>295</v>
      </c>
      <c r="B17" s="252" t="s">
        <v>282</v>
      </c>
    </row>
    <row r="18" spans="1:2">
      <c r="A18" s="108">
        <v>10</v>
      </c>
      <c r="B18" s="179" t="s">
        <v>26</v>
      </c>
    </row>
    <row r="19" spans="1:2">
      <c r="A19" s="108">
        <v>11</v>
      </c>
      <c r="B19" s="180" t="s">
        <v>227</v>
      </c>
    </row>
    <row r="20" spans="1:2">
      <c r="A20" s="108">
        <v>12</v>
      </c>
      <c r="B20" s="180" t="s">
        <v>27</v>
      </c>
    </row>
    <row r="21" spans="1:2">
      <c r="A21" s="304">
        <v>13</v>
      </c>
      <c r="B21" s="305" t="s">
        <v>228</v>
      </c>
    </row>
    <row r="22" spans="1:2">
      <c r="A22" s="304">
        <v>14</v>
      </c>
      <c r="B22" s="306" t="s">
        <v>253</v>
      </c>
    </row>
    <row r="23" spans="1:2">
      <c r="A23" s="307">
        <v>15</v>
      </c>
      <c r="B23" s="308" t="s">
        <v>28</v>
      </c>
    </row>
    <row r="24" spans="1:2">
      <c r="A24" s="307">
        <v>15.1</v>
      </c>
      <c r="B24" s="309" t="s">
        <v>309</v>
      </c>
    </row>
    <row r="25" spans="1:2">
      <c r="A25" s="307">
        <v>16</v>
      </c>
      <c r="B25" s="309" t="s">
        <v>368</v>
      </c>
    </row>
    <row r="26" spans="1:2">
      <c r="A26" s="307">
        <v>17</v>
      </c>
      <c r="B26" s="309" t="s">
        <v>409</v>
      </c>
    </row>
    <row r="27" spans="1:2">
      <c r="A27" s="307">
        <v>18</v>
      </c>
      <c r="B27" s="309" t="s">
        <v>697</v>
      </c>
    </row>
    <row r="28" spans="1:2">
      <c r="A28" s="307">
        <v>19</v>
      </c>
      <c r="B28" s="309" t="s">
        <v>698</v>
      </c>
    </row>
    <row r="29" spans="1:2">
      <c r="A29" s="307">
        <v>20</v>
      </c>
      <c r="B29" s="368" t="s">
        <v>699</v>
      </c>
    </row>
    <row r="30" spans="1:2">
      <c r="A30" s="307">
        <v>21</v>
      </c>
      <c r="B30" s="309" t="s">
        <v>525</v>
      </c>
    </row>
    <row r="31" spans="1:2">
      <c r="A31" s="307">
        <v>22</v>
      </c>
      <c r="B31" s="309" t="s">
        <v>700</v>
      </c>
    </row>
    <row r="32" spans="1:2">
      <c r="A32" s="307">
        <v>23</v>
      </c>
      <c r="B32" s="309" t="s">
        <v>701</v>
      </c>
    </row>
    <row r="33" spans="1:2">
      <c r="A33" s="307">
        <v>24</v>
      </c>
      <c r="B33" s="309" t="s">
        <v>702</v>
      </c>
    </row>
    <row r="34" spans="1:2">
      <c r="A34" s="307">
        <v>25</v>
      </c>
      <c r="B34" s="309" t="s">
        <v>410</v>
      </c>
    </row>
    <row r="35" spans="1:2">
      <c r="A35" s="307">
        <v>26</v>
      </c>
      <c r="B35" s="309" t="s">
        <v>547</v>
      </c>
    </row>
  </sheetData>
  <mergeCells count="1">
    <mergeCell ref="A6:C6"/>
  </mergeCells>
  <hyperlinks>
    <hyperlink ref="B9" location="'2. SOFP'!A1" display="Balance Sheet"/>
    <hyperlink ref="B12" location="'5. RWA '!A1" display="Risk-Weighted Assets (RWA)"/>
    <hyperlink ref="B8" location="'1. key ratios '!A1" display="Key ratios"/>
    <hyperlink ref="B10" location="'3. SO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B35" location="'26. Retail Products'!A1" display="General information on retail products"/>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C56"/>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50" bestFit="1" customWidth="1"/>
    <col min="2" max="2" width="132.42578125" style="4" customWidth="1"/>
    <col min="3" max="3" width="18.42578125" style="4" customWidth="1"/>
    <col min="4" max="16384" width="9.140625" style="4"/>
  </cols>
  <sheetData>
    <row r="1" spans="1:3">
      <c r="A1" s="2" t="s">
        <v>30</v>
      </c>
      <c r="B1" s="536" t="str">
        <f>'1. key ratios '!B1</f>
        <v>JSC Isbank Georgia</v>
      </c>
    </row>
    <row r="2" spans="1:3" s="40" customFormat="1" ht="15.75" customHeight="1">
      <c r="A2" s="40" t="s">
        <v>31</v>
      </c>
      <c r="B2" s="537">
        <f>'1. key ratios '!B2</f>
        <v>45657</v>
      </c>
    </row>
    <row r="3" spans="1:3" s="40" customFormat="1" ht="15.75" customHeight="1"/>
    <row r="4" spans="1:3" ht="13.5" thickBot="1">
      <c r="A4" s="50" t="s">
        <v>143</v>
      </c>
      <c r="B4" s="93" t="s">
        <v>142</v>
      </c>
    </row>
    <row r="5" spans="1:3">
      <c r="A5" s="51" t="s">
        <v>6</v>
      </c>
      <c r="B5" s="52"/>
      <c r="C5" s="53" t="s">
        <v>35</v>
      </c>
    </row>
    <row r="6" spans="1:3">
      <c r="A6" s="54">
        <v>1</v>
      </c>
      <c r="B6" s="55" t="s">
        <v>141</v>
      </c>
      <c r="C6" s="643">
        <f>SUM(C7:C11)</f>
        <v>146025790.18153781</v>
      </c>
    </row>
    <row r="7" spans="1:3">
      <c r="A7" s="54">
        <v>2</v>
      </c>
      <c r="B7" s="56" t="s">
        <v>140</v>
      </c>
      <c r="C7" s="57">
        <f>'2. SOFP'!E55</f>
        <v>69161600</v>
      </c>
    </row>
    <row r="8" spans="1:3">
      <c r="A8" s="54">
        <v>3</v>
      </c>
      <c r="B8" s="58" t="s">
        <v>139</v>
      </c>
      <c r="C8" s="57"/>
    </row>
    <row r="9" spans="1:3">
      <c r="A9" s="54">
        <v>4</v>
      </c>
      <c r="B9" s="58" t="s">
        <v>138</v>
      </c>
      <c r="C9" s="57"/>
    </row>
    <row r="10" spans="1:3">
      <c r="A10" s="54">
        <v>5</v>
      </c>
      <c r="B10" s="58" t="s">
        <v>137</v>
      </c>
      <c r="C10" s="57"/>
    </row>
    <row r="11" spans="1:3">
      <c r="A11" s="54">
        <v>6</v>
      </c>
      <c r="B11" s="59" t="s">
        <v>136</v>
      </c>
      <c r="C11" s="57">
        <f>'2. SOFP'!E67</f>
        <v>76864190.181537807</v>
      </c>
    </row>
    <row r="12" spans="1:3" s="26" customFormat="1">
      <c r="A12" s="54">
        <v>7</v>
      </c>
      <c r="B12" s="55" t="s">
        <v>135</v>
      </c>
      <c r="C12" s="60">
        <f>SUM(C13:C28)</f>
        <v>2727053.4502263302</v>
      </c>
    </row>
    <row r="13" spans="1:3" s="26" customFormat="1">
      <c r="A13" s="54">
        <v>8</v>
      </c>
      <c r="B13" s="61" t="s">
        <v>134</v>
      </c>
      <c r="C13" s="62"/>
    </row>
    <row r="14" spans="1:3" s="26" customFormat="1" ht="25.5">
      <c r="A14" s="54">
        <v>9</v>
      </c>
      <c r="B14" s="63" t="s">
        <v>133</v>
      </c>
      <c r="C14" s="62"/>
    </row>
    <row r="15" spans="1:3" s="26" customFormat="1">
      <c r="A15" s="54">
        <v>10</v>
      </c>
      <c r="B15" s="64" t="s">
        <v>132</v>
      </c>
      <c r="C15" s="62">
        <f>'2. SOFP'!E27</f>
        <v>2727053.4502263302</v>
      </c>
    </row>
    <row r="16" spans="1:3" s="26" customFormat="1">
      <c r="A16" s="54">
        <v>11</v>
      </c>
      <c r="B16" s="65" t="s">
        <v>131</v>
      </c>
      <c r="C16" s="62"/>
    </row>
    <row r="17" spans="1:3" s="26" customFormat="1">
      <c r="A17" s="54">
        <v>12</v>
      </c>
      <c r="B17" s="64" t="s">
        <v>130</v>
      </c>
      <c r="C17" s="62"/>
    </row>
    <row r="18" spans="1:3" s="26" customFormat="1">
      <c r="A18" s="54">
        <v>13</v>
      </c>
      <c r="B18" s="64" t="s">
        <v>129</v>
      </c>
      <c r="C18" s="62"/>
    </row>
    <row r="19" spans="1:3" s="26" customFormat="1">
      <c r="A19" s="54">
        <v>14</v>
      </c>
      <c r="B19" s="64" t="s">
        <v>128</v>
      </c>
      <c r="C19" s="62"/>
    </row>
    <row r="20" spans="1:3" s="26" customFormat="1">
      <c r="A20" s="54">
        <v>15</v>
      </c>
      <c r="B20" s="64" t="s">
        <v>127</v>
      </c>
      <c r="C20" s="62"/>
    </row>
    <row r="21" spans="1:3" s="26" customFormat="1" ht="25.5">
      <c r="A21" s="54">
        <v>16</v>
      </c>
      <c r="B21" s="63" t="s">
        <v>126</v>
      </c>
      <c r="C21" s="62"/>
    </row>
    <row r="22" spans="1:3" s="26" customFormat="1">
      <c r="A22" s="54">
        <v>17</v>
      </c>
      <c r="B22" s="66" t="s">
        <v>125</v>
      </c>
      <c r="C22" s="62"/>
    </row>
    <row r="23" spans="1:3" s="26" customFormat="1">
      <c r="A23" s="54">
        <v>18</v>
      </c>
      <c r="B23" s="535" t="s">
        <v>548</v>
      </c>
      <c r="C23" s="370"/>
    </row>
    <row r="24" spans="1:3" s="26" customFormat="1">
      <c r="A24" s="54">
        <v>19</v>
      </c>
      <c r="B24" s="63" t="s">
        <v>124</v>
      </c>
      <c r="C24" s="62"/>
    </row>
    <row r="25" spans="1:3" s="26" customFormat="1" ht="25.5">
      <c r="A25" s="54">
        <v>20</v>
      </c>
      <c r="B25" s="63" t="s">
        <v>101</v>
      </c>
      <c r="C25" s="62"/>
    </row>
    <row r="26" spans="1:3" s="26" customFormat="1">
      <c r="A26" s="54">
        <v>21</v>
      </c>
      <c r="B26" s="67" t="s">
        <v>123</v>
      </c>
      <c r="C26" s="62"/>
    </row>
    <row r="27" spans="1:3" s="26" customFormat="1">
      <c r="A27" s="54">
        <v>22</v>
      </c>
      <c r="B27" s="67" t="s">
        <v>122</v>
      </c>
      <c r="C27" s="62"/>
    </row>
    <row r="28" spans="1:3" s="26" customFormat="1">
      <c r="A28" s="54">
        <v>23</v>
      </c>
      <c r="B28" s="67" t="s">
        <v>121</v>
      </c>
      <c r="C28" s="62"/>
    </row>
    <row r="29" spans="1:3" s="26" customFormat="1">
      <c r="A29" s="54">
        <v>24</v>
      </c>
      <c r="B29" s="68" t="s">
        <v>120</v>
      </c>
      <c r="C29" s="644">
        <f>C6-C12</f>
        <v>143298736.73131147</v>
      </c>
    </row>
    <row r="30" spans="1:3" s="26" customFormat="1">
      <c r="A30" s="69"/>
      <c r="B30" s="70"/>
      <c r="C30" s="62"/>
    </row>
    <row r="31" spans="1:3" s="26" customFormat="1">
      <c r="A31" s="69">
        <v>25</v>
      </c>
      <c r="B31" s="68" t="s">
        <v>119</v>
      </c>
      <c r="C31" s="60">
        <f>C32+C35</f>
        <v>0</v>
      </c>
    </row>
    <row r="32" spans="1:3" s="26" customFormat="1">
      <c r="A32" s="69">
        <v>26</v>
      </c>
      <c r="B32" s="58" t="s">
        <v>118</v>
      </c>
      <c r="C32" s="71">
        <f>C33+C34</f>
        <v>0</v>
      </c>
    </row>
    <row r="33" spans="1:3" s="26" customFormat="1">
      <c r="A33" s="69">
        <v>27</v>
      </c>
      <c r="B33" s="72" t="s">
        <v>192</v>
      </c>
      <c r="C33" s="62"/>
    </row>
    <row r="34" spans="1:3" s="26" customFormat="1">
      <c r="A34" s="69">
        <v>28</v>
      </c>
      <c r="B34" s="72" t="s">
        <v>117</v>
      </c>
      <c r="C34" s="62"/>
    </row>
    <row r="35" spans="1:3" s="26" customFormat="1">
      <c r="A35" s="69">
        <v>29</v>
      </c>
      <c r="B35" s="58" t="s">
        <v>116</v>
      </c>
      <c r="C35" s="62"/>
    </row>
    <row r="36" spans="1:3" s="26" customFormat="1">
      <c r="A36" s="69">
        <v>30</v>
      </c>
      <c r="B36" s="68" t="s">
        <v>115</v>
      </c>
      <c r="C36" s="60">
        <f>SUM(C37:C41)</f>
        <v>0</v>
      </c>
    </row>
    <row r="37" spans="1:3" s="26" customFormat="1">
      <c r="A37" s="69">
        <v>31</v>
      </c>
      <c r="B37" s="63" t="s">
        <v>114</v>
      </c>
      <c r="C37" s="62"/>
    </row>
    <row r="38" spans="1:3" s="26" customFormat="1">
      <c r="A38" s="69">
        <v>32</v>
      </c>
      <c r="B38" s="64" t="s">
        <v>113</v>
      </c>
      <c r="C38" s="62"/>
    </row>
    <row r="39" spans="1:3" s="26" customFormat="1" ht="25.5">
      <c r="A39" s="69">
        <v>33</v>
      </c>
      <c r="B39" s="63" t="s">
        <v>112</v>
      </c>
      <c r="C39" s="62"/>
    </row>
    <row r="40" spans="1:3" s="26" customFormat="1" ht="25.5">
      <c r="A40" s="69">
        <v>34</v>
      </c>
      <c r="B40" s="63" t="s">
        <v>101</v>
      </c>
      <c r="C40" s="62"/>
    </row>
    <row r="41" spans="1:3" s="26" customFormat="1">
      <c r="A41" s="69">
        <v>35</v>
      </c>
      <c r="B41" s="67" t="s">
        <v>111</v>
      </c>
      <c r="C41" s="62"/>
    </row>
    <row r="42" spans="1:3" s="26" customFormat="1">
      <c r="A42" s="69">
        <v>36</v>
      </c>
      <c r="B42" s="68" t="s">
        <v>110</v>
      </c>
      <c r="C42" s="60">
        <f>C31-C36</f>
        <v>0</v>
      </c>
    </row>
    <row r="43" spans="1:3" s="26" customFormat="1">
      <c r="A43" s="69"/>
      <c r="B43" s="70"/>
      <c r="C43" s="62"/>
    </row>
    <row r="44" spans="1:3" s="26" customFormat="1">
      <c r="A44" s="69">
        <v>37</v>
      </c>
      <c r="B44" s="73" t="s">
        <v>109</v>
      </c>
      <c r="C44" s="60">
        <f>SUM(C45:C47)</f>
        <v>0</v>
      </c>
    </row>
    <row r="45" spans="1:3" s="26" customFormat="1">
      <c r="A45" s="69">
        <v>38</v>
      </c>
      <c r="B45" s="58" t="s">
        <v>108</v>
      </c>
      <c r="C45" s="62"/>
    </row>
    <row r="46" spans="1:3" s="26" customFormat="1">
      <c r="A46" s="69">
        <v>39</v>
      </c>
      <c r="B46" s="58" t="s">
        <v>107</v>
      </c>
      <c r="C46" s="62"/>
    </row>
    <row r="47" spans="1:3" s="26" customFormat="1">
      <c r="A47" s="69">
        <v>40</v>
      </c>
      <c r="B47" s="58" t="s">
        <v>106</v>
      </c>
      <c r="C47" s="62"/>
    </row>
    <row r="48" spans="1:3" s="26" customFormat="1">
      <c r="A48" s="69">
        <v>41</v>
      </c>
      <c r="B48" s="73" t="s">
        <v>105</v>
      </c>
      <c r="C48" s="60">
        <f>SUM(C49:C52)</f>
        <v>0</v>
      </c>
    </row>
    <row r="49" spans="1:3" s="26" customFormat="1">
      <c r="A49" s="69">
        <v>42</v>
      </c>
      <c r="B49" s="63" t="s">
        <v>104</v>
      </c>
      <c r="C49" s="62"/>
    </row>
    <row r="50" spans="1:3" s="26" customFormat="1">
      <c r="A50" s="69">
        <v>43</v>
      </c>
      <c r="B50" s="64" t="s">
        <v>103</v>
      </c>
      <c r="C50" s="62"/>
    </row>
    <row r="51" spans="1:3" s="26" customFormat="1">
      <c r="A51" s="69">
        <v>44</v>
      </c>
      <c r="B51" s="63" t="s">
        <v>102</v>
      </c>
      <c r="C51" s="62"/>
    </row>
    <row r="52" spans="1:3" s="26" customFormat="1" ht="25.5">
      <c r="A52" s="69">
        <v>45</v>
      </c>
      <c r="B52" s="63" t="s">
        <v>101</v>
      </c>
      <c r="C52" s="62"/>
    </row>
    <row r="53" spans="1:3" s="26" customFormat="1" ht="13.5" thickBot="1">
      <c r="A53" s="69">
        <v>46</v>
      </c>
      <c r="B53" s="74" t="s">
        <v>100</v>
      </c>
      <c r="C53" s="75">
        <f>C44-C48</f>
        <v>0</v>
      </c>
    </row>
    <row r="56" spans="1:3">
      <c r="B56" s="4" t="s">
        <v>7</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23"/>
  <sheetViews>
    <sheetView showGridLines="0" workbookViewId="0">
      <selection activeCell="B4" sqref="B4"/>
    </sheetView>
  </sheetViews>
  <sheetFormatPr defaultColWidth="9.140625" defaultRowHeight="12.75"/>
  <cols>
    <col min="1" max="1" width="9.42578125" style="192" bestFit="1" customWidth="1"/>
    <col min="2" max="2" width="59" style="192" customWidth="1"/>
    <col min="3" max="3" width="16.7109375" style="192" bestFit="1" customWidth="1"/>
    <col min="4" max="4" width="13.28515625" style="192" bestFit="1" customWidth="1"/>
    <col min="5" max="16384" width="9.140625" style="192"/>
  </cols>
  <sheetData>
    <row r="1" spans="1:4" ht="15">
      <c r="A1" s="238" t="s">
        <v>30</v>
      </c>
      <c r="B1" s="536" t="str">
        <f>'1. key ratios '!B1</f>
        <v>JSC Isbank Georgia</v>
      </c>
    </row>
    <row r="2" spans="1:4" s="166" customFormat="1" ht="15.75" customHeight="1">
      <c r="A2" s="166" t="s">
        <v>31</v>
      </c>
      <c r="B2" s="537">
        <f>'1. key ratios '!B2</f>
        <v>45657</v>
      </c>
    </row>
    <row r="3" spans="1:4" s="166" customFormat="1" ht="15.75" customHeight="1"/>
    <row r="4" spans="1:4" ht="13.5" thickBot="1">
      <c r="A4" s="209" t="s">
        <v>281</v>
      </c>
      <c r="B4" s="246" t="s">
        <v>282</v>
      </c>
    </row>
    <row r="5" spans="1:4" s="247" customFormat="1" ht="12.75" customHeight="1">
      <c r="A5" s="302"/>
      <c r="B5" s="303" t="s">
        <v>285</v>
      </c>
      <c r="C5" s="239" t="s">
        <v>283</v>
      </c>
      <c r="D5" s="240" t="s">
        <v>284</v>
      </c>
    </row>
    <row r="6" spans="1:4" s="248" customFormat="1">
      <c r="A6" s="241">
        <v>1</v>
      </c>
      <c r="B6" s="298" t="s">
        <v>286</v>
      </c>
      <c r="C6" s="298"/>
      <c r="D6" s="242"/>
    </row>
    <row r="7" spans="1:4" s="248" customFormat="1">
      <c r="A7" s="243" t="s">
        <v>272</v>
      </c>
      <c r="B7" s="299" t="s">
        <v>287</v>
      </c>
      <c r="C7" s="291">
        <v>4.4999999999999998E-2</v>
      </c>
      <c r="D7" s="645">
        <f>C7*'5. RWA '!$C$13</f>
        <v>25307958.615541235</v>
      </c>
    </row>
    <row r="8" spans="1:4" s="248" customFormat="1">
      <c r="A8" s="243" t="s">
        <v>273</v>
      </c>
      <c r="B8" s="299" t="s">
        <v>288</v>
      </c>
      <c r="C8" s="292">
        <v>0.06</v>
      </c>
      <c r="D8" s="645">
        <f>C8*'5. RWA '!$C$13</f>
        <v>33743944.820721641</v>
      </c>
    </row>
    <row r="9" spans="1:4" s="248" customFormat="1">
      <c r="A9" s="243" t="s">
        <v>274</v>
      </c>
      <c r="B9" s="299" t="s">
        <v>289</v>
      </c>
      <c r="C9" s="292">
        <v>0.08</v>
      </c>
      <c r="D9" s="645">
        <f>C9*'5. RWA '!$C$13</f>
        <v>44991926.42762886</v>
      </c>
    </row>
    <row r="10" spans="1:4" s="248" customFormat="1">
      <c r="A10" s="241" t="s">
        <v>275</v>
      </c>
      <c r="B10" s="298" t="s">
        <v>290</v>
      </c>
      <c r="C10" s="293"/>
      <c r="D10" s="646"/>
    </row>
    <row r="11" spans="1:4" s="249" customFormat="1">
      <c r="A11" s="244" t="s">
        <v>276</v>
      </c>
      <c r="B11" s="290" t="s">
        <v>730</v>
      </c>
      <c r="C11" s="294">
        <v>2.5000000000000001E-2</v>
      </c>
      <c r="D11" s="645">
        <f>C11*'5. RWA '!$C$13</f>
        <v>14059977.00863402</v>
      </c>
    </row>
    <row r="12" spans="1:4" s="249" customFormat="1">
      <c r="A12" s="244" t="s">
        <v>277</v>
      </c>
      <c r="B12" s="290" t="s">
        <v>291</v>
      </c>
      <c r="C12" s="294">
        <v>2.5000000000000001E-3</v>
      </c>
      <c r="D12" s="645">
        <f>C12*'5. RWA '!$C$13</f>
        <v>1405997.7008634019</v>
      </c>
    </row>
    <row r="13" spans="1:4" s="249" customFormat="1">
      <c r="A13" s="244" t="s">
        <v>278</v>
      </c>
      <c r="B13" s="290" t="s">
        <v>292</v>
      </c>
      <c r="C13" s="294"/>
      <c r="D13" s="645">
        <f>C13*'5. RWA '!$C$13</f>
        <v>0</v>
      </c>
    </row>
    <row r="14" spans="1:4" s="249" customFormat="1">
      <c r="A14" s="241" t="s">
        <v>279</v>
      </c>
      <c r="B14" s="298" t="s">
        <v>353</v>
      </c>
      <c r="C14" s="295"/>
      <c r="D14" s="646"/>
    </row>
    <row r="15" spans="1:4" s="249" customFormat="1">
      <c r="A15" s="244">
        <v>3.1</v>
      </c>
      <c r="B15" s="290" t="s">
        <v>297</v>
      </c>
      <c r="C15" s="294">
        <v>7.0058639151248436E-2</v>
      </c>
      <c r="D15" s="645">
        <f>C15*'5. RWA '!$C$13</f>
        <v>39400914.228909604</v>
      </c>
    </row>
    <row r="16" spans="1:4" s="249" customFormat="1">
      <c r="A16" s="244">
        <v>3.2</v>
      </c>
      <c r="B16" s="290" t="s">
        <v>298</v>
      </c>
      <c r="C16" s="294">
        <v>8.9375650990568101E-2</v>
      </c>
      <c r="D16" s="645">
        <f>C16*'5. RWA '!$C$13</f>
        <v>50264783.92236343</v>
      </c>
    </row>
    <row r="17" spans="1:6" s="248" customFormat="1">
      <c r="A17" s="244">
        <v>3.3</v>
      </c>
      <c r="B17" s="290" t="s">
        <v>299</v>
      </c>
      <c r="C17" s="294">
        <v>0.11479277183177819</v>
      </c>
      <c r="D17" s="645">
        <f>C17*'5. RWA '!$C$13</f>
        <v>64559349.308486886</v>
      </c>
    </row>
    <row r="18" spans="1:6" s="247" customFormat="1" ht="12.75" customHeight="1">
      <c r="A18" s="300"/>
      <c r="B18" s="301" t="s">
        <v>352</v>
      </c>
      <c r="C18" s="296" t="s">
        <v>283</v>
      </c>
      <c r="D18" s="647" t="s">
        <v>284</v>
      </c>
    </row>
    <row r="19" spans="1:6" s="248" customFormat="1">
      <c r="A19" s="245">
        <v>4</v>
      </c>
      <c r="B19" s="290" t="s">
        <v>293</v>
      </c>
      <c r="C19" s="294">
        <f>C7+C11+C12+C13+C15</f>
        <v>0.14255863915124845</v>
      </c>
      <c r="D19" s="645">
        <f>C19*'5. RWA '!$C$13</f>
        <v>80174847.553948268</v>
      </c>
    </row>
    <row r="20" spans="1:6" s="248" customFormat="1">
      <c r="A20" s="245">
        <v>5</v>
      </c>
      <c r="B20" s="290" t="s">
        <v>90</v>
      </c>
      <c r="C20" s="294">
        <f>C8+C11+C12+C13+C16</f>
        <v>0.1768756509905681</v>
      </c>
      <c r="D20" s="645">
        <f>C20*'5. RWA '!$C$13</f>
        <v>99474703.452582493</v>
      </c>
    </row>
    <row r="21" spans="1:6" s="248" customFormat="1" ht="13.5" thickBot="1">
      <c r="A21" s="250" t="s">
        <v>280</v>
      </c>
      <c r="B21" s="251" t="s">
        <v>294</v>
      </c>
      <c r="C21" s="297">
        <f>C9+C11+C12+C13+C17</f>
        <v>0.2222927718317782</v>
      </c>
      <c r="D21" s="648">
        <f>C21*'5. RWA '!$C$13</f>
        <v>125017250.44561318</v>
      </c>
    </row>
    <row r="22" spans="1:6">
      <c r="F22" s="209"/>
    </row>
    <row r="23" spans="1:6">
      <c r="B23" s="208"/>
    </row>
  </sheetData>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F68"/>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649" t="s">
        <v>30</v>
      </c>
      <c r="B1" s="536" t="str">
        <f>'1. key ratios '!B1</f>
        <v>JSC Isbank Georgia</v>
      </c>
      <c r="E1" s="4"/>
      <c r="F1" s="4"/>
    </row>
    <row r="2" spans="1:6" s="40" customFormat="1" ht="15.75" customHeight="1">
      <c r="A2" s="649" t="s">
        <v>31</v>
      </c>
      <c r="B2" s="537">
        <f>'1. key ratios '!B2</f>
        <v>45657</v>
      </c>
    </row>
    <row r="3" spans="1:6" s="40" customFormat="1" ht="15.75" customHeight="1">
      <c r="A3" s="76"/>
    </row>
    <row r="4" spans="1:6" s="40" customFormat="1" ht="15.75" customHeight="1" thickBot="1">
      <c r="A4" s="40" t="s">
        <v>47</v>
      </c>
      <c r="B4" s="161" t="s">
        <v>178</v>
      </c>
      <c r="D4" s="18" t="s">
        <v>35</v>
      </c>
    </row>
    <row r="5" spans="1:6" ht="25.5">
      <c r="A5" s="77" t="s">
        <v>6</v>
      </c>
      <c r="B5" s="182" t="s">
        <v>218</v>
      </c>
      <c r="C5" s="78" t="s">
        <v>655</v>
      </c>
      <c r="D5" s="79" t="s">
        <v>49</v>
      </c>
    </row>
    <row r="6" spans="1:6" ht="15">
      <c r="A6" s="553">
        <v>1</v>
      </c>
      <c r="B6" s="554" t="s">
        <v>556</v>
      </c>
      <c r="C6" s="651">
        <f>SUM(C7:C9)</f>
        <v>87996665.767722651</v>
      </c>
      <c r="D6" s="80"/>
      <c r="E6" s="81"/>
    </row>
    <row r="7" spans="1:6" ht="15">
      <c r="A7" s="553">
        <v>1.1000000000000001</v>
      </c>
      <c r="B7" s="382" t="s">
        <v>557</v>
      </c>
      <c r="C7" s="418">
        <f>'7. LI1 '!C9</f>
        <v>1711926.8074999999</v>
      </c>
      <c r="D7" s="82"/>
      <c r="E7" s="81"/>
    </row>
    <row r="8" spans="1:6" ht="15">
      <c r="A8" s="553">
        <v>1.2</v>
      </c>
      <c r="B8" s="382" t="s">
        <v>558</v>
      </c>
      <c r="C8" s="418">
        <f>'7. LI1 '!C10</f>
        <v>46612417.211592808</v>
      </c>
      <c r="D8" s="82"/>
      <c r="E8" s="81"/>
    </row>
    <row r="9" spans="1:6" ht="15">
      <c r="A9" s="553">
        <v>1.3</v>
      </c>
      <c r="B9" s="382" t="s">
        <v>559</v>
      </c>
      <c r="C9" s="418">
        <f>'7. LI1 '!C11</f>
        <v>39672321.748629846</v>
      </c>
      <c r="D9" s="414"/>
      <c r="E9" s="81"/>
    </row>
    <row r="10" spans="1:6" ht="15">
      <c r="A10" s="553">
        <v>2</v>
      </c>
      <c r="B10" s="371" t="s">
        <v>560</v>
      </c>
      <c r="C10" s="652">
        <f>'7. LI1 '!C12</f>
        <v>0</v>
      </c>
      <c r="D10" s="414"/>
      <c r="E10" s="81"/>
    </row>
    <row r="11" spans="1:6" ht="15">
      <c r="A11" s="553">
        <v>2.1</v>
      </c>
      <c r="B11" s="380" t="s">
        <v>561</v>
      </c>
      <c r="C11" s="418">
        <f>'7. LI1 '!C13</f>
        <v>0</v>
      </c>
      <c r="D11" s="415"/>
      <c r="E11" s="83"/>
    </row>
    <row r="12" spans="1:6" ht="15">
      <c r="A12" s="553">
        <v>3</v>
      </c>
      <c r="B12" s="372" t="s">
        <v>562</v>
      </c>
      <c r="C12" s="652">
        <f>'7. LI1 '!C14</f>
        <v>0</v>
      </c>
      <c r="D12" s="415"/>
      <c r="E12" s="83"/>
    </row>
    <row r="13" spans="1:6" ht="15">
      <c r="A13" s="553">
        <v>4</v>
      </c>
      <c r="B13" s="373" t="s">
        <v>563</v>
      </c>
      <c r="C13" s="652">
        <f>'7. LI1 '!C15</f>
        <v>0</v>
      </c>
      <c r="D13" s="415"/>
      <c r="E13" s="83"/>
    </row>
    <row r="14" spans="1:6" ht="15">
      <c r="A14" s="553">
        <v>5</v>
      </c>
      <c r="B14" s="374" t="s">
        <v>564</v>
      </c>
      <c r="C14" s="653">
        <f>SUM(C15:C17)</f>
        <v>0</v>
      </c>
      <c r="D14" s="415"/>
      <c r="E14" s="83"/>
    </row>
    <row r="15" spans="1:6" ht="15">
      <c r="A15" s="553">
        <v>5.0999999999999996</v>
      </c>
      <c r="B15" s="375" t="s">
        <v>565</v>
      </c>
      <c r="C15" s="418">
        <f>'7. LI1 '!C17</f>
        <v>0</v>
      </c>
      <c r="D15" s="415"/>
      <c r="E15" s="81"/>
    </row>
    <row r="16" spans="1:6" ht="15">
      <c r="A16" s="553">
        <v>5.2</v>
      </c>
      <c r="B16" s="375" t="s">
        <v>566</v>
      </c>
      <c r="C16" s="418">
        <f>'7. LI1 '!C18</f>
        <v>0</v>
      </c>
      <c r="D16" s="414"/>
      <c r="E16" s="81"/>
    </row>
    <row r="17" spans="1:5" ht="15">
      <c r="A17" s="553">
        <v>5.3</v>
      </c>
      <c r="B17" s="376" t="s">
        <v>567</v>
      </c>
      <c r="C17" s="418">
        <f>'7. LI1 '!C19</f>
        <v>0</v>
      </c>
      <c r="D17" s="414"/>
      <c r="E17" s="81"/>
    </row>
    <row r="18" spans="1:5" ht="15">
      <c r="A18" s="553">
        <v>6</v>
      </c>
      <c r="B18" s="372" t="s">
        <v>568</v>
      </c>
      <c r="C18" s="654">
        <f>SUM(C19:C20)</f>
        <v>379815379.08618951</v>
      </c>
      <c r="D18" s="414"/>
      <c r="E18" s="81"/>
    </row>
    <row r="19" spans="1:5" ht="15">
      <c r="A19" s="553">
        <v>6.1</v>
      </c>
      <c r="B19" s="375" t="s">
        <v>566</v>
      </c>
      <c r="C19" s="418">
        <f>'7. LI1 '!C21</f>
        <v>56214343.559903294</v>
      </c>
      <c r="D19" s="414"/>
      <c r="E19" s="81"/>
    </row>
    <row r="20" spans="1:5" ht="15">
      <c r="A20" s="553">
        <v>6.2</v>
      </c>
      <c r="B20" s="376" t="s">
        <v>567</v>
      </c>
      <c r="C20" s="418">
        <f>'7. LI1 '!C22</f>
        <v>323601035.52628618</v>
      </c>
      <c r="D20" s="414"/>
      <c r="E20" s="81"/>
    </row>
    <row r="21" spans="1:5" ht="15">
      <c r="A21" s="553">
        <v>7</v>
      </c>
      <c r="B21" s="371" t="s">
        <v>569</v>
      </c>
      <c r="C21" s="652">
        <f>'7. LI1 '!C23</f>
        <v>0</v>
      </c>
      <c r="D21" s="414"/>
      <c r="E21" s="81"/>
    </row>
    <row r="22" spans="1:5" ht="15">
      <c r="A22" s="553">
        <v>8</v>
      </c>
      <c r="B22" s="377" t="s">
        <v>570</v>
      </c>
      <c r="C22" s="652">
        <f>'7. LI1 '!C24</f>
        <v>0</v>
      </c>
      <c r="D22" s="414"/>
      <c r="E22" s="81"/>
    </row>
    <row r="23" spans="1:5" ht="15">
      <c r="A23" s="553">
        <v>9</v>
      </c>
      <c r="B23" s="373" t="s">
        <v>571</v>
      </c>
      <c r="C23" s="654">
        <f>SUM(C24:C25)</f>
        <v>6782728.7300000004</v>
      </c>
      <c r="D23" s="416"/>
      <c r="E23" s="81"/>
    </row>
    <row r="24" spans="1:5" ht="15">
      <c r="A24" s="553">
        <v>9.1</v>
      </c>
      <c r="B24" s="375" t="s">
        <v>572</v>
      </c>
      <c r="C24" s="418">
        <f>'7. LI1 '!C26</f>
        <v>6782728.7300000004</v>
      </c>
      <c r="D24" s="417"/>
      <c r="E24" s="81"/>
    </row>
    <row r="25" spans="1:5" ht="15">
      <c r="A25" s="553">
        <v>9.1999999999999993</v>
      </c>
      <c r="B25" s="375" t="s">
        <v>573</v>
      </c>
      <c r="C25" s="418">
        <f>'7. LI1 '!C27</f>
        <v>0</v>
      </c>
      <c r="D25" s="413"/>
      <c r="E25" s="85"/>
    </row>
    <row r="26" spans="1:5" ht="15.75">
      <c r="A26" s="553">
        <v>10</v>
      </c>
      <c r="B26" s="373" t="s">
        <v>574</v>
      </c>
      <c r="C26" s="655">
        <f>SUM(C27:C28)</f>
        <v>2727053.4502263302</v>
      </c>
      <c r="D26" s="664" t="s">
        <v>696</v>
      </c>
      <c r="E26" s="81"/>
    </row>
    <row r="27" spans="1:5" ht="15">
      <c r="A27" s="553">
        <v>10.1</v>
      </c>
      <c r="B27" s="375" t="s">
        <v>575</v>
      </c>
      <c r="C27" s="418">
        <f>'7. LI1 '!C29</f>
        <v>0</v>
      </c>
      <c r="D27" s="82"/>
      <c r="E27" s="81"/>
    </row>
    <row r="28" spans="1:5" ht="15">
      <c r="A28" s="553">
        <v>10.199999999999999</v>
      </c>
      <c r="B28" s="375" t="s">
        <v>576</v>
      </c>
      <c r="C28" s="418">
        <f>'7. LI1 '!C30</f>
        <v>2727053.4502263302</v>
      </c>
      <c r="D28" s="82"/>
      <c r="E28" s="81"/>
    </row>
    <row r="29" spans="1:5" ht="15">
      <c r="A29" s="553">
        <v>11</v>
      </c>
      <c r="B29" s="373" t="s">
        <v>577</v>
      </c>
      <c r="C29" s="652">
        <f>SUM(C30:C31)</f>
        <v>6617042.8200000003</v>
      </c>
      <c r="D29" s="82"/>
      <c r="E29" s="81"/>
    </row>
    <row r="30" spans="1:5" ht="15">
      <c r="A30" s="553">
        <v>11.1</v>
      </c>
      <c r="B30" s="375" t="s">
        <v>578</v>
      </c>
      <c r="C30" s="418">
        <f>'7. LI1 '!C32</f>
        <v>6617042.8200000003</v>
      </c>
      <c r="D30" s="82"/>
      <c r="E30" s="81"/>
    </row>
    <row r="31" spans="1:5" ht="15">
      <c r="A31" s="553">
        <v>11.2</v>
      </c>
      <c r="B31" s="375" t="s">
        <v>579</v>
      </c>
      <c r="C31" s="418">
        <f>'7. LI1 '!C33</f>
        <v>0</v>
      </c>
      <c r="D31" s="82"/>
      <c r="E31" s="81"/>
    </row>
    <row r="32" spans="1:5" ht="15">
      <c r="A32" s="553">
        <v>13</v>
      </c>
      <c r="B32" s="373" t="s">
        <v>580</v>
      </c>
      <c r="C32" s="652">
        <f>'7. LI1 '!C34</f>
        <v>6008004.7179079996</v>
      </c>
      <c r="D32" s="82"/>
      <c r="E32" s="81"/>
    </row>
    <row r="33" spans="1:5" ht="15">
      <c r="A33" s="553">
        <v>13.1</v>
      </c>
      <c r="B33" s="556" t="s">
        <v>581</v>
      </c>
      <c r="C33" s="418">
        <f>'7. LI1 '!C35</f>
        <v>1349093.18</v>
      </c>
      <c r="D33" s="82"/>
      <c r="E33" s="81"/>
    </row>
    <row r="34" spans="1:5" ht="15">
      <c r="A34" s="553">
        <v>13.2</v>
      </c>
      <c r="B34" s="556" t="s">
        <v>582</v>
      </c>
      <c r="C34" s="418">
        <f>'7. LI1 '!C36</f>
        <v>0</v>
      </c>
      <c r="D34" s="84"/>
      <c r="E34" s="81"/>
    </row>
    <row r="35" spans="1:5" ht="15">
      <c r="A35" s="553">
        <v>14</v>
      </c>
      <c r="B35" s="387" t="s">
        <v>583</v>
      </c>
      <c r="C35" s="650">
        <f>SUM(C6,C10,C12,C13,C14,C18,C21,C22,C23,C26,C29,C32)</f>
        <v>489946874.57204652</v>
      </c>
      <c r="D35" s="84"/>
      <c r="E35" s="81"/>
    </row>
    <row r="36" spans="1:5" ht="15">
      <c r="A36" s="553"/>
      <c r="B36" s="385" t="s">
        <v>584</v>
      </c>
      <c r="C36" s="86"/>
      <c r="D36" s="87"/>
      <c r="E36" s="81"/>
    </row>
    <row r="37" spans="1:5" ht="15">
      <c r="A37" s="553">
        <v>15</v>
      </c>
      <c r="B37" s="378" t="s">
        <v>585</v>
      </c>
      <c r="C37" s="419">
        <f>'2. SOFP'!E38</f>
        <v>0</v>
      </c>
      <c r="D37" s="413"/>
      <c r="E37" s="85"/>
    </row>
    <row r="38" spans="1:5" ht="15">
      <c r="A38" s="553">
        <v>15.1</v>
      </c>
      <c r="B38" s="380" t="s">
        <v>561</v>
      </c>
      <c r="C38" s="656">
        <f>'2. SOFP'!E39</f>
        <v>0</v>
      </c>
      <c r="D38" s="82"/>
      <c r="E38" s="81"/>
    </row>
    <row r="39" spans="1:5" ht="15">
      <c r="A39" s="553">
        <v>16</v>
      </c>
      <c r="B39" s="371" t="s">
        <v>586</v>
      </c>
      <c r="C39" s="657">
        <f>'2. SOFP'!E40</f>
        <v>0</v>
      </c>
      <c r="D39" s="82"/>
      <c r="E39" s="81"/>
    </row>
    <row r="40" spans="1:5" ht="15">
      <c r="A40" s="553">
        <v>17</v>
      </c>
      <c r="B40" s="371" t="s">
        <v>587</v>
      </c>
      <c r="C40" s="652">
        <f>SUM(C41:C44)</f>
        <v>333900119.52815598</v>
      </c>
      <c r="D40" s="82"/>
      <c r="E40" s="81"/>
    </row>
    <row r="41" spans="1:5" ht="15">
      <c r="A41" s="553">
        <v>17.100000000000001</v>
      </c>
      <c r="B41" s="381" t="s">
        <v>588</v>
      </c>
      <c r="C41" s="656">
        <f>'2. SOFP'!E42</f>
        <v>230726274.46088099</v>
      </c>
      <c r="D41" s="82"/>
      <c r="E41" s="81"/>
    </row>
    <row r="42" spans="1:5" ht="15">
      <c r="A42" s="553">
        <v>17.2</v>
      </c>
      <c r="B42" s="382" t="s">
        <v>589</v>
      </c>
      <c r="C42" s="656">
        <f>'2. SOFP'!E43</f>
        <v>98834127.610918984</v>
      </c>
      <c r="D42" s="82"/>
      <c r="E42" s="81"/>
    </row>
    <row r="43" spans="1:5" ht="15">
      <c r="A43" s="553">
        <v>17.3</v>
      </c>
      <c r="B43" s="405" t="s">
        <v>590</v>
      </c>
      <c r="C43" s="656">
        <f>'2. SOFP'!E44</f>
        <v>0</v>
      </c>
      <c r="D43" s="84"/>
      <c r="E43" s="81"/>
    </row>
    <row r="44" spans="1:5" ht="15">
      <c r="A44" s="553">
        <v>17.399999999999999</v>
      </c>
      <c r="B44" s="406" t="s">
        <v>591</v>
      </c>
      <c r="C44" s="656">
        <f>'2. SOFP'!E45</f>
        <v>4339717.4563560002</v>
      </c>
      <c r="D44" s="659"/>
      <c r="E44" s="81"/>
    </row>
    <row r="45" spans="1:5" ht="15">
      <c r="A45" s="553">
        <v>18</v>
      </c>
      <c r="B45" s="407" t="s">
        <v>592</v>
      </c>
      <c r="C45" s="657">
        <f>'2. SOFP'!E46</f>
        <v>414173.16731168155</v>
      </c>
      <c r="D45" s="660"/>
      <c r="E45" s="85"/>
    </row>
    <row r="46" spans="1:5" ht="15">
      <c r="A46" s="553">
        <v>19</v>
      </c>
      <c r="B46" s="407" t="s">
        <v>593</v>
      </c>
      <c r="C46" s="657">
        <f>SUM(C47:C48)</f>
        <v>2794477.0510511133</v>
      </c>
      <c r="D46" s="661"/>
    </row>
    <row r="47" spans="1:5" ht="15">
      <c r="A47" s="553">
        <v>19.100000000000001</v>
      </c>
      <c r="B47" s="409" t="s">
        <v>594</v>
      </c>
      <c r="C47" s="656">
        <f>'2. SOFP'!E48</f>
        <v>2794477.0510511133</v>
      </c>
      <c r="D47" s="661"/>
    </row>
    <row r="48" spans="1:5" ht="15">
      <c r="A48" s="553">
        <v>19.2</v>
      </c>
      <c r="B48" s="409" t="s">
        <v>595</v>
      </c>
      <c r="C48" s="656">
        <f>'2. SOFP'!E49</f>
        <v>0</v>
      </c>
      <c r="D48" s="661"/>
    </row>
    <row r="49" spans="1:4" ht="15">
      <c r="A49" s="553">
        <v>20</v>
      </c>
      <c r="B49" s="383" t="s">
        <v>596</v>
      </c>
      <c r="C49" s="657">
        <f>'2. SOFP'!E50</f>
        <v>0</v>
      </c>
      <c r="D49" s="661"/>
    </row>
    <row r="50" spans="1:4" ht="15">
      <c r="A50" s="553">
        <v>21</v>
      </c>
      <c r="B50" s="410" t="s">
        <v>597</v>
      </c>
      <c r="C50" s="657">
        <f>'2. SOFP'!E51</f>
        <v>6812314.6439900659</v>
      </c>
      <c r="D50" s="661"/>
    </row>
    <row r="51" spans="1:4" ht="15">
      <c r="A51" s="553">
        <v>21.1</v>
      </c>
      <c r="B51" s="382" t="s">
        <v>598</v>
      </c>
      <c r="C51" s="656">
        <f>'2. SOFP'!E52</f>
        <v>0</v>
      </c>
      <c r="D51" s="661"/>
    </row>
    <row r="52" spans="1:4" ht="15">
      <c r="A52" s="553">
        <v>22</v>
      </c>
      <c r="B52" s="384" t="s">
        <v>599</v>
      </c>
      <c r="C52" s="650">
        <f>SUM(C37,C39,C40,C45,C46,C49,C50)</f>
        <v>343921084.39050883</v>
      </c>
      <c r="D52" s="661"/>
    </row>
    <row r="53" spans="1:4" ht="15">
      <c r="A53" s="553"/>
      <c r="B53" s="385" t="s">
        <v>600</v>
      </c>
      <c r="C53" s="408"/>
      <c r="D53" s="661"/>
    </row>
    <row r="54" spans="1:4" ht="15.75">
      <c r="A54" s="553">
        <v>23</v>
      </c>
      <c r="B54" s="383" t="s">
        <v>601</v>
      </c>
      <c r="C54" s="657">
        <f>'2. SOFP'!E55</f>
        <v>69161600</v>
      </c>
      <c r="D54" s="664" t="s">
        <v>726</v>
      </c>
    </row>
    <row r="55" spans="1:4" ht="15">
      <c r="A55" s="553">
        <v>24</v>
      </c>
      <c r="B55" s="383" t="s">
        <v>602</v>
      </c>
      <c r="C55" s="657">
        <f>'2. SOFP'!E56</f>
        <v>0</v>
      </c>
      <c r="D55" s="661"/>
    </row>
    <row r="56" spans="1:4" ht="15">
      <c r="A56" s="553">
        <v>25</v>
      </c>
      <c r="B56" s="407" t="s">
        <v>603</v>
      </c>
      <c r="C56" s="657">
        <f>'2. SOFP'!E57</f>
        <v>0</v>
      </c>
      <c r="D56" s="661"/>
    </row>
    <row r="57" spans="1:4" ht="15">
      <c r="A57" s="553">
        <v>26</v>
      </c>
      <c r="B57" s="407" t="s">
        <v>604</v>
      </c>
      <c r="C57" s="657">
        <f>'2. SOFP'!E58</f>
        <v>0</v>
      </c>
      <c r="D57" s="661"/>
    </row>
    <row r="58" spans="1:4" ht="15">
      <c r="A58" s="553">
        <v>27</v>
      </c>
      <c r="B58" s="407" t="s">
        <v>605</v>
      </c>
      <c r="C58" s="658">
        <f>SUM(C59:C60)</f>
        <v>0</v>
      </c>
      <c r="D58" s="661"/>
    </row>
    <row r="59" spans="1:4" ht="15">
      <c r="A59" s="553">
        <v>27.1</v>
      </c>
      <c r="B59" s="406" t="s">
        <v>606</v>
      </c>
      <c r="C59" s="656">
        <f>'2. SOFP'!E60</f>
        <v>0</v>
      </c>
      <c r="D59" s="661"/>
    </row>
    <row r="60" spans="1:4" ht="15">
      <c r="A60" s="553">
        <v>27.2</v>
      </c>
      <c r="B60" s="406" t="s">
        <v>607</v>
      </c>
      <c r="C60" s="656">
        <f>'2. SOFP'!E61</f>
        <v>0</v>
      </c>
      <c r="D60" s="661"/>
    </row>
    <row r="61" spans="1:4" ht="15">
      <c r="A61" s="553">
        <v>28</v>
      </c>
      <c r="B61" s="386" t="s">
        <v>608</v>
      </c>
      <c r="C61" s="657">
        <f>'2. SOFP'!E62</f>
        <v>0</v>
      </c>
      <c r="D61" s="661"/>
    </row>
    <row r="62" spans="1:4" ht="15">
      <c r="A62" s="553">
        <v>29</v>
      </c>
      <c r="B62" s="407" t="s">
        <v>609</v>
      </c>
      <c r="C62" s="658">
        <f>SUM(C63:C65)</f>
        <v>0</v>
      </c>
      <c r="D62" s="661"/>
    </row>
    <row r="63" spans="1:4" ht="15">
      <c r="A63" s="553">
        <v>29.1</v>
      </c>
      <c r="B63" s="411" t="s">
        <v>610</v>
      </c>
      <c r="C63" s="656">
        <f>'2. SOFP'!E64</f>
        <v>0</v>
      </c>
      <c r="D63" s="661"/>
    </row>
    <row r="64" spans="1:4" ht="15">
      <c r="A64" s="553">
        <v>29.2</v>
      </c>
      <c r="B64" s="420" t="s">
        <v>611</v>
      </c>
      <c r="C64" s="656">
        <f>'2. SOFP'!E65</f>
        <v>0</v>
      </c>
      <c r="D64" s="661"/>
    </row>
    <row r="65" spans="1:4" ht="15">
      <c r="A65" s="553">
        <v>29.3</v>
      </c>
      <c r="B65" s="420" t="s">
        <v>612</v>
      </c>
      <c r="C65" s="656">
        <f>'2. SOFP'!E66</f>
        <v>0</v>
      </c>
      <c r="D65" s="661"/>
    </row>
    <row r="66" spans="1:4" ht="15.75">
      <c r="A66" s="553">
        <v>30</v>
      </c>
      <c r="B66" s="387" t="s">
        <v>613</v>
      </c>
      <c r="C66" s="657">
        <f>'2. SOFP'!E67</f>
        <v>76864190.181537807</v>
      </c>
      <c r="D66" s="664" t="s">
        <v>727</v>
      </c>
    </row>
    <row r="67" spans="1:4" ht="15">
      <c r="A67" s="553">
        <v>31</v>
      </c>
      <c r="B67" s="412" t="s">
        <v>614</v>
      </c>
      <c r="C67" s="650">
        <f>SUM(C54,C55,C56,C57,C58,C61,C62,C66)</f>
        <v>146025790.18153781</v>
      </c>
      <c r="D67" s="661"/>
    </row>
    <row r="68" spans="1:4" ht="15.75" thickBot="1">
      <c r="A68" s="558">
        <v>32</v>
      </c>
      <c r="B68" s="559" t="s">
        <v>615</v>
      </c>
      <c r="C68" s="662">
        <f>SUM(C52,C67)</f>
        <v>489946874.57204664</v>
      </c>
      <c r="D68" s="663"/>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S22"/>
  <sheetViews>
    <sheetView showGridLines="0" zoomScale="90" zoomScaleNormal="9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9.14062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17" bestFit="1" customWidth="1"/>
    <col min="17" max="17" width="14.7109375" style="17" customWidth="1"/>
    <col min="18" max="18" width="13" style="17" bestFit="1" customWidth="1"/>
    <col min="19" max="19" width="34.85546875" style="17" customWidth="1"/>
    <col min="20" max="16384" width="9.140625" style="17"/>
  </cols>
  <sheetData>
    <row r="1" spans="1:19">
      <c r="A1" s="2" t="s">
        <v>30</v>
      </c>
      <c r="B1" s="536" t="str">
        <f>'1. key ratios '!B1</f>
        <v>JSC Isbank Georgia</v>
      </c>
    </row>
    <row r="2" spans="1:19">
      <c r="A2" s="2" t="s">
        <v>31</v>
      </c>
      <c r="B2" s="537">
        <f>'1. key ratios '!B2</f>
        <v>45657</v>
      </c>
    </row>
    <row r="4" spans="1:19" ht="26.25" thickBot="1">
      <c r="A4" s="4" t="s">
        <v>146</v>
      </c>
      <c r="B4" s="200" t="s">
        <v>251</v>
      </c>
    </row>
    <row r="5" spans="1:19" s="189" customFormat="1">
      <c r="A5" s="184"/>
      <c r="B5" s="185"/>
      <c r="C5" s="186" t="s">
        <v>0</v>
      </c>
      <c r="D5" s="186" t="s">
        <v>1</v>
      </c>
      <c r="E5" s="186" t="s">
        <v>2</v>
      </c>
      <c r="F5" s="186" t="s">
        <v>3</v>
      </c>
      <c r="G5" s="186" t="s">
        <v>4</v>
      </c>
      <c r="H5" s="186" t="s">
        <v>5</v>
      </c>
      <c r="I5" s="186" t="s">
        <v>8</v>
      </c>
      <c r="J5" s="186" t="s">
        <v>9</v>
      </c>
      <c r="K5" s="186" t="s">
        <v>10</v>
      </c>
      <c r="L5" s="186" t="s">
        <v>11</v>
      </c>
      <c r="M5" s="186" t="s">
        <v>12</v>
      </c>
      <c r="N5" s="186" t="s">
        <v>13</v>
      </c>
      <c r="O5" s="186" t="s">
        <v>235</v>
      </c>
      <c r="P5" s="186" t="s">
        <v>236</v>
      </c>
      <c r="Q5" s="186" t="s">
        <v>237</v>
      </c>
      <c r="R5" s="187" t="s">
        <v>238</v>
      </c>
      <c r="S5" s="188" t="s">
        <v>239</v>
      </c>
    </row>
    <row r="6" spans="1:19" s="189" customFormat="1" ht="99" customHeight="1">
      <c r="A6" s="190"/>
      <c r="B6" s="829" t="s">
        <v>240</v>
      </c>
      <c r="C6" s="825">
        <v>0</v>
      </c>
      <c r="D6" s="826"/>
      <c r="E6" s="825">
        <v>0.2</v>
      </c>
      <c r="F6" s="826"/>
      <c r="G6" s="825">
        <v>0.35</v>
      </c>
      <c r="H6" s="826"/>
      <c r="I6" s="825">
        <v>0.5</v>
      </c>
      <c r="J6" s="826"/>
      <c r="K6" s="825">
        <v>0.75</v>
      </c>
      <c r="L6" s="826"/>
      <c r="M6" s="825">
        <v>1</v>
      </c>
      <c r="N6" s="826"/>
      <c r="O6" s="825">
        <v>1.5</v>
      </c>
      <c r="P6" s="826"/>
      <c r="Q6" s="825">
        <v>2.5</v>
      </c>
      <c r="R6" s="826"/>
      <c r="S6" s="827" t="s">
        <v>145</v>
      </c>
    </row>
    <row r="7" spans="1:19" s="189" customFormat="1" ht="30.75" customHeight="1">
      <c r="A7" s="190"/>
      <c r="B7" s="830"/>
      <c r="C7" s="181" t="s">
        <v>148</v>
      </c>
      <c r="D7" s="181" t="s">
        <v>147</v>
      </c>
      <c r="E7" s="181" t="s">
        <v>148</v>
      </c>
      <c r="F7" s="181" t="s">
        <v>147</v>
      </c>
      <c r="G7" s="181" t="s">
        <v>148</v>
      </c>
      <c r="H7" s="181" t="s">
        <v>147</v>
      </c>
      <c r="I7" s="181" t="s">
        <v>148</v>
      </c>
      <c r="J7" s="181" t="s">
        <v>147</v>
      </c>
      <c r="K7" s="181" t="s">
        <v>148</v>
      </c>
      <c r="L7" s="181" t="s">
        <v>147</v>
      </c>
      <c r="M7" s="181" t="s">
        <v>148</v>
      </c>
      <c r="N7" s="181" t="s">
        <v>147</v>
      </c>
      <c r="O7" s="181" t="s">
        <v>148</v>
      </c>
      <c r="P7" s="181" t="s">
        <v>147</v>
      </c>
      <c r="Q7" s="181" t="s">
        <v>148</v>
      </c>
      <c r="R7" s="181" t="s">
        <v>147</v>
      </c>
      <c r="S7" s="828"/>
    </row>
    <row r="8" spans="1:19" s="90" customFormat="1">
      <c r="A8" s="88">
        <v>1</v>
      </c>
      <c r="B8" s="1" t="s">
        <v>51</v>
      </c>
      <c r="C8" s="89">
        <v>8189090.7944636233</v>
      </c>
      <c r="D8" s="89"/>
      <c r="E8" s="89"/>
      <c r="F8" s="89"/>
      <c r="G8" s="89"/>
      <c r="H8" s="89"/>
      <c r="I8" s="89"/>
      <c r="J8" s="89"/>
      <c r="K8" s="89"/>
      <c r="L8" s="89"/>
      <c r="M8" s="89">
        <v>41399528.187801927</v>
      </c>
      <c r="N8" s="89"/>
      <c r="O8" s="89"/>
      <c r="P8" s="89"/>
      <c r="Q8" s="89"/>
      <c r="R8" s="89"/>
      <c r="S8" s="665">
        <f>$C$6*SUM(C8:D8)+$E$6*SUM(E8:F8)+$G$6*SUM(G8:H8)+$I$6*SUM(I8:J8)+$K$6*SUM(K8:L8)+$M$6*SUM(M8:N8)+$O$6*SUM(O8:P8)+$Q$6*SUM(Q8:R8)</f>
        <v>41399528.187801927</v>
      </c>
    </row>
    <row r="9" spans="1:19" s="90" customFormat="1">
      <c r="A9" s="88">
        <v>2</v>
      </c>
      <c r="B9" s="1" t="s">
        <v>52</v>
      </c>
      <c r="C9" s="89"/>
      <c r="D9" s="89"/>
      <c r="E9" s="89"/>
      <c r="F9" s="89"/>
      <c r="G9" s="89"/>
      <c r="H9" s="89"/>
      <c r="I9" s="89"/>
      <c r="J9" s="89"/>
      <c r="K9" s="89"/>
      <c r="L9" s="89"/>
      <c r="M9" s="89"/>
      <c r="N9" s="89"/>
      <c r="O9" s="89"/>
      <c r="P9" s="89"/>
      <c r="Q9" s="89"/>
      <c r="R9" s="89"/>
      <c r="S9" s="665">
        <f t="shared" ref="S9:S21" si="0">$C$6*SUM(C9:D9)+$E$6*SUM(E9:F9)+$G$6*SUM(G9:H9)+$I$6*SUM(I9:J9)+$K$6*SUM(K9:L9)+$M$6*SUM(M9:N9)+$O$6*SUM(O9:P9)+$Q$6*SUM(Q9:R9)</f>
        <v>0</v>
      </c>
    </row>
    <row r="10" spans="1:19" s="90" customFormat="1">
      <c r="A10" s="88">
        <v>3</v>
      </c>
      <c r="B10" s="1" t="s">
        <v>164</v>
      </c>
      <c r="C10" s="89"/>
      <c r="D10" s="89"/>
      <c r="E10" s="89"/>
      <c r="F10" s="89"/>
      <c r="G10" s="89"/>
      <c r="H10" s="89"/>
      <c r="I10" s="89"/>
      <c r="J10" s="89"/>
      <c r="K10" s="89"/>
      <c r="L10" s="89"/>
      <c r="M10" s="89"/>
      <c r="N10" s="89"/>
      <c r="O10" s="89"/>
      <c r="P10" s="89"/>
      <c r="Q10" s="89"/>
      <c r="R10" s="89"/>
      <c r="S10" s="665">
        <f t="shared" si="0"/>
        <v>0</v>
      </c>
    </row>
    <row r="11" spans="1:19" s="90" customFormat="1">
      <c r="A11" s="88">
        <v>4</v>
      </c>
      <c r="B11" s="1" t="s">
        <v>53</v>
      </c>
      <c r="C11" s="89"/>
      <c r="D11" s="89"/>
      <c r="E11" s="89"/>
      <c r="F11" s="89"/>
      <c r="G11" s="89"/>
      <c r="H11" s="89"/>
      <c r="I11" s="89"/>
      <c r="J11" s="89"/>
      <c r="K11" s="89"/>
      <c r="L11" s="89"/>
      <c r="M11" s="89"/>
      <c r="N11" s="89"/>
      <c r="O11" s="89"/>
      <c r="P11" s="89"/>
      <c r="Q11" s="89"/>
      <c r="R11" s="89"/>
      <c r="S11" s="665">
        <f t="shared" si="0"/>
        <v>0</v>
      </c>
    </row>
    <row r="12" spans="1:19" s="90" customFormat="1">
      <c r="A12" s="88">
        <v>5</v>
      </c>
      <c r="B12" s="1" t="s">
        <v>54</v>
      </c>
      <c r="C12" s="89"/>
      <c r="D12" s="89"/>
      <c r="E12" s="89"/>
      <c r="F12" s="89"/>
      <c r="G12" s="89"/>
      <c r="H12" s="89"/>
      <c r="I12" s="89"/>
      <c r="J12" s="89"/>
      <c r="K12" s="89"/>
      <c r="L12" s="89"/>
      <c r="M12" s="89"/>
      <c r="N12" s="89"/>
      <c r="O12" s="89"/>
      <c r="P12" s="89"/>
      <c r="Q12" s="89"/>
      <c r="R12" s="89"/>
      <c r="S12" s="665">
        <f t="shared" si="0"/>
        <v>0</v>
      </c>
    </row>
    <row r="13" spans="1:19" s="90" customFormat="1">
      <c r="A13" s="88">
        <v>6</v>
      </c>
      <c r="B13" s="1" t="s">
        <v>55</v>
      </c>
      <c r="C13" s="89"/>
      <c r="D13" s="89"/>
      <c r="E13" s="89">
        <v>4252.2999217221413</v>
      </c>
      <c r="F13" s="89">
        <v>1417936.0788344056</v>
      </c>
      <c r="G13" s="89"/>
      <c r="H13" s="89"/>
      <c r="I13" s="89">
        <v>39574476.996430248</v>
      </c>
      <c r="J13" s="89">
        <v>22595541.061952904</v>
      </c>
      <c r="K13" s="89"/>
      <c r="L13" s="89"/>
      <c r="M13" s="89">
        <v>8602943.6311885715</v>
      </c>
      <c r="N13" s="89">
        <v>44987017.731433123</v>
      </c>
      <c r="O13" s="89"/>
      <c r="P13" s="89"/>
      <c r="Q13" s="89"/>
      <c r="R13" s="89"/>
      <c r="S13" s="665">
        <f t="shared" si="0"/>
        <v>84959408.067564487</v>
      </c>
    </row>
    <row r="14" spans="1:19" s="90" customFormat="1">
      <c r="A14" s="88">
        <v>7</v>
      </c>
      <c r="B14" s="1" t="s">
        <v>56</v>
      </c>
      <c r="C14" s="89"/>
      <c r="D14" s="89"/>
      <c r="E14" s="89"/>
      <c r="F14" s="89"/>
      <c r="G14" s="89"/>
      <c r="H14" s="89"/>
      <c r="I14" s="89"/>
      <c r="J14" s="89"/>
      <c r="K14" s="89"/>
      <c r="L14" s="89"/>
      <c r="M14" s="89">
        <v>363361941.60747164</v>
      </c>
      <c r="N14" s="89">
        <v>14629342.456183262</v>
      </c>
      <c r="O14" s="89"/>
      <c r="P14" s="89"/>
      <c r="Q14" s="89"/>
      <c r="R14" s="89"/>
      <c r="S14" s="665">
        <f t="shared" si="0"/>
        <v>377991284.0636549</v>
      </c>
    </row>
    <row r="15" spans="1:19" s="90" customFormat="1">
      <c r="A15" s="88">
        <v>8</v>
      </c>
      <c r="B15" s="1" t="s">
        <v>57</v>
      </c>
      <c r="C15" s="89"/>
      <c r="D15" s="89"/>
      <c r="E15" s="89"/>
      <c r="F15" s="89"/>
      <c r="G15" s="89"/>
      <c r="H15" s="89"/>
      <c r="I15" s="89"/>
      <c r="J15" s="89"/>
      <c r="K15" s="89"/>
      <c r="L15" s="89"/>
      <c r="M15" s="89"/>
      <c r="N15" s="89">
        <v>0</v>
      </c>
      <c r="O15" s="89"/>
      <c r="P15" s="89"/>
      <c r="Q15" s="89"/>
      <c r="R15" s="89"/>
      <c r="S15" s="665">
        <f t="shared" si="0"/>
        <v>0</v>
      </c>
    </row>
    <row r="16" spans="1:19" s="90" customFormat="1">
      <c r="A16" s="88">
        <v>9</v>
      </c>
      <c r="B16" s="1" t="s">
        <v>58</v>
      </c>
      <c r="C16" s="89"/>
      <c r="D16" s="89"/>
      <c r="E16" s="89"/>
      <c r="F16" s="89"/>
      <c r="G16" s="89"/>
      <c r="H16" s="89"/>
      <c r="I16" s="89"/>
      <c r="J16" s="89"/>
      <c r="K16" s="89"/>
      <c r="L16" s="89"/>
      <c r="M16" s="89"/>
      <c r="N16" s="89"/>
      <c r="O16" s="89"/>
      <c r="P16" s="89"/>
      <c r="Q16" s="89"/>
      <c r="R16" s="89"/>
      <c r="S16" s="665">
        <f t="shared" si="0"/>
        <v>0</v>
      </c>
    </row>
    <row r="17" spans="1:19" s="90" customFormat="1">
      <c r="A17" s="88">
        <v>10</v>
      </c>
      <c r="B17" s="1" t="s">
        <v>59</v>
      </c>
      <c r="C17" s="89"/>
      <c r="D17" s="89"/>
      <c r="E17" s="89"/>
      <c r="F17" s="89"/>
      <c r="G17" s="89"/>
      <c r="H17" s="89"/>
      <c r="I17" s="89"/>
      <c r="J17" s="89"/>
      <c r="K17" s="89"/>
      <c r="L17" s="89"/>
      <c r="M17" s="89">
        <v>14590.606700938077</v>
      </c>
      <c r="N17" s="89"/>
      <c r="O17" s="89"/>
      <c r="P17" s="89"/>
      <c r="Q17" s="89"/>
      <c r="R17" s="89"/>
      <c r="S17" s="665">
        <f t="shared" si="0"/>
        <v>14590.606700938077</v>
      </c>
    </row>
    <row r="18" spans="1:19" s="90" customFormat="1">
      <c r="A18" s="88">
        <v>11</v>
      </c>
      <c r="B18" s="1" t="s">
        <v>60</v>
      </c>
      <c r="C18" s="89"/>
      <c r="D18" s="89"/>
      <c r="E18" s="89"/>
      <c r="F18" s="89"/>
      <c r="G18" s="89"/>
      <c r="H18" s="89"/>
      <c r="I18" s="89"/>
      <c r="J18" s="89"/>
      <c r="K18" s="89"/>
      <c r="L18" s="89"/>
      <c r="M18" s="89"/>
      <c r="N18" s="89"/>
      <c r="O18" s="89"/>
      <c r="P18" s="89"/>
      <c r="Q18" s="89"/>
      <c r="R18" s="89"/>
      <c r="S18" s="665">
        <f t="shared" si="0"/>
        <v>0</v>
      </c>
    </row>
    <row r="19" spans="1:19" s="90" customFormat="1">
      <c r="A19" s="88">
        <v>12</v>
      </c>
      <c r="B19" s="1" t="s">
        <v>61</v>
      </c>
      <c r="C19" s="89"/>
      <c r="D19" s="89"/>
      <c r="E19" s="89"/>
      <c r="F19" s="89"/>
      <c r="G19" s="89"/>
      <c r="H19" s="89"/>
      <c r="I19" s="89"/>
      <c r="J19" s="89"/>
      <c r="K19" s="89"/>
      <c r="L19" s="89"/>
      <c r="M19" s="89"/>
      <c r="N19" s="89"/>
      <c r="O19" s="89"/>
      <c r="P19" s="89"/>
      <c r="Q19" s="89"/>
      <c r="R19" s="89"/>
      <c r="S19" s="665">
        <f t="shared" si="0"/>
        <v>0</v>
      </c>
    </row>
    <row r="20" spans="1:19" s="90" customFormat="1">
      <c r="A20" s="88">
        <v>13</v>
      </c>
      <c r="B20" s="1" t="s">
        <v>144</v>
      </c>
      <c r="C20" s="89"/>
      <c r="D20" s="89"/>
      <c r="E20" s="89"/>
      <c r="F20" s="89"/>
      <c r="G20" s="89"/>
      <c r="H20" s="89"/>
      <c r="I20" s="89"/>
      <c r="J20" s="89"/>
      <c r="K20" s="89"/>
      <c r="L20" s="89"/>
      <c r="M20" s="89"/>
      <c r="N20" s="89"/>
      <c r="O20" s="89"/>
      <c r="P20" s="89"/>
      <c r="Q20" s="89"/>
      <c r="R20" s="89"/>
      <c r="S20" s="665">
        <f t="shared" si="0"/>
        <v>0</v>
      </c>
    </row>
    <row r="21" spans="1:19" s="90" customFormat="1">
      <c r="A21" s="88">
        <v>14</v>
      </c>
      <c r="B21" s="1" t="s">
        <v>63</v>
      </c>
      <c r="C21" s="89">
        <v>1711926.8074999999</v>
      </c>
      <c r="D21" s="89"/>
      <c r="E21" s="89"/>
      <c r="F21" s="89"/>
      <c r="G21" s="89"/>
      <c r="H21" s="89"/>
      <c r="I21" s="89"/>
      <c r="J21" s="89"/>
      <c r="K21" s="89"/>
      <c r="L21" s="89"/>
      <c r="M21" s="89">
        <v>24361070.190341543</v>
      </c>
      <c r="N21" s="89"/>
      <c r="O21" s="89"/>
      <c r="P21" s="89"/>
      <c r="Q21" s="89"/>
      <c r="R21" s="89"/>
      <c r="S21" s="665">
        <f t="shared" si="0"/>
        <v>24361070.190341543</v>
      </c>
    </row>
    <row r="22" spans="1:19" ht="13.5" thickBot="1">
      <c r="A22" s="91"/>
      <c r="B22" s="92" t="s">
        <v>64</v>
      </c>
      <c r="C22" s="667">
        <f>SUM(C8:C21)</f>
        <v>9901017.6019636225</v>
      </c>
      <c r="D22" s="667">
        <f t="shared" ref="D22:J22" si="1">SUM(D8:D21)</f>
        <v>0</v>
      </c>
      <c r="E22" s="667">
        <f t="shared" si="1"/>
        <v>4252.2999217221413</v>
      </c>
      <c r="F22" s="667">
        <f t="shared" si="1"/>
        <v>1417936.0788344056</v>
      </c>
      <c r="G22" s="667">
        <f t="shared" si="1"/>
        <v>0</v>
      </c>
      <c r="H22" s="667">
        <f t="shared" si="1"/>
        <v>0</v>
      </c>
      <c r="I22" s="667">
        <f t="shared" si="1"/>
        <v>39574476.996430248</v>
      </c>
      <c r="J22" s="667">
        <f t="shared" si="1"/>
        <v>22595541.061952904</v>
      </c>
      <c r="K22" s="667">
        <f t="shared" ref="K22:S22" si="2">SUM(K8:K21)</f>
        <v>0</v>
      </c>
      <c r="L22" s="667">
        <f t="shared" si="2"/>
        <v>0</v>
      </c>
      <c r="M22" s="667">
        <f t="shared" si="2"/>
        <v>437740074.22350466</v>
      </c>
      <c r="N22" s="667">
        <f t="shared" si="2"/>
        <v>59616360.187616386</v>
      </c>
      <c r="O22" s="667">
        <f t="shared" si="2"/>
        <v>0</v>
      </c>
      <c r="P22" s="667">
        <f t="shared" si="2"/>
        <v>0</v>
      </c>
      <c r="Q22" s="667">
        <f t="shared" si="2"/>
        <v>0</v>
      </c>
      <c r="R22" s="667">
        <f t="shared" si="2"/>
        <v>0</v>
      </c>
      <c r="S22" s="666">
        <f t="shared" si="2"/>
        <v>528725881.11606383</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17"/>
  </cols>
  <sheetData>
    <row r="1" spans="1:22">
      <c r="A1" s="2" t="s">
        <v>30</v>
      </c>
      <c r="B1" s="536" t="str">
        <f>'1. key ratios '!B1</f>
        <v>JSC Isbank Georgia</v>
      </c>
    </row>
    <row r="2" spans="1:22">
      <c r="A2" s="2" t="s">
        <v>31</v>
      </c>
      <c r="B2" s="537">
        <f>'1. key ratios '!B2</f>
        <v>45657</v>
      </c>
    </row>
    <row r="4" spans="1:22" ht="13.5" thickBot="1">
      <c r="A4" s="4" t="s">
        <v>243</v>
      </c>
      <c r="B4" s="93" t="s">
        <v>50</v>
      </c>
      <c r="V4" s="18" t="s">
        <v>35</v>
      </c>
    </row>
    <row r="5" spans="1:22" ht="12.75" customHeight="1">
      <c r="A5" s="94"/>
      <c r="B5" s="95"/>
      <c r="C5" s="831" t="s">
        <v>169</v>
      </c>
      <c r="D5" s="832"/>
      <c r="E5" s="832"/>
      <c r="F5" s="832"/>
      <c r="G5" s="832"/>
      <c r="H5" s="832"/>
      <c r="I5" s="832"/>
      <c r="J5" s="832"/>
      <c r="K5" s="832"/>
      <c r="L5" s="833"/>
      <c r="M5" s="834" t="s">
        <v>170</v>
      </c>
      <c r="N5" s="835"/>
      <c r="O5" s="835"/>
      <c r="P5" s="835"/>
      <c r="Q5" s="835"/>
      <c r="R5" s="835"/>
      <c r="S5" s="836"/>
      <c r="T5" s="839" t="s">
        <v>241</v>
      </c>
      <c r="U5" s="839" t="s">
        <v>242</v>
      </c>
      <c r="V5" s="837" t="s">
        <v>76</v>
      </c>
    </row>
    <row r="6" spans="1:22" s="49" customFormat="1" ht="102">
      <c r="A6" s="46"/>
      <c r="B6" s="96"/>
      <c r="C6" s="97" t="s">
        <v>65</v>
      </c>
      <c r="D6" s="164" t="s">
        <v>66</v>
      </c>
      <c r="E6" s="120" t="s">
        <v>172</v>
      </c>
      <c r="F6" s="120" t="s">
        <v>173</v>
      </c>
      <c r="G6" s="164" t="s">
        <v>176</v>
      </c>
      <c r="H6" s="164" t="s">
        <v>171</v>
      </c>
      <c r="I6" s="164" t="s">
        <v>67</v>
      </c>
      <c r="J6" s="164" t="s">
        <v>68</v>
      </c>
      <c r="K6" s="98" t="s">
        <v>69</v>
      </c>
      <c r="L6" s="99" t="s">
        <v>70</v>
      </c>
      <c r="M6" s="97" t="s">
        <v>174</v>
      </c>
      <c r="N6" s="98" t="s">
        <v>71</v>
      </c>
      <c r="O6" s="98" t="s">
        <v>72</v>
      </c>
      <c r="P6" s="98" t="s">
        <v>73</v>
      </c>
      <c r="Q6" s="98" t="s">
        <v>74</v>
      </c>
      <c r="R6" s="98" t="s">
        <v>75</v>
      </c>
      <c r="S6" s="183" t="s">
        <v>175</v>
      </c>
      <c r="T6" s="840"/>
      <c r="U6" s="840"/>
      <c r="V6" s="838"/>
    </row>
    <row r="7" spans="1:22" s="90" customFormat="1">
      <c r="A7" s="100">
        <v>1</v>
      </c>
      <c r="B7" s="1" t="s">
        <v>51</v>
      </c>
      <c r="C7" s="101"/>
      <c r="D7" s="89"/>
      <c r="E7" s="89"/>
      <c r="F7" s="89"/>
      <c r="G7" s="89"/>
      <c r="H7" s="89"/>
      <c r="I7" s="89"/>
      <c r="J7" s="89"/>
      <c r="K7" s="89"/>
      <c r="L7" s="102"/>
      <c r="M7" s="101"/>
      <c r="N7" s="89"/>
      <c r="O7" s="89"/>
      <c r="P7" s="89"/>
      <c r="Q7" s="89"/>
      <c r="R7" s="89"/>
      <c r="S7" s="102"/>
      <c r="T7" s="191"/>
      <c r="U7" s="191"/>
      <c r="V7" s="668">
        <f>SUM(C7:S7)</f>
        <v>0</v>
      </c>
    </row>
    <row r="8" spans="1:22" s="90" customFormat="1">
      <c r="A8" s="100">
        <v>2</v>
      </c>
      <c r="B8" s="1" t="s">
        <v>52</v>
      </c>
      <c r="C8" s="101"/>
      <c r="D8" s="89"/>
      <c r="E8" s="89"/>
      <c r="F8" s="89"/>
      <c r="G8" s="89"/>
      <c r="H8" s="89"/>
      <c r="I8" s="89"/>
      <c r="J8" s="89"/>
      <c r="K8" s="89"/>
      <c r="L8" s="102"/>
      <c r="M8" s="101"/>
      <c r="N8" s="89"/>
      <c r="O8" s="89"/>
      <c r="P8" s="89"/>
      <c r="Q8" s="89"/>
      <c r="R8" s="89"/>
      <c r="S8" s="102"/>
      <c r="T8" s="191"/>
      <c r="U8" s="191"/>
      <c r="V8" s="668">
        <f t="shared" ref="V8:V20" si="0">SUM(C8:S8)</f>
        <v>0</v>
      </c>
    </row>
    <row r="9" spans="1:22" s="90" customFormat="1">
      <c r="A9" s="100">
        <v>3</v>
      </c>
      <c r="B9" s="1" t="s">
        <v>165</v>
      </c>
      <c r="C9" s="101"/>
      <c r="D9" s="89"/>
      <c r="E9" s="89"/>
      <c r="F9" s="89"/>
      <c r="G9" s="89"/>
      <c r="H9" s="89"/>
      <c r="I9" s="89"/>
      <c r="J9" s="89"/>
      <c r="K9" s="89"/>
      <c r="L9" s="102"/>
      <c r="M9" s="101"/>
      <c r="N9" s="89"/>
      <c r="O9" s="89"/>
      <c r="P9" s="89"/>
      <c r="Q9" s="89"/>
      <c r="R9" s="89"/>
      <c r="S9" s="102"/>
      <c r="T9" s="191"/>
      <c r="U9" s="191"/>
      <c r="V9" s="668">
        <f t="shared" si="0"/>
        <v>0</v>
      </c>
    </row>
    <row r="10" spans="1:22" s="90" customFormat="1">
      <c r="A10" s="100">
        <v>4</v>
      </c>
      <c r="B10" s="1" t="s">
        <v>53</v>
      </c>
      <c r="C10" s="101"/>
      <c r="D10" s="89"/>
      <c r="E10" s="89"/>
      <c r="F10" s="89"/>
      <c r="G10" s="89"/>
      <c r="H10" s="89"/>
      <c r="I10" s="89"/>
      <c r="J10" s="89"/>
      <c r="K10" s="89"/>
      <c r="L10" s="102"/>
      <c r="M10" s="101"/>
      <c r="N10" s="89"/>
      <c r="O10" s="89"/>
      <c r="P10" s="89"/>
      <c r="Q10" s="89"/>
      <c r="R10" s="89"/>
      <c r="S10" s="102"/>
      <c r="T10" s="191"/>
      <c r="U10" s="191"/>
      <c r="V10" s="668">
        <f t="shared" si="0"/>
        <v>0</v>
      </c>
    </row>
    <row r="11" spans="1:22" s="90" customFormat="1">
      <c r="A11" s="100">
        <v>5</v>
      </c>
      <c r="B11" s="1" t="s">
        <v>54</v>
      </c>
      <c r="C11" s="101"/>
      <c r="D11" s="89"/>
      <c r="E11" s="89"/>
      <c r="F11" s="89"/>
      <c r="G11" s="89"/>
      <c r="H11" s="89"/>
      <c r="I11" s="89"/>
      <c r="J11" s="89"/>
      <c r="K11" s="89"/>
      <c r="L11" s="102"/>
      <c r="M11" s="101"/>
      <c r="N11" s="89"/>
      <c r="O11" s="89"/>
      <c r="P11" s="89"/>
      <c r="Q11" s="89"/>
      <c r="R11" s="89"/>
      <c r="S11" s="102"/>
      <c r="T11" s="191"/>
      <c r="U11" s="191"/>
      <c r="V11" s="668">
        <f t="shared" si="0"/>
        <v>0</v>
      </c>
    </row>
    <row r="12" spans="1:22" s="90" customFormat="1">
      <c r="A12" s="100">
        <v>6</v>
      </c>
      <c r="B12" s="1" t="s">
        <v>55</v>
      </c>
      <c r="C12" s="101"/>
      <c r="D12" s="89"/>
      <c r="E12" s="89"/>
      <c r="F12" s="89"/>
      <c r="G12" s="89"/>
      <c r="H12" s="89"/>
      <c r="I12" s="89"/>
      <c r="J12" s="89"/>
      <c r="K12" s="89"/>
      <c r="L12" s="102"/>
      <c r="M12" s="101"/>
      <c r="N12" s="89"/>
      <c r="O12" s="89"/>
      <c r="P12" s="89"/>
      <c r="Q12" s="89"/>
      <c r="R12" s="89"/>
      <c r="S12" s="102"/>
      <c r="T12" s="191"/>
      <c r="U12" s="191"/>
      <c r="V12" s="668">
        <f t="shared" si="0"/>
        <v>0</v>
      </c>
    </row>
    <row r="13" spans="1:22" s="90" customFormat="1">
      <c r="A13" s="100">
        <v>7</v>
      </c>
      <c r="B13" s="1" t="s">
        <v>56</v>
      </c>
      <c r="C13" s="101"/>
      <c r="D13" s="89">
        <v>22496027.653699998</v>
      </c>
      <c r="E13" s="89"/>
      <c r="F13" s="89"/>
      <c r="G13" s="89"/>
      <c r="H13" s="89"/>
      <c r="I13" s="89"/>
      <c r="J13" s="89"/>
      <c r="K13" s="89"/>
      <c r="L13" s="102"/>
      <c r="M13" s="101"/>
      <c r="N13" s="89"/>
      <c r="O13" s="89"/>
      <c r="P13" s="89"/>
      <c r="Q13" s="89"/>
      <c r="R13" s="89"/>
      <c r="S13" s="102"/>
      <c r="T13" s="191">
        <v>20551112.039999999</v>
      </c>
      <c r="U13" s="191">
        <v>1944915.6137000003</v>
      </c>
      <c r="V13" s="668">
        <f t="shared" si="0"/>
        <v>22496027.653699998</v>
      </c>
    </row>
    <row r="14" spans="1:22" s="90" customFormat="1">
      <c r="A14" s="100">
        <v>8</v>
      </c>
      <c r="B14" s="1" t="s">
        <v>57</v>
      </c>
      <c r="C14" s="101"/>
      <c r="D14" s="89"/>
      <c r="E14" s="89"/>
      <c r="F14" s="89"/>
      <c r="G14" s="89"/>
      <c r="H14" s="89"/>
      <c r="I14" s="89"/>
      <c r="J14" s="89"/>
      <c r="K14" s="89"/>
      <c r="L14" s="102"/>
      <c r="M14" s="101"/>
      <c r="N14" s="89"/>
      <c r="O14" s="89"/>
      <c r="P14" s="89"/>
      <c r="Q14" s="89"/>
      <c r="R14" s="89"/>
      <c r="S14" s="102"/>
      <c r="T14" s="191"/>
      <c r="U14" s="191"/>
      <c r="V14" s="668">
        <f t="shared" si="0"/>
        <v>0</v>
      </c>
    </row>
    <row r="15" spans="1:22" s="90" customFormat="1">
      <c r="A15" s="100">
        <v>9</v>
      </c>
      <c r="B15" s="1" t="s">
        <v>58</v>
      </c>
      <c r="C15" s="101"/>
      <c r="D15" s="89"/>
      <c r="E15" s="89"/>
      <c r="F15" s="89"/>
      <c r="G15" s="89"/>
      <c r="H15" s="89"/>
      <c r="I15" s="89"/>
      <c r="J15" s="89"/>
      <c r="K15" s="89"/>
      <c r="L15" s="102"/>
      <c r="M15" s="101"/>
      <c r="N15" s="89"/>
      <c r="O15" s="89"/>
      <c r="P15" s="89"/>
      <c r="Q15" s="89"/>
      <c r="R15" s="89"/>
      <c r="S15" s="102"/>
      <c r="T15" s="191"/>
      <c r="U15" s="191"/>
      <c r="V15" s="668">
        <f t="shared" si="0"/>
        <v>0</v>
      </c>
    </row>
    <row r="16" spans="1:22" s="90" customFormat="1">
      <c r="A16" s="100">
        <v>10</v>
      </c>
      <c r="B16" s="1" t="s">
        <v>59</v>
      </c>
      <c r="C16" s="101"/>
      <c r="D16" s="89"/>
      <c r="E16" s="89"/>
      <c r="F16" s="89"/>
      <c r="G16" s="89"/>
      <c r="H16" s="89"/>
      <c r="I16" s="89"/>
      <c r="J16" s="89"/>
      <c r="K16" s="89"/>
      <c r="L16" s="102"/>
      <c r="M16" s="101"/>
      <c r="N16" s="89"/>
      <c r="O16" s="89"/>
      <c r="P16" s="89"/>
      <c r="Q16" s="89"/>
      <c r="R16" s="89"/>
      <c r="S16" s="102"/>
      <c r="T16" s="191"/>
      <c r="U16" s="191"/>
      <c r="V16" s="668">
        <f t="shared" si="0"/>
        <v>0</v>
      </c>
    </row>
    <row r="17" spans="1:22" s="90" customFormat="1">
      <c r="A17" s="100">
        <v>11</v>
      </c>
      <c r="B17" s="1" t="s">
        <v>60</v>
      </c>
      <c r="C17" s="101"/>
      <c r="D17" s="89"/>
      <c r="E17" s="89"/>
      <c r="F17" s="89"/>
      <c r="G17" s="89"/>
      <c r="H17" s="89"/>
      <c r="I17" s="89"/>
      <c r="J17" s="89"/>
      <c r="K17" s="89"/>
      <c r="L17" s="102"/>
      <c r="M17" s="101"/>
      <c r="N17" s="89"/>
      <c r="O17" s="89"/>
      <c r="P17" s="89"/>
      <c r="Q17" s="89"/>
      <c r="R17" s="89"/>
      <c r="S17" s="102"/>
      <c r="T17" s="191"/>
      <c r="U17" s="191"/>
      <c r="V17" s="668">
        <f t="shared" si="0"/>
        <v>0</v>
      </c>
    </row>
    <row r="18" spans="1:22" s="90" customFormat="1">
      <c r="A18" s="100">
        <v>12</v>
      </c>
      <c r="B18" s="1" t="s">
        <v>61</v>
      </c>
      <c r="C18" s="101"/>
      <c r="D18" s="89"/>
      <c r="E18" s="89"/>
      <c r="F18" s="89"/>
      <c r="G18" s="89"/>
      <c r="H18" s="89"/>
      <c r="I18" s="89"/>
      <c r="J18" s="89"/>
      <c r="K18" s="89"/>
      <c r="L18" s="102"/>
      <c r="M18" s="101"/>
      <c r="N18" s="89"/>
      <c r="O18" s="89"/>
      <c r="P18" s="89"/>
      <c r="Q18" s="89"/>
      <c r="R18" s="89"/>
      <c r="S18" s="102"/>
      <c r="T18" s="191"/>
      <c r="U18" s="191"/>
      <c r="V18" s="668">
        <f t="shared" si="0"/>
        <v>0</v>
      </c>
    </row>
    <row r="19" spans="1:22" s="90" customFormat="1">
      <c r="A19" s="100">
        <v>13</v>
      </c>
      <c r="B19" s="1" t="s">
        <v>62</v>
      </c>
      <c r="C19" s="101"/>
      <c r="D19" s="89"/>
      <c r="E19" s="89"/>
      <c r="F19" s="89"/>
      <c r="G19" s="89"/>
      <c r="H19" s="89"/>
      <c r="I19" s="89"/>
      <c r="J19" s="89"/>
      <c r="K19" s="89"/>
      <c r="L19" s="102"/>
      <c r="M19" s="101"/>
      <c r="N19" s="89"/>
      <c r="O19" s="89"/>
      <c r="P19" s="89"/>
      <c r="Q19" s="89"/>
      <c r="R19" s="89"/>
      <c r="S19" s="102"/>
      <c r="T19" s="191"/>
      <c r="U19" s="191"/>
      <c r="V19" s="668">
        <f t="shared" si="0"/>
        <v>0</v>
      </c>
    </row>
    <row r="20" spans="1:22" s="90" customFormat="1">
      <c r="A20" s="100">
        <v>14</v>
      </c>
      <c r="B20" s="1" t="s">
        <v>63</v>
      </c>
      <c r="C20" s="101"/>
      <c r="D20" s="89">
        <v>309233.04459863243</v>
      </c>
      <c r="E20" s="89"/>
      <c r="F20" s="89"/>
      <c r="G20" s="89"/>
      <c r="H20" s="89"/>
      <c r="I20" s="89"/>
      <c r="J20" s="89"/>
      <c r="K20" s="89"/>
      <c r="L20" s="102"/>
      <c r="M20" s="101"/>
      <c r="N20" s="89"/>
      <c r="O20" s="89"/>
      <c r="P20" s="89"/>
      <c r="Q20" s="89"/>
      <c r="R20" s="89"/>
      <c r="S20" s="102"/>
      <c r="T20" s="191">
        <v>309233.04459863243</v>
      </c>
      <c r="U20" s="191"/>
      <c r="V20" s="668">
        <f t="shared" si="0"/>
        <v>309233.04459863243</v>
      </c>
    </row>
    <row r="21" spans="1:22" ht="13.5" thickBot="1">
      <c r="A21" s="91"/>
      <c r="B21" s="103" t="s">
        <v>64</v>
      </c>
      <c r="C21" s="670">
        <f>SUM(C7:C20)</f>
        <v>0</v>
      </c>
      <c r="D21" s="667">
        <f t="shared" ref="D21:V21" si="1">SUM(D7:D20)</f>
        <v>22805260.698298629</v>
      </c>
      <c r="E21" s="667">
        <f t="shared" si="1"/>
        <v>0</v>
      </c>
      <c r="F21" s="667">
        <f t="shared" si="1"/>
        <v>0</v>
      </c>
      <c r="G21" s="667">
        <f t="shared" si="1"/>
        <v>0</v>
      </c>
      <c r="H21" s="667">
        <f t="shared" si="1"/>
        <v>0</v>
      </c>
      <c r="I21" s="667">
        <f t="shared" si="1"/>
        <v>0</v>
      </c>
      <c r="J21" s="667">
        <f t="shared" si="1"/>
        <v>0</v>
      </c>
      <c r="K21" s="667">
        <f t="shared" si="1"/>
        <v>0</v>
      </c>
      <c r="L21" s="671">
        <f t="shared" si="1"/>
        <v>0</v>
      </c>
      <c r="M21" s="670">
        <f t="shared" si="1"/>
        <v>0</v>
      </c>
      <c r="N21" s="667">
        <f t="shared" si="1"/>
        <v>0</v>
      </c>
      <c r="O21" s="667">
        <f t="shared" si="1"/>
        <v>0</v>
      </c>
      <c r="P21" s="667">
        <f t="shared" si="1"/>
        <v>0</v>
      </c>
      <c r="Q21" s="667">
        <f t="shared" si="1"/>
        <v>0</v>
      </c>
      <c r="R21" s="667">
        <f t="shared" si="1"/>
        <v>0</v>
      </c>
      <c r="S21" s="671">
        <f>SUM(S7:S20)</f>
        <v>0</v>
      </c>
      <c r="T21" s="671">
        <f>SUM(T7:T20)</f>
        <v>20860345.084598631</v>
      </c>
      <c r="U21" s="671">
        <f t="shared" ref="U21" si="2">SUM(U7:U20)</f>
        <v>1944915.6137000003</v>
      </c>
      <c r="V21" s="669">
        <f t="shared" si="1"/>
        <v>22805260.698298629</v>
      </c>
    </row>
    <row r="24" spans="1:22">
      <c r="A24" s="7"/>
      <c r="B24" s="7"/>
      <c r="C24" s="24"/>
      <c r="D24" s="24"/>
      <c r="E24" s="24"/>
    </row>
    <row r="25" spans="1:22">
      <c r="A25" s="104"/>
      <c r="B25" s="104"/>
      <c r="C25" s="7"/>
      <c r="D25" s="24"/>
      <c r="E25" s="24"/>
    </row>
    <row r="26" spans="1:22">
      <c r="A26" s="104"/>
      <c r="B26" s="25"/>
      <c r="C26" s="7"/>
      <c r="D26" s="24"/>
      <c r="E26" s="24"/>
    </row>
    <row r="27" spans="1:22">
      <c r="A27" s="104"/>
      <c r="B27" s="104"/>
      <c r="C27" s="7"/>
      <c r="D27" s="24"/>
      <c r="E27" s="24"/>
    </row>
    <row r="28" spans="1:22">
      <c r="A28" s="104"/>
      <c r="B28" s="25"/>
      <c r="C28" s="7"/>
      <c r="D28" s="24"/>
      <c r="E28" s="2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10.5703125" style="4" bestFit="1" customWidth="1"/>
    <col min="2" max="2" width="63.7109375" style="4" bestFit="1" customWidth="1"/>
    <col min="3" max="3" width="13.7109375" style="192" customWidth="1"/>
    <col min="4" max="4" width="14.85546875" style="192" bestFit="1" customWidth="1"/>
    <col min="5" max="5" width="17.7109375" style="192" customWidth="1"/>
    <col min="6" max="6" width="15.85546875" style="192" customWidth="1"/>
    <col min="7" max="7" width="17.42578125" style="192" customWidth="1"/>
    <col min="8" max="8" width="15.28515625" style="192" customWidth="1"/>
    <col min="9" max="16384" width="9.140625" style="17"/>
  </cols>
  <sheetData>
    <row r="1" spans="1:9">
      <c r="A1" s="2" t="s">
        <v>30</v>
      </c>
      <c r="B1" s="536" t="str">
        <f>'1. key ratios '!B1</f>
        <v>JSC Isbank Georgia</v>
      </c>
      <c r="C1" s="3"/>
    </row>
    <row r="2" spans="1:9">
      <c r="A2" s="2" t="s">
        <v>31</v>
      </c>
      <c r="B2" s="537">
        <f>'1. key ratios '!B2</f>
        <v>45657</v>
      </c>
      <c r="C2" s="318"/>
    </row>
    <row r="4" spans="1:9" ht="13.5" thickBot="1">
      <c r="A4" s="2" t="s">
        <v>150</v>
      </c>
      <c r="B4" s="93" t="s">
        <v>252</v>
      </c>
    </row>
    <row r="5" spans="1:9">
      <c r="A5" s="94"/>
      <c r="B5" s="105"/>
      <c r="C5" s="193" t="s">
        <v>0</v>
      </c>
      <c r="D5" s="193" t="s">
        <v>1</v>
      </c>
      <c r="E5" s="193" t="s">
        <v>2</v>
      </c>
      <c r="F5" s="193" t="s">
        <v>3</v>
      </c>
      <c r="G5" s="194" t="s">
        <v>4</v>
      </c>
      <c r="H5" s="195" t="s">
        <v>5</v>
      </c>
      <c r="I5" s="106"/>
    </row>
    <row r="6" spans="1:9" s="106" customFormat="1" ht="12.75" customHeight="1">
      <c r="A6" s="107"/>
      <c r="B6" s="843" t="s">
        <v>149</v>
      </c>
      <c r="C6" s="845" t="s">
        <v>245</v>
      </c>
      <c r="D6" s="847" t="s">
        <v>244</v>
      </c>
      <c r="E6" s="848"/>
      <c r="F6" s="845" t="s">
        <v>249</v>
      </c>
      <c r="G6" s="845" t="s">
        <v>250</v>
      </c>
      <c r="H6" s="841" t="s">
        <v>248</v>
      </c>
    </row>
    <row r="7" spans="1:9" ht="38.25">
      <c r="A7" s="109"/>
      <c r="B7" s="844"/>
      <c r="C7" s="846"/>
      <c r="D7" s="196" t="s">
        <v>247</v>
      </c>
      <c r="E7" s="196" t="s">
        <v>246</v>
      </c>
      <c r="F7" s="846"/>
      <c r="G7" s="846"/>
      <c r="H7" s="842"/>
      <c r="I7" s="106"/>
    </row>
    <row r="8" spans="1:9">
      <c r="A8" s="107">
        <v>1</v>
      </c>
      <c r="B8" s="1" t="s">
        <v>51</v>
      </c>
      <c r="C8" s="197">
        <f>'11. CRWA '!C8+'11. CRWA '!E8+'11. CRWA '!G8+'11. CRWA '!I8+'11. CRWA '!K8+'11. CRWA '!M8+'11. CRWA '!O8+'11. CRWA '!Q8</f>
        <v>49588618.982265547</v>
      </c>
      <c r="D8" s="198"/>
      <c r="E8" s="197">
        <f>'11. CRWA '!D8+'11. CRWA '!F8+'11. CRWA '!H8+'11. CRWA '!J8+'11. CRWA '!L8+'11. CRWA '!N8+'11. CRWA '!P8+'11. CRWA '!R8</f>
        <v>0</v>
      </c>
      <c r="F8" s="197">
        <f>'11. CRWA '!S8</f>
        <v>41399528.187801927</v>
      </c>
      <c r="G8" s="199">
        <f>F8-'12. CRM'!V7</f>
        <v>41399528.187801927</v>
      </c>
      <c r="H8" s="672">
        <f>IFERROR(G8/(C8+E8),0)</f>
        <v>0.83485947052906839</v>
      </c>
    </row>
    <row r="9" spans="1:9" ht="15" customHeight="1">
      <c r="A9" s="107">
        <v>2</v>
      </c>
      <c r="B9" s="1" t="s">
        <v>52</v>
      </c>
      <c r="C9" s="197">
        <f>'11. CRWA '!C9+'11. CRWA '!E9+'11. CRWA '!G9+'11. CRWA '!I9+'11. CRWA '!K9+'11. CRWA '!M9+'11. CRWA '!O9+'11. CRWA '!Q9</f>
        <v>0</v>
      </c>
      <c r="D9" s="198"/>
      <c r="E9" s="197">
        <f>'11. CRWA '!D9+'11. CRWA '!F9+'11. CRWA '!H9+'11. CRWA '!J9+'11. CRWA '!L9+'11. CRWA '!N9+'11. CRWA '!P9+'11. CRWA '!R9</f>
        <v>0</v>
      </c>
      <c r="F9" s="197">
        <f>'11. CRWA '!S9</f>
        <v>0</v>
      </c>
      <c r="G9" s="199">
        <f>F9-'12. CRM'!V8</f>
        <v>0</v>
      </c>
      <c r="H9" s="672">
        <f t="shared" ref="H9:H21" si="0">IFERROR(G9/(C9+E9),0)</f>
        <v>0</v>
      </c>
    </row>
    <row r="10" spans="1:9">
      <c r="A10" s="107">
        <v>3</v>
      </c>
      <c r="B10" s="1" t="s">
        <v>165</v>
      </c>
      <c r="C10" s="197">
        <f>'11. CRWA '!C10+'11. CRWA '!E10+'11. CRWA '!G10+'11. CRWA '!I10+'11. CRWA '!K10+'11. CRWA '!M10+'11. CRWA '!O10+'11. CRWA '!Q10</f>
        <v>0</v>
      </c>
      <c r="D10" s="198"/>
      <c r="E10" s="197">
        <f>'11. CRWA '!D10+'11. CRWA '!F10+'11. CRWA '!H10+'11. CRWA '!J10+'11. CRWA '!L10+'11. CRWA '!N10+'11. CRWA '!P10+'11. CRWA '!R10</f>
        <v>0</v>
      </c>
      <c r="F10" s="197">
        <f>'11. CRWA '!S10</f>
        <v>0</v>
      </c>
      <c r="G10" s="199">
        <f>F10-'12. CRM'!V9</f>
        <v>0</v>
      </c>
      <c r="H10" s="672">
        <f t="shared" si="0"/>
        <v>0</v>
      </c>
    </row>
    <row r="11" spans="1:9">
      <c r="A11" s="107">
        <v>4</v>
      </c>
      <c r="B11" s="1" t="s">
        <v>53</v>
      </c>
      <c r="C11" s="197">
        <f>'11. CRWA '!C11+'11. CRWA '!E11+'11. CRWA '!G11+'11. CRWA '!I11+'11. CRWA '!K11+'11. CRWA '!M11+'11. CRWA '!O11+'11. CRWA '!Q11</f>
        <v>0</v>
      </c>
      <c r="D11" s="198"/>
      <c r="E11" s="197">
        <f>'11. CRWA '!D11+'11. CRWA '!F11+'11. CRWA '!H11+'11. CRWA '!J11+'11. CRWA '!L11+'11. CRWA '!N11+'11. CRWA '!P11+'11. CRWA '!R11</f>
        <v>0</v>
      </c>
      <c r="F11" s="197">
        <f>'11. CRWA '!S11</f>
        <v>0</v>
      </c>
      <c r="G11" s="199">
        <f>F11-'12. CRM'!V10</f>
        <v>0</v>
      </c>
      <c r="H11" s="672">
        <f t="shared" si="0"/>
        <v>0</v>
      </c>
    </row>
    <row r="12" spans="1:9">
      <c r="A12" s="107">
        <v>5</v>
      </c>
      <c r="B12" s="1" t="s">
        <v>54</v>
      </c>
      <c r="C12" s="197">
        <f>'11. CRWA '!C12+'11. CRWA '!E12+'11. CRWA '!G12+'11. CRWA '!I12+'11. CRWA '!K12+'11. CRWA '!M12+'11. CRWA '!O12+'11. CRWA '!Q12</f>
        <v>0</v>
      </c>
      <c r="D12" s="198"/>
      <c r="E12" s="197">
        <f>'11. CRWA '!D12+'11. CRWA '!F12+'11. CRWA '!H12+'11. CRWA '!J12+'11. CRWA '!L12+'11. CRWA '!N12+'11. CRWA '!P12+'11. CRWA '!R12</f>
        <v>0</v>
      </c>
      <c r="F12" s="197">
        <f>'11. CRWA '!S12</f>
        <v>0</v>
      </c>
      <c r="G12" s="199">
        <f>F12-'12. CRM'!V11</f>
        <v>0</v>
      </c>
      <c r="H12" s="672">
        <f t="shared" si="0"/>
        <v>0</v>
      </c>
    </row>
    <row r="13" spans="1:9">
      <c r="A13" s="107">
        <v>6</v>
      </c>
      <c r="B13" s="1" t="s">
        <v>55</v>
      </c>
      <c r="C13" s="197">
        <f>'11. CRWA '!C13+'11. CRWA '!E13+'11. CRWA '!G13+'11. CRWA '!I13+'11. CRWA '!K13+'11. CRWA '!M13+'11. CRWA '!O13+'11. CRWA '!Q13</f>
        <v>48181672.927540541</v>
      </c>
      <c r="D13" s="198">
        <f>'11. CRWA '!D13+'11. CRWA '!F13+'11. CRWA '!H13+'11. CRWA '!J13+'11. CRWA '!L13+'11. CRWA '!N13+'11. CRWA '!P13+'11. CRWA '!R13</f>
        <v>69000494.872220427</v>
      </c>
      <c r="E13" s="197">
        <f>'11. CRWA '!D13+'11. CRWA '!F13+'11. CRWA '!H13+'11. CRWA '!J13+'11. CRWA '!L13+'11. CRWA '!N13+'11. CRWA '!P13+'11. CRWA '!R13</f>
        <v>69000494.872220427</v>
      </c>
      <c r="F13" s="197">
        <f>'11. CRWA '!S13</f>
        <v>84959408.067564487</v>
      </c>
      <c r="G13" s="199">
        <f>F13-'12. CRM'!V12</f>
        <v>84959408.067564487</v>
      </c>
      <c r="H13" s="672">
        <f t="shared" si="0"/>
        <v>0.72501993829591704</v>
      </c>
    </row>
    <row r="14" spans="1:9">
      <c r="A14" s="107">
        <v>7</v>
      </c>
      <c r="B14" s="1" t="s">
        <v>56</v>
      </c>
      <c r="C14" s="197">
        <f>'11. CRWA '!C14+'11. CRWA '!E14+'11. CRWA '!G14+'11. CRWA '!I14+'11. CRWA '!K14+'11. CRWA '!M14+'11. CRWA '!O14+'11. CRWA '!Q14</f>
        <v>363361941.60747164</v>
      </c>
      <c r="D14" s="198">
        <f>'11. CRWA '!D14+'11. CRWA '!F14+'11. CRWA '!H14+'11. CRWA '!J14+'11. CRWA '!L14+'11. CRWA '!N14+'11. CRWA '!P14+'11. CRWA '!R14</f>
        <v>14629342.456183262</v>
      </c>
      <c r="E14" s="197">
        <f>'11. CRWA '!D14+'11. CRWA '!F14+'11. CRWA '!H14+'11. CRWA '!J14+'11. CRWA '!L14+'11. CRWA '!N14+'11. CRWA '!P14+'11. CRWA '!R14</f>
        <v>14629342.456183262</v>
      </c>
      <c r="F14" s="197">
        <f>'11. CRWA '!S14</f>
        <v>377991284.0636549</v>
      </c>
      <c r="G14" s="199">
        <f>F14-'12. CRM'!V13</f>
        <v>355495256.40995491</v>
      </c>
      <c r="H14" s="672">
        <f t="shared" si="0"/>
        <v>0.94048532703756316</v>
      </c>
    </row>
    <row r="15" spans="1:9">
      <c r="A15" s="107">
        <v>8</v>
      </c>
      <c r="B15" s="1" t="s">
        <v>57</v>
      </c>
      <c r="C15" s="197">
        <f>'11. CRWA '!C15+'11. CRWA '!E15+'11. CRWA '!G15+'11. CRWA '!I15+'11. CRWA '!K15+'11. CRWA '!M15+'11. CRWA '!O15+'11. CRWA '!Q15</f>
        <v>0</v>
      </c>
      <c r="D15" s="198"/>
      <c r="E15" s="197">
        <f>'11. CRWA '!D15+'11. CRWA '!F15+'11. CRWA '!H15+'11. CRWA '!J15+'11. CRWA '!L15+'11. CRWA '!N15+'11. CRWA '!P15+'11. CRWA '!R15</f>
        <v>0</v>
      </c>
      <c r="F15" s="197">
        <f>'11. CRWA '!S15</f>
        <v>0</v>
      </c>
      <c r="G15" s="199">
        <f>F15-'12. CRM'!V14</f>
        <v>0</v>
      </c>
      <c r="H15" s="672">
        <f t="shared" si="0"/>
        <v>0</v>
      </c>
    </row>
    <row r="16" spans="1:9">
      <c r="A16" s="107">
        <v>9</v>
      </c>
      <c r="B16" s="1" t="s">
        <v>58</v>
      </c>
      <c r="C16" s="197">
        <f>'11. CRWA '!C16+'11. CRWA '!E16+'11. CRWA '!G16+'11. CRWA '!I16+'11. CRWA '!K16+'11. CRWA '!M16+'11. CRWA '!O16+'11. CRWA '!Q16</f>
        <v>0</v>
      </c>
      <c r="D16" s="198"/>
      <c r="E16" s="197">
        <f>'11. CRWA '!D16+'11. CRWA '!F16+'11. CRWA '!H16+'11. CRWA '!J16+'11. CRWA '!L16+'11. CRWA '!N16+'11. CRWA '!P16+'11. CRWA '!R16</f>
        <v>0</v>
      </c>
      <c r="F16" s="197">
        <f>'11. CRWA '!S16</f>
        <v>0</v>
      </c>
      <c r="G16" s="199">
        <f>F16-'12. CRM'!V15</f>
        <v>0</v>
      </c>
      <c r="H16" s="672">
        <f t="shared" si="0"/>
        <v>0</v>
      </c>
    </row>
    <row r="17" spans="1:8">
      <c r="A17" s="107">
        <v>10</v>
      </c>
      <c r="B17" s="1" t="s">
        <v>59</v>
      </c>
      <c r="C17" s="197">
        <f>'11. CRWA '!C17+'11. CRWA '!E17+'11. CRWA '!G17+'11. CRWA '!I17+'11. CRWA '!K17+'11. CRWA '!M17+'11. CRWA '!O17+'11. CRWA '!Q17</f>
        <v>14590.606700938077</v>
      </c>
      <c r="D17" s="198"/>
      <c r="E17" s="197">
        <f>'11. CRWA '!D17+'11. CRWA '!F17+'11. CRWA '!H17+'11. CRWA '!J17+'11. CRWA '!L17+'11. CRWA '!N17+'11. CRWA '!P17+'11. CRWA '!R17</f>
        <v>0</v>
      </c>
      <c r="F17" s="197">
        <f>'11. CRWA '!S17</f>
        <v>14590.606700938077</v>
      </c>
      <c r="G17" s="199">
        <f>F17-'12. CRM'!V16</f>
        <v>14590.606700938077</v>
      </c>
      <c r="H17" s="672">
        <f t="shared" si="0"/>
        <v>1</v>
      </c>
    </row>
    <row r="18" spans="1:8">
      <c r="A18" s="107">
        <v>11</v>
      </c>
      <c r="B18" s="1" t="s">
        <v>60</v>
      </c>
      <c r="C18" s="197">
        <f>'11. CRWA '!C18+'11. CRWA '!E18+'11. CRWA '!G18+'11. CRWA '!I18+'11. CRWA '!K18+'11. CRWA '!M18+'11. CRWA '!O18+'11. CRWA '!Q18</f>
        <v>0</v>
      </c>
      <c r="D18" s="198"/>
      <c r="E18" s="197">
        <f>'11. CRWA '!D18+'11. CRWA '!F18+'11. CRWA '!H18+'11. CRWA '!J18+'11. CRWA '!L18+'11. CRWA '!N18+'11. CRWA '!P18+'11. CRWA '!R18</f>
        <v>0</v>
      </c>
      <c r="F18" s="197">
        <f>'11. CRWA '!S18</f>
        <v>0</v>
      </c>
      <c r="G18" s="199">
        <f>F18-'12. CRM'!V17</f>
        <v>0</v>
      </c>
      <c r="H18" s="672">
        <f t="shared" si="0"/>
        <v>0</v>
      </c>
    </row>
    <row r="19" spans="1:8">
      <c r="A19" s="107">
        <v>12</v>
      </c>
      <c r="B19" s="1" t="s">
        <v>61</v>
      </c>
      <c r="C19" s="197">
        <f>'11. CRWA '!C19+'11. CRWA '!E19+'11. CRWA '!G19+'11. CRWA '!I19+'11. CRWA '!K19+'11. CRWA '!M19+'11. CRWA '!O19+'11. CRWA '!Q19</f>
        <v>0</v>
      </c>
      <c r="D19" s="198"/>
      <c r="E19" s="197">
        <f>'11. CRWA '!D19+'11. CRWA '!F19+'11. CRWA '!H19+'11. CRWA '!J19+'11. CRWA '!L19+'11. CRWA '!N19+'11. CRWA '!P19+'11. CRWA '!R19</f>
        <v>0</v>
      </c>
      <c r="F19" s="197">
        <f>'11. CRWA '!S19</f>
        <v>0</v>
      </c>
      <c r="G19" s="199">
        <f>F19-'12. CRM'!V18</f>
        <v>0</v>
      </c>
      <c r="H19" s="672">
        <f t="shared" si="0"/>
        <v>0</v>
      </c>
    </row>
    <row r="20" spans="1:8">
      <c r="A20" s="107">
        <v>13</v>
      </c>
      <c r="B20" s="1" t="s">
        <v>144</v>
      </c>
      <c r="C20" s="197">
        <f>'11. CRWA '!C20+'11. CRWA '!E20+'11. CRWA '!G20+'11. CRWA '!I20+'11. CRWA '!K20+'11. CRWA '!M20+'11. CRWA '!O20+'11. CRWA '!Q20</f>
        <v>0</v>
      </c>
      <c r="D20" s="198"/>
      <c r="E20" s="197">
        <f>'11. CRWA '!D20+'11. CRWA '!F20+'11. CRWA '!H20+'11. CRWA '!J20+'11. CRWA '!L20+'11. CRWA '!N20+'11. CRWA '!P20+'11. CRWA '!R20</f>
        <v>0</v>
      </c>
      <c r="F20" s="197">
        <f>'11. CRWA '!S20</f>
        <v>0</v>
      </c>
      <c r="G20" s="199">
        <f>F20-'12. CRM'!V19</f>
        <v>0</v>
      </c>
      <c r="H20" s="672">
        <f t="shared" si="0"/>
        <v>0</v>
      </c>
    </row>
    <row r="21" spans="1:8">
      <c r="A21" s="107">
        <v>14</v>
      </c>
      <c r="B21" s="1" t="s">
        <v>63</v>
      </c>
      <c r="C21" s="197">
        <f>'11. CRWA '!C21+'11. CRWA '!E21+'11. CRWA '!G21+'11. CRWA '!I21+'11. CRWA '!K21+'11. CRWA '!M21+'11. CRWA '!O21+'11. CRWA '!Q21</f>
        <v>26072996.997841544</v>
      </c>
      <c r="D21" s="198"/>
      <c r="E21" s="197">
        <f>'11. CRWA '!D21+'11. CRWA '!F21+'11. CRWA '!H21+'11. CRWA '!J21+'11. CRWA '!L21+'11. CRWA '!N21+'11. CRWA '!P21+'11. CRWA '!R21</f>
        <v>0</v>
      </c>
      <c r="F21" s="197">
        <f>'11. CRWA '!S21</f>
        <v>24361070.190341543</v>
      </c>
      <c r="G21" s="199">
        <f>F21-'12. CRM'!V20</f>
        <v>24051837.145742912</v>
      </c>
      <c r="H21" s="672">
        <f t="shared" si="0"/>
        <v>0.92248072393572733</v>
      </c>
    </row>
    <row r="22" spans="1:8" ht="13.5" thickBot="1">
      <c r="A22" s="110"/>
      <c r="B22" s="111" t="s">
        <v>64</v>
      </c>
      <c r="C22" s="674">
        <f>SUM(C8:C21)</f>
        <v>487219821.12182021</v>
      </c>
      <c r="D22" s="674">
        <f>SUM(D8:D21)</f>
        <v>83629837.328403682</v>
      </c>
      <c r="E22" s="674">
        <f>SUM(E8:E21)</f>
        <v>83629837.328403682</v>
      </c>
      <c r="F22" s="674">
        <f>SUM(F8:F21)</f>
        <v>528725881.11606383</v>
      </c>
      <c r="G22" s="674">
        <f>SUM(G8:G21)</f>
        <v>505920620.4177652</v>
      </c>
      <c r="H22" s="673">
        <f>G22/(C22+E22)</f>
        <v>0.88625895264835253</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140625" defaultRowHeight="12.75"/>
  <cols>
    <col min="1" max="1" width="10.5703125" style="192" bestFit="1" customWidth="1"/>
    <col min="2" max="2" width="104.140625" style="192" customWidth="1"/>
    <col min="3" max="5" width="12.7109375" style="192" customWidth="1"/>
    <col min="6" max="6" width="13.5703125" style="192" bestFit="1" customWidth="1"/>
    <col min="7" max="11" width="12.7109375" style="192" customWidth="1"/>
    <col min="12" max="16384" width="9.140625" style="192"/>
  </cols>
  <sheetData>
    <row r="1" spans="1:11">
      <c r="A1" s="192" t="s">
        <v>30</v>
      </c>
      <c r="B1" s="536" t="str">
        <f>'1. key ratios '!B1</f>
        <v>JSC Isbank Georgia</v>
      </c>
    </row>
    <row r="2" spans="1:11">
      <c r="A2" s="192" t="s">
        <v>31</v>
      </c>
      <c r="B2" s="537">
        <f>'1. key ratios '!B2</f>
        <v>45657</v>
      </c>
      <c r="C2" s="209"/>
      <c r="D2" s="209"/>
    </row>
    <row r="3" spans="1:11">
      <c r="B3" s="209"/>
      <c r="C3" s="209"/>
      <c r="D3" s="209"/>
    </row>
    <row r="4" spans="1:11" ht="13.5" thickBot="1">
      <c r="A4" s="192" t="s">
        <v>146</v>
      </c>
      <c r="B4" s="236" t="s">
        <v>253</v>
      </c>
      <c r="C4" s="209"/>
      <c r="D4" s="209"/>
    </row>
    <row r="5" spans="1:11" ht="30" customHeight="1">
      <c r="A5" s="849"/>
      <c r="B5" s="850"/>
      <c r="C5" s="851" t="s">
        <v>305</v>
      </c>
      <c r="D5" s="851"/>
      <c r="E5" s="851"/>
      <c r="F5" s="851" t="s">
        <v>306</v>
      </c>
      <c r="G5" s="851"/>
      <c r="H5" s="851"/>
      <c r="I5" s="851" t="s">
        <v>307</v>
      </c>
      <c r="J5" s="851"/>
      <c r="K5" s="852"/>
    </row>
    <row r="6" spans="1:11">
      <c r="A6" s="210"/>
      <c r="B6" s="211"/>
      <c r="C6" s="323" t="s">
        <v>32</v>
      </c>
      <c r="D6" s="675" t="s">
        <v>33</v>
      </c>
      <c r="E6" s="676" t="s">
        <v>34</v>
      </c>
      <c r="F6" s="323" t="s">
        <v>32</v>
      </c>
      <c r="G6" s="675" t="s">
        <v>33</v>
      </c>
      <c r="H6" s="676" t="s">
        <v>34</v>
      </c>
      <c r="I6" s="677" t="s">
        <v>32</v>
      </c>
      <c r="J6" s="675" t="s">
        <v>33</v>
      </c>
      <c r="K6" s="675" t="s">
        <v>34</v>
      </c>
    </row>
    <row r="7" spans="1:11">
      <c r="A7" s="212" t="s">
        <v>256</v>
      </c>
      <c r="B7" s="213"/>
      <c r="C7" s="678"/>
      <c r="D7" s="679"/>
      <c r="E7" s="214"/>
      <c r="F7" s="678"/>
      <c r="G7" s="679"/>
      <c r="H7" s="214"/>
      <c r="I7" s="679"/>
      <c r="J7" s="679"/>
      <c r="K7" s="214"/>
    </row>
    <row r="8" spans="1:11">
      <c r="A8" s="215">
        <v>1</v>
      </c>
      <c r="B8" s="216" t="s">
        <v>254</v>
      </c>
      <c r="C8" s="680"/>
      <c r="D8" s="217"/>
      <c r="E8" s="681"/>
      <c r="F8" s="682">
        <v>40487277.259055056</v>
      </c>
      <c r="G8" s="683">
        <v>73868059.89878948</v>
      </c>
      <c r="H8" s="684">
        <f>G8+F8</f>
        <v>114355337.15784454</v>
      </c>
      <c r="I8" s="685">
        <v>36081171.981226712</v>
      </c>
      <c r="J8" s="683">
        <v>61786945.834106803</v>
      </c>
      <c r="K8" s="684">
        <f>I8+J8</f>
        <v>97868117.815333515</v>
      </c>
    </row>
    <row r="9" spans="1:11">
      <c r="A9" s="212" t="s">
        <v>257</v>
      </c>
      <c r="B9" s="213"/>
      <c r="C9" s="678"/>
      <c r="D9" s="679"/>
      <c r="E9" s="214"/>
      <c r="F9" s="678"/>
      <c r="G9" s="679"/>
      <c r="H9" s="214"/>
      <c r="I9" s="679"/>
      <c r="J9" s="679"/>
      <c r="K9" s="214"/>
    </row>
    <row r="10" spans="1:11">
      <c r="A10" s="218">
        <v>2</v>
      </c>
      <c r="B10" s="219" t="s">
        <v>265</v>
      </c>
      <c r="C10" s="682">
        <v>4511225.9664754076</v>
      </c>
      <c r="D10" s="686">
        <v>19339630.385042239</v>
      </c>
      <c r="E10" s="684">
        <f>C10+D10</f>
        <v>23850856.351517648</v>
      </c>
      <c r="F10" s="682">
        <v>1600010.3411475401</v>
      </c>
      <c r="G10" s="686">
        <v>3502193.2949475003</v>
      </c>
      <c r="H10" s="684">
        <f>G10+F10</f>
        <v>5102203.6360950405</v>
      </c>
      <c r="I10" s="685">
        <v>431493.69116803334</v>
      </c>
      <c r="J10" s="686">
        <v>1007432.4051575068</v>
      </c>
      <c r="K10" s="684">
        <f>I10+J10</f>
        <v>1438926.0963255402</v>
      </c>
    </row>
    <row r="11" spans="1:11">
      <c r="A11" s="218">
        <v>3</v>
      </c>
      <c r="B11" s="219" t="s">
        <v>259</v>
      </c>
      <c r="C11" s="682">
        <v>41166165.673606612</v>
      </c>
      <c r="D11" s="686">
        <v>210853881.16653684</v>
      </c>
      <c r="E11" s="684">
        <f t="shared" ref="E11:E16" si="0">C11+D11</f>
        <v>252020046.84014344</v>
      </c>
      <c r="F11" s="687">
        <v>22705572.546122275</v>
      </c>
      <c r="G11" s="685">
        <v>48937542.417814501</v>
      </c>
      <c r="H11" s="684">
        <f t="shared" ref="H11:H16" si="1">G11+F11</f>
        <v>71643114.963936776</v>
      </c>
      <c r="I11" s="687">
        <v>19662402.509540971</v>
      </c>
      <c r="J11" s="685">
        <v>45611333.111099899</v>
      </c>
      <c r="K11" s="684">
        <f t="shared" ref="K11:K16" si="2">I11+J11</f>
        <v>65273735.620640874</v>
      </c>
    </row>
    <row r="12" spans="1:11">
      <c r="A12" s="218">
        <v>4</v>
      </c>
      <c r="B12" s="219" t="s">
        <v>260</v>
      </c>
      <c r="C12" s="688"/>
      <c r="D12" s="689"/>
      <c r="E12" s="684">
        <f t="shared" si="0"/>
        <v>0</v>
      </c>
      <c r="F12" s="688"/>
      <c r="G12" s="689"/>
      <c r="H12" s="684">
        <f t="shared" si="1"/>
        <v>0</v>
      </c>
      <c r="I12" s="690"/>
      <c r="J12" s="689"/>
      <c r="K12" s="684">
        <f t="shared" si="2"/>
        <v>0</v>
      </c>
    </row>
    <row r="13" spans="1:11">
      <c r="A13" s="218">
        <v>5</v>
      </c>
      <c r="B13" s="219" t="s">
        <v>268</v>
      </c>
      <c r="C13" s="682">
        <v>60149110.130710386</v>
      </c>
      <c r="D13" s="686">
        <v>64577388.740415365</v>
      </c>
      <c r="E13" s="684">
        <f t="shared" si="0"/>
        <v>124726498.87112576</v>
      </c>
      <c r="F13" s="682">
        <v>6039211.5083224066</v>
      </c>
      <c r="G13" s="686">
        <v>6691010.7281821175</v>
      </c>
      <c r="H13" s="684">
        <f t="shared" si="1"/>
        <v>12730222.236504525</v>
      </c>
      <c r="I13" s="685">
        <v>3007455.5065355231</v>
      </c>
      <c r="J13" s="686">
        <v>3228869.4370207707</v>
      </c>
      <c r="K13" s="684">
        <f t="shared" si="2"/>
        <v>6236324.9435562938</v>
      </c>
    </row>
    <row r="14" spans="1:11">
      <c r="A14" s="218">
        <v>6</v>
      </c>
      <c r="B14" s="219" t="s">
        <v>300</v>
      </c>
      <c r="C14" s="688"/>
      <c r="D14" s="689"/>
      <c r="E14" s="684">
        <f t="shared" si="0"/>
        <v>0</v>
      </c>
      <c r="F14" s="688"/>
      <c r="G14" s="689"/>
      <c r="H14" s="684">
        <f t="shared" si="1"/>
        <v>0</v>
      </c>
      <c r="I14" s="690"/>
      <c r="J14" s="689"/>
      <c r="K14" s="684">
        <f t="shared" si="2"/>
        <v>0</v>
      </c>
    </row>
    <row r="15" spans="1:11">
      <c r="A15" s="218">
        <v>7</v>
      </c>
      <c r="B15" s="219" t="s">
        <v>301</v>
      </c>
      <c r="C15" s="682">
        <v>2365231.7505587423</v>
      </c>
      <c r="D15" s="686">
        <v>2684465.4116479834</v>
      </c>
      <c r="E15" s="684">
        <f t="shared" si="0"/>
        <v>5049697.1622067261</v>
      </c>
      <c r="F15" s="682">
        <v>0</v>
      </c>
      <c r="G15" s="686">
        <v>19011.754929344228</v>
      </c>
      <c r="H15" s="684">
        <f t="shared" si="1"/>
        <v>19011.754929344228</v>
      </c>
      <c r="I15" s="685">
        <v>0</v>
      </c>
      <c r="J15" s="686">
        <v>19011.754929344228</v>
      </c>
      <c r="K15" s="684">
        <f t="shared" si="2"/>
        <v>19011.754929344228</v>
      </c>
    </row>
    <row r="16" spans="1:11">
      <c r="A16" s="218">
        <v>8</v>
      </c>
      <c r="B16" s="220" t="s">
        <v>261</v>
      </c>
      <c r="C16" s="691">
        <f>SUM(C10:C15)</f>
        <v>108191733.52135114</v>
      </c>
      <c r="D16" s="692">
        <f>SUM(D10:D15)</f>
        <v>297455365.70364243</v>
      </c>
      <c r="E16" s="684">
        <f t="shared" si="0"/>
        <v>405647099.22499359</v>
      </c>
      <c r="F16" s="693">
        <f>SUM(F10:F15)</f>
        <v>30344794.395592224</v>
      </c>
      <c r="G16" s="694">
        <f>SUM(G10:G15)</f>
        <v>59149758.195873454</v>
      </c>
      <c r="H16" s="684">
        <f t="shared" si="1"/>
        <v>89494552.591465682</v>
      </c>
      <c r="I16" s="692">
        <f>SUM(I10:I15)</f>
        <v>23101351.707244527</v>
      </c>
      <c r="J16" s="694">
        <f>SUM(J10:J15)</f>
        <v>49866646.708207518</v>
      </c>
      <c r="K16" s="684">
        <f t="shared" si="2"/>
        <v>72967998.415452048</v>
      </c>
    </row>
    <row r="17" spans="1:11">
      <c r="A17" s="212" t="s">
        <v>258</v>
      </c>
      <c r="B17" s="213"/>
      <c r="C17" s="678"/>
      <c r="D17" s="679"/>
      <c r="E17" s="214"/>
      <c r="F17" s="678"/>
      <c r="G17" s="679"/>
      <c r="H17" s="214"/>
      <c r="I17" s="679"/>
      <c r="J17" s="679"/>
      <c r="K17" s="214"/>
    </row>
    <row r="18" spans="1:11">
      <c r="A18" s="218">
        <v>9</v>
      </c>
      <c r="B18" s="219" t="s">
        <v>264</v>
      </c>
      <c r="C18" s="688"/>
      <c r="D18" s="689"/>
      <c r="E18" s="684">
        <f>C18+D18</f>
        <v>0</v>
      </c>
      <c r="F18" s="688"/>
      <c r="G18" s="689"/>
      <c r="H18" s="684">
        <f>F18+G18</f>
        <v>0</v>
      </c>
      <c r="I18" s="690"/>
      <c r="J18" s="689"/>
      <c r="K18" s="684">
        <f>I18+J18</f>
        <v>0</v>
      </c>
    </row>
    <row r="19" spans="1:11">
      <c r="A19" s="218">
        <v>10</v>
      </c>
      <c r="B19" s="219" t="s">
        <v>302</v>
      </c>
      <c r="C19" s="682">
        <v>141655202.90716478</v>
      </c>
      <c r="D19" s="686">
        <v>179506743.20837548</v>
      </c>
      <c r="E19" s="684">
        <f t="shared" ref="E19:E21" si="3">C19+D19</f>
        <v>321161946.11554027</v>
      </c>
      <c r="F19" s="682">
        <v>13397752.471427185</v>
      </c>
      <c r="G19" s="686">
        <v>5999904.7318426464</v>
      </c>
      <c r="H19" s="684">
        <f t="shared" ref="H19:H21" si="4">F19+G19</f>
        <v>19397657.203269832</v>
      </c>
      <c r="I19" s="685">
        <v>22512998.084267173</v>
      </c>
      <c r="J19" s="686">
        <v>51407470.422015771</v>
      </c>
      <c r="K19" s="684">
        <f t="shared" ref="K19:K21" si="5">I19+J19</f>
        <v>73920468.506282941</v>
      </c>
    </row>
    <row r="20" spans="1:11">
      <c r="A20" s="218">
        <v>11</v>
      </c>
      <c r="B20" s="219" t="s">
        <v>263</v>
      </c>
      <c r="C20" s="687">
        <v>10651792.852325343</v>
      </c>
      <c r="D20" s="695">
        <v>15151966.679758815</v>
      </c>
      <c r="E20" s="684">
        <f t="shared" si="3"/>
        <v>25803759.53208416</v>
      </c>
      <c r="F20" s="687">
        <v>356183.52195767325</v>
      </c>
      <c r="G20" s="695">
        <v>777933.99494555115</v>
      </c>
      <c r="H20" s="684">
        <f t="shared" si="4"/>
        <v>1134117.5169032244</v>
      </c>
      <c r="I20" s="696">
        <v>356183.52195767325</v>
      </c>
      <c r="J20" s="695">
        <v>777933.99494555115</v>
      </c>
      <c r="K20" s="684">
        <f t="shared" si="5"/>
        <v>1134117.5169032244</v>
      </c>
    </row>
    <row r="21" spans="1:11" ht="13.5" thickBot="1">
      <c r="A21" s="221">
        <v>12</v>
      </c>
      <c r="B21" s="222" t="s">
        <v>262</v>
      </c>
      <c r="C21" s="697">
        <f>SUM(C18:C20)</f>
        <v>152306995.75949013</v>
      </c>
      <c r="D21" s="698">
        <f>SUM(D18:D20)</f>
        <v>194658709.8881343</v>
      </c>
      <c r="E21" s="699">
        <f t="shared" si="3"/>
        <v>346965705.64762443</v>
      </c>
      <c r="F21" s="700">
        <f>SUM(F18:F20)</f>
        <v>13753935.993384859</v>
      </c>
      <c r="G21" s="701">
        <f>SUM(G18:G20)</f>
        <v>6777838.7267881976</v>
      </c>
      <c r="H21" s="699">
        <f t="shared" si="4"/>
        <v>20531774.720173057</v>
      </c>
      <c r="I21" s="698">
        <f>SUM(I18:I20)</f>
        <v>22869181.606224846</v>
      </c>
      <c r="J21" s="701">
        <f>SUM(J18:J20)</f>
        <v>52185404.41696132</v>
      </c>
      <c r="K21" s="699">
        <f t="shared" si="5"/>
        <v>75054586.023186162</v>
      </c>
    </row>
    <row r="22" spans="1:11" ht="38.25" customHeight="1" thickBot="1">
      <c r="A22" s="223"/>
      <c r="B22" s="224"/>
      <c r="C22" s="224"/>
      <c r="D22" s="224"/>
      <c r="E22" s="224"/>
      <c r="F22" s="853" t="s">
        <v>304</v>
      </c>
      <c r="G22" s="851"/>
      <c r="H22" s="851"/>
      <c r="I22" s="853" t="s">
        <v>269</v>
      </c>
      <c r="J22" s="851"/>
      <c r="K22" s="852"/>
    </row>
    <row r="23" spans="1:11">
      <c r="A23" s="225">
        <v>13</v>
      </c>
      <c r="B23" s="226" t="s">
        <v>254</v>
      </c>
      <c r="C23" s="227"/>
      <c r="D23" s="227"/>
      <c r="E23" s="227"/>
      <c r="F23" s="702">
        <f>F8</f>
        <v>40487277.259055056</v>
      </c>
      <c r="G23" s="703">
        <f>G8</f>
        <v>73868059.89878948</v>
      </c>
      <c r="H23" s="704">
        <f>F23+G23</f>
        <v>114355337.15784454</v>
      </c>
      <c r="I23" s="702">
        <f>I8</f>
        <v>36081171.981226712</v>
      </c>
      <c r="J23" s="703">
        <f>J8</f>
        <v>61786945.834106803</v>
      </c>
      <c r="K23" s="704">
        <f>I23+J23</f>
        <v>97868117.815333515</v>
      </c>
    </row>
    <row r="24" spans="1:11" ht="13.5" thickBot="1">
      <c r="A24" s="228">
        <v>14</v>
      </c>
      <c r="B24" s="229" t="s">
        <v>266</v>
      </c>
      <c r="C24" s="230"/>
      <c r="D24" s="231"/>
      <c r="E24" s="232"/>
      <c r="F24" s="706">
        <f>F16-MIN(F16*75%,F21)</f>
        <v>16590858.402207365</v>
      </c>
      <c r="G24" s="707">
        <f>G16-MIN(G16*75%,G21)</f>
        <v>52371919.469085254</v>
      </c>
      <c r="H24" s="705">
        <f>F24+G24</f>
        <v>68962777.871292621</v>
      </c>
      <c r="I24" s="706">
        <f>I16-MIN(I16*75%,I21)</f>
        <v>5775337.9268111326</v>
      </c>
      <c r="J24" s="707">
        <f>J16-MIN(J16*75%,J21)</f>
        <v>12466661.677051879</v>
      </c>
      <c r="K24" s="705">
        <f t="shared" ref="K24" si="6">I24+J24</f>
        <v>18241999.603863012</v>
      </c>
    </row>
    <row r="25" spans="1:11" ht="13.5" thickBot="1">
      <c r="A25" s="233">
        <v>15</v>
      </c>
      <c r="B25" s="234" t="s">
        <v>267</v>
      </c>
      <c r="C25" s="235"/>
      <c r="D25" s="235"/>
      <c r="E25" s="235"/>
      <c r="F25" s="708">
        <f t="shared" ref="F25:G25" si="7">F23/F24</f>
        <v>2.4403364960108598</v>
      </c>
      <c r="G25" s="709">
        <f t="shared" si="7"/>
        <v>1.410451643697979</v>
      </c>
      <c r="H25" s="710">
        <f>H23/H24</f>
        <v>1.6582182546542639</v>
      </c>
      <c r="I25" s="708">
        <f t="shared" ref="I25:J25" si="8">I23/I24</f>
        <v>6.2474564152731791</v>
      </c>
      <c r="J25" s="709">
        <f t="shared" si="8"/>
        <v>4.9561741093721734</v>
      </c>
      <c r="K25" s="710">
        <f>K23/K24</f>
        <v>5.3649884848483662</v>
      </c>
    </row>
    <row r="27" spans="1:11" ht="25.5">
      <c r="B27" s="208" t="s">
        <v>303</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17"/>
  </cols>
  <sheetData>
    <row r="1" spans="1:14">
      <c r="A1" s="4" t="s">
        <v>30</v>
      </c>
      <c r="B1" s="536" t="str">
        <f>'1. key ratios '!B1</f>
        <v>JSC Isbank Georgia</v>
      </c>
    </row>
    <row r="2" spans="1:14" ht="14.25" customHeight="1">
      <c r="A2" s="4" t="s">
        <v>31</v>
      </c>
      <c r="B2" s="537">
        <f>'1. key ratios '!B2</f>
        <v>45657</v>
      </c>
    </row>
    <row r="3" spans="1:14" ht="14.25" customHeight="1"/>
    <row r="4" spans="1:14" ht="13.5" thickBot="1">
      <c r="A4" s="4" t="s">
        <v>162</v>
      </c>
      <c r="B4" s="163" t="s">
        <v>28</v>
      </c>
    </row>
    <row r="5" spans="1:14" s="117" customFormat="1">
      <c r="A5" s="113"/>
      <c r="B5" s="114"/>
      <c r="C5" s="115" t="s">
        <v>0</v>
      </c>
      <c r="D5" s="115" t="s">
        <v>1</v>
      </c>
      <c r="E5" s="115" t="s">
        <v>2</v>
      </c>
      <c r="F5" s="115" t="s">
        <v>3</v>
      </c>
      <c r="G5" s="115" t="s">
        <v>4</v>
      </c>
      <c r="H5" s="115" t="s">
        <v>5</v>
      </c>
      <c r="I5" s="115" t="s">
        <v>8</v>
      </c>
      <c r="J5" s="115" t="s">
        <v>9</v>
      </c>
      <c r="K5" s="115" t="s">
        <v>10</v>
      </c>
      <c r="L5" s="115" t="s">
        <v>11</v>
      </c>
      <c r="M5" s="115" t="s">
        <v>12</v>
      </c>
      <c r="N5" s="116" t="s">
        <v>13</v>
      </c>
    </row>
    <row r="6" spans="1:14" ht="25.5">
      <c r="A6" s="118"/>
      <c r="B6" s="119"/>
      <c r="C6" s="120" t="s">
        <v>161</v>
      </c>
      <c r="D6" s="121" t="s">
        <v>160</v>
      </c>
      <c r="E6" s="122" t="s">
        <v>159</v>
      </c>
      <c r="F6" s="123">
        <v>0</v>
      </c>
      <c r="G6" s="123">
        <v>0.2</v>
      </c>
      <c r="H6" s="123">
        <v>0.35</v>
      </c>
      <c r="I6" s="123">
        <v>0.5</v>
      </c>
      <c r="J6" s="123">
        <v>0.75</v>
      </c>
      <c r="K6" s="123">
        <v>1</v>
      </c>
      <c r="L6" s="123">
        <v>1.5</v>
      </c>
      <c r="M6" s="123">
        <v>2.5</v>
      </c>
      <c r="N6" s="162" t="s">
        <v>168</v>
      </c>
    </row>
    <row r="7" spans="1:14" ht="15">
      <c r="A7" s="124">
        <v>1</v>
      </c>
      <c r="B7" s="125" t="s">
        <v>158</v>
      </c>
      <c r="C7" s="126">
        <f>SUM(C8:C13)</f>
        <v>0</v>
      </c>
      <c r="D7" s="119"/>
      <c r="E7" s="127">
        <f t="shared" ref="E7:M7" si="0">SUM(E8:E13)</f>
        <v>0</v>
      </c>
      <c r="F7" s="128">
        <f>SUM(F8:F13)</f>
        <v>0</v>
      </c>
      <c r="G7" s="128">
        <f t="shared" si="0"/>
        <v>0</v>
      </c>
      <c r="H7" s="128">
        <f t="shared" si="0"/>
        <v>0</v>
      </c>
      <c r="I7" s="128">
        <f t="shared" si="0"/>
        <v>0</v>
      </c>
      <c r="J7" s="128">
        <f t="shared" si="0"/>
        <v>0</v>
      </c>
      <c r="K7" s="128">
        <f t="shared" si="0"/>
        <v>0</v>
      </c>
      <c r="L7" s="128">
        <f t="shared" si="0"/>
        <v>0</v>
      </c>
      <c r="M7" s="128">
        <f t="shared" si="0"/>
        <v>0</v>
      </c>
      <c r="N7" s="129">
        <f>SUM(N8:N13)</f>
        <v>0</v>
      </c>
    </row>
    <row r="8" spans="1:14" ht="14.25">
      <c r="A8" s="124">
        <v>1.1000000000000001</v>
      </c>
      <c r="B8" s="130" t="s">
        <v>156</v>
      </c>
      <c r="C8" s="128">
        <v>0</v>
      </c>
      <c r="D8" s="131">
        <v>0.02</v>
      </c>
      <c r="E8" s="127">
        <f>C8*D8</f>
        <v>0</v>
      </c>
      <c r="F8" s="128"/>
      <c r="G8" s="128"/>
      <c r="H8" s="128"/>
      <c r="I8" s="128"/>
      <c r="J8" s="128"/>
      <c r="K8" s="128"/>
      <c r="L8" s="128"/>
      <c r="M8" s="128"/>
      <c r="N8" s="129">
        <f>SUMPRODUCT($F$6:$M$6,F8:M8)</f>
        <v>0</v>
      </c>
    </row>
    <row r="9" spans="1:14" ht="14.25">
      <c r="A9" s="124">
        <v>1.2</v>
      </c>
      <c r="B9" s="130" t="s">
        <v>155</v>
      </c>
      <c r="C9" s="128">
        <v>0</v>
      </c>
      <c r="D9" s="131">
        <v>0.05</v>
      </c>
      <c r="E9" s="127">
        <f>C9*D9</f>
        <v>0</v>
      </c>
      <c r="F9" s="128"/>
      <c r="G9" s="128"/>
      <c r="H9" s="128"/>
      <c r="I9" s="128"/>
      <c r="J9" s="128"/>
      <c r="K9" s="128"/>
      <c r="L9" s="128"/>
      <c r="M9" s="128"/>
      <c r="N9" s="129">
        <f t="shared" ref="N9:N12" si="1">SUMPRODUCT($F$6:$M$6,F9:M9)</f>
        <v>0</v>
      </c>
    </row>
    <row r="10" spans="1:14" ht="14.25">
      <c r="A10" s="124">
        <v>1.3</v>
      </c>
      <c r="B10" s="130" t="s">
        <v>154</v>
      </c>
      <c r="C10" s="128">
        <v>0</v>
      </c>
      <c r="D10" s="131">
        <v>0.08</v>
      </c>
      <c r="E10" s="127">
        <f>C10*D10</f>
        <v>0</v>
      </c>
      <c r="F10" s="128"/>
      <c r="G10" s="128"/>
      <c r="H10" s="128"/>
      <c r="I10" s="128"/>
      <c r="J10" s="128"/>
      <c r="K10" s="128"/>
      <c r="L10" s="128"/>
      <c r="M10" s="128"/>
      <c r="N10" s="129">
        <f>SUMPRODUCT($F$6:$M$6,F10:M10)</f>
        <v>0</v>
      </c>
    </row>
    <row r="11" spans="1:14" ht="14.25">
      <c r="A11" s="124">
        <v>1.4</v>
      </c>
      <c r="B11" s="130" t="s">
        <v>153</v>
      </c>
      <c r="C11" s="128">
        <v>0</v>
      </c>
      <c r="D11" s="131">
        <v>0.11</v>
      </c>
      <c r="E11" s="127">
        <f>C11*D11</f>
        <v>0</v>
      </c>
      <c r="F11" s="128"/>
      <c r="G11" s="128"/>
      <c r="H11" s="128"/>
      <c r="I11" s="128"/>
      <c r="J11" s="128"/>
      <c r="K11" s="128"/>
      <c r="L11" s="128"/>
      <c r="M11" s="128"/>
      <c r="N11" s="129">
        <f t="shared" si="1"/>
        <v>0</v>
      </c>
    </row>
    <row r="12" spans="1:14" ht="14.25">
      <c r="A12" s="124">
        <v>1.5</v>
      </c>
      <c r="B12" s="130" t="s">
        <v>152</v>
      </c>
      <c r="C12" s="128">
        <v>0</v>
      </c>
      <c r="D12" s="131">
        <v>0.14000000000000001</v>
      </c>
      <c r="E12" s="127">
        <f>C12*D12</f>
        <v>0</v>
      </c>
      <c r="F12" s="128"/>
      <c r="G12" s="128"/>
      <c r="H12" s="128"/>
      <c r="I12" s="128"/>
      <c r="J12" s="128"/>
      <c r="K12" s="128"/>
      <c r="L12" s="128"/>
      <c r="M12" s="128"/>
      <c r="N12" s="129">
        <f t="shared" si="1"/>
        <v>0</v>
      </c>
    </row>
    <row r="13" spans="1:14" ht="14.25">
      <c r="A13" s="124">
        <v>1.6</v>
      </c>
      <c r="B13" s="132" t="s">
        <v>151</v>
      </c>
      <c r="C13" s="128">
        <v>0</v>
      </c>
      <c r="D13" s="133"/>
      <c r="E13" s="128"/>
      <c r="F13" s="128"/>
      <c r="G13" s="128"/>
      <c r="H13" s="128"/>
      <c r="I13" s="128"/>
      <c r="J13" s="128"/>
      <c r="K13" s="128"/>
      <c r="L13" s="128"/>
      <c r="M13" s="128"/>
      <c r="N13" s="129">
        <f>SUMPRODUCT($F$6:$M$6,F13:M13)</f>
        <v>0</v>
      </c>
    </row>
    <row r="14" spans="1:14" ht="15">
      <c r="A14" s="124">
        <v>2</v>
      </c>
      <c r="B14" s="134" t="s">
        <v>157</v>
      </c>
      <c r="C14" s="126">
        <f>SUM(C15:C20)</f>
        <v>0</v>
      </c>
      <c r="D14" s="119"/>
      <c r="E14" s="127">
        <f t="shared" ref="E14:M14" si="2">SUM(E15:E20)</f>
        <v>0</v>
      </c>
      <c r="F14" s="128">
        <f t="shared" si="2"/>
        <v>0</v>
      </c>
      <c r="G14" s="128">
        <f t="shared" si="2"/>
        <v>0</v>
      </c>
      <c r="H14" s="128">
        <f t="shared" si="2"/>
        <v>0</v>
      </c>
      <c r="I14" s="128">
        <f t="shared" si="2"/>
        <v>0</v>
      </c>
      <c r="J14" s="128">
        <f t="shared" si="2"/>
        <v>0</v>
      </c>
      <c r="K14" s="128">
        <f t="shared" si="2"/>
        <v>0</v>
      </c>
      <c r="L14" s="128">
        <f t="shared" si="2"/>
        <v>0</v>
      </c>
      <c r="M14" s="128">
        <f t="shared" si="2"/>
        <v>0</v>
      </c>
      <c r="N14" s="129">
        <f>SUM(N15:N20)</f>
        <v>0</v>
      </c>
    </row>
    <row r="15" spans="1:14" ht="14.25">
      <c r="A15" s="124">
        <v>2.1</v>
      </c>
      <c r="B15" s="132" t="s">
        <v>156</v>
      </c>
      <c r="C15" s="128"/>
      <c r="D15" s="131">
        <v>5.0000000000000001E-3</v>
      </c>
      <c r="E15" s="127">
        <f>C15*D15</f>
        <v>0</v>
      </c>
      <c r="F15" s="128"/>
      <c r="G15" s="128"/>
      <c r="H15" s="128"/>
      <c r="I15" s="128"/>
      <c r="J15" s="128"/>
      <c r="K15" s="128"/>
      <c r="L15" s="128"/>
      <c r="M15" s="128"/>
      <c r="N15" s="129">
        <f>SUMPRODUCT($F$6:$M$6,F15:M15)</f>
        <v>0</v>
      </c>
    </row>
    <row r="16" spans="1:14" ht="14.25">
      <c r="A16" s="124">
        <v>2.2000000000000002</v>
      </c>
      <c r="B16" s="132" t="s">
        <v>155</v>
      </c>
      <c r="C16" s="128"/>
      <c r="D16" s="131">
        <v>0.01</v>
      </c>
      <c r="E16" s="127">
        <f>C16*D16</f>
        <v>0</v>
      </c>
      <c r="F16" s="128"/>
      <c r="G16" s="128"/>
      <c r="H16" s="128"/>
      <c r="I16" s="128"/>
      <c r="J16" s="128"/>
      <c r="K16" s="128"/>
      <c r="L16" s="128"/>
      <c r="M16" s="128"/>
      <c r="N16" s="129">
        <f t="shared" ref="N16:N20" si="3">SUMPRODUCT($F$6:$M$6,F16:M16)</f>
        <v>0</v>
      </c>
    </row>
    <row r="17" spans="1:14" ht="14.25">
      <c r="A17" s="124">
        <v>2.2999999999999998</v>
      </c>
      <c r="B17" s="132" t="s">
        <v>154</v>
      </c>
      <c r="C17" s="128"/>
      <c r="D17" s="131">
        <v>0.02</v>
      </c>
      <c r="E17" s="127">
        <f>C17*D17</f>
        <v>0</v>
      </c>
      <c r="F17" s="128"/>
      <c r="G17" s="128"/>
      <c r="H17" s="128"/>
      <c r="I17" s="128"/>
      <c r="J17" s="128"/>
      <c r="K17" s="128"/>
      <c r="L17" s="128"/>
      <c r="M17" s="128"/>
      <c r="N17" s="129">
        <f t="shared" si="3"/>
        <v>0</v>
      </c>
    </row>
    <row r="18" spans="1:14" ht="14.25">
      <c r="A18" s="124">
        <v>2.4</v>
      </c>
      <c r="B18" s="132" t="s">
        <v>153</v>
      </c>
      <c r="C18" s="128"/>
      <c r="D18" s="131">
        <v>0.03</v>
      </c>
      <c r="E18" s="127">
        <f>C18*D18</f>
        <v>0</v>
      </c>
      <c r="F18" s="128"/>
      <c r="G18" s="128"/>
      <c r="H18" s="128"/>
      <c r="I18" s="128"/>
      <c r="J18" s="128"/>
      <c r="K18" s="128"/>
      <c r="L18" s="128"/>
      <c r="M18" s="128"/>
      <c r="N18" s="129">
        <f t="shared" si="3"/>
        <v>0</v>
      </c>
    </row>
    <row r="19" spans="1:14" ht="14.25">
      <c r="A19" s="124">
        <v>2.5</v>
      </c>
      <c r="B19" s="132" t="s">
        <v>152</v>
      </c>
      <c r="C19" s="128"/>
      <c r="D19" s="131">
        <v>0.04</v>
      </c>
      <c r="E19" s="127">
        <f>C19*D19</f>
        <v>0</v>
      </c>
      <c r="F19" s="128"/>
      <c r="G19" s="128"/>
      <c r="H19" s="128"/>
      <c r="I19" s="128"/>
      <c r="J19" s="128"/>
      <c r="K19" s="128"/>
      <c r="L19" s="128"/>
      <c r="M19" s="128"/>
      <c r="N19" s="129">
        <f t="shared" si="3"/>
        <v>0</v>
      </c>
    </row>
    <row r="20" spans="1:14" ht="14.25">
      <c r="A20" s="124">
        <v>2.6</v>
      </c>
      <c r="B20" s="132" t="s">
        <v>151</v>
      </c>
      <c r="C20" s="128"/>
      <c r="D20" s="133"/>
      <c r="E20" s="135"/>
      <c r="F20" s="128"/>
      <c r="G20" s="128"/>
      <c r="H20" s="128"/>
      <c r="I20" s="128"/>
      <c r="J20" s="128"/>
      <c r="K20" s="128"/>
      <c r="L20" s="128"/>
      <c r="M20" s="128"/>
      <c r="N20" s="129">
        <f t="shared" si="3"/>
        <v>0</v>
      </c>
    </row>
    <row r="21" spans="1:14" ht="15.75" thickBot="1">
      <c r="A21" s="136"/>
      <c r="B21" s="137" t="s">
        <v>64</v>
      </c>
      <c r="C21" s="112">
        <f>C14+C7</f>
        <v>0</v>
      </c>
      <c r="D21" s="138"/>
      <c r="E21" s="139">
        <f>E14+E7</f>
        <v>0</v>
      </c>
      <c r="F21" s="140">
        <f>F7+F14</f>
        <v>0</v>
      </c>
      <c r="G21" s="140">
        <f t="shared" ref="G21:L21" si="4">G7+G14</f>
        <v>0</v>
      </c>
      <c r="H21" s="140">
        <f t="shared" si="4"/>
        <v>0</v>
      </c>
      <c r="I21" s="140">
        <f t="shared" si="4"/>
        <v>0</v>
      </c>
      <c r="J21" s="140">
        <f t="shared" si="4"/>
        <v>0</v>
      </c>
      <c r="K21" s="140">
        <f t="shared" si="4"/>
        <v>0</v>
      </c>
      <c r="L21" s="140">
        <f t="shared" si="4"/>
        <v>0</v>
      </c>
      <c r="M21" s="140">
        <f>M7+M14</f>
        <v>0</v>
      </c>
      <c r="N21" s="141">
        <f>N14+N7</f>
        <v>0</v>
      </c>
    </row>
    <row r="22" spans="1:14">
      <c r="E22" s="142"/>
      <c r="F22" s="142"/>
      <c r="G22" s="142"/>
      <c r="H22" s="142"/>
      <c r="I22" s="142"/>
      <c r="J22" s="142"/>
      <c r="K22" s="142"/>
      <c r="L22" s="142"/>
      <c r="M22" s="142"/>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C41"/>
  <sheetViews>
    <sheetView showGridLines="0" zoomScale="90" zoomScaleNormal="90" workbookViewId="0">
      <selection activeCell="B4" sqref="B4"/>
    </sheetView>
  </sheetViews>
  <sheetFormatPr defaultRowHeight="15"/>
  <cols>
    <col min="1" max="1" width="11.42578125" customWidth="1"/>
    <col min="2" max="2" width="76.85546875" style="258" customWidth="1"/>
    <col min="3" max="3" width="22.85546875" customWidth="1"/>
  </cols>
  <sheetData>
    <row r="1" spans="1:3">
      <c r="A1" s="2" t="s">
        <v>30</v>
      </c>
      <c r="B1" s="536" t="str">
        <f>'1. key ratios '!B1</f>
        <v>JSC Isbank Georgia</v>
      </c>
    </row>
    <row r="2" spans="1:3">
      <c r="A2" s="2" t="s">
        <v>31</v>
      </c>
      <c r="B2" s="537">
        <f>'1. key ratios '!B2</f>
        <v>45657</v>
      </c>
    </row>
    <row r="3" spans="1:3">
      <c r="A3" s="4"/>
      <c r="B3"/>
    </row>
    <row r="4" spans="1:3">
      <c r="A4" s="4" t="s">
        <v>308</v>
      </c>
      <c r="B4" t="s">
        <v>309</v>
      </c>
    </row>
    <row r="5" spans="1:3">
      <c r="A5" s="259" t="s">
        <v>310</v>
      </c>
      <c r="B5" s="260"/>
      <c r="C5" s="261"/>
    </row>
    <row r="6" spans="1:3" ht="24">
      <c r="A6" s="262">
        <v>1</v>
      </c>
      <c r="B6" s="263" t="s">
        <v>357</v>
      </c>
      <c r="C6" s="264">
        <v>489946874.57204652</v>
      </c>
    </row>
    <row r="7" spans="1:3">
      <c r="A7" s="262">
        <v>2</v>
      </c>
      <c r="B7" s="263" t="s">
        <v>311</v>
      </c>
      <c r="C7" s="264">
        <v>-2727053.4502263302</v>
      </c>
    </row>
    <row r="8" spans="1:3" ht="24">
      <c r="A8" s="265">
        <v>3</v>
      </c>
      <c r="B8" s="266" t="s">
        <v>312</v>
      </c>
      <c r="C8" s="264">
        <f>C6+C7</f>
        <v>487219821.12182021</v>
      </c>
    </row>
    <row r="9" spans="1:3">
      <c r="A9" s="259" t="s">
        <v>313</v>
      </c>
      <c r="B9" s="260"/>
      <c r="C9" s="267"/>
    </row>
    <row r="10" spans="1:3" ht="24">
      <c r="A10" s="268">
        <v>4</v>
      </c>
      <c r="B10" s="269" t="s">
        <v>314</v>
      </c>
      <c r="C10" s="264"/>
    </row>
    <row r="11" spans="1:3">
      <c r="A11" s="268">
        <v>5</v>
      </c>
      <c r="B11" s="270" t="s">
        <v>315</v>
      </c>
      <c r="C11" s="264"/>
    </row>
    <row r="12" spans="1:3">
      <c r="A12" s="268" t="s">
        <v>316</v>
      </c>
      <c r="B12" s="270" t="s">
        <v>317</v>
      </c>
      <c r="C12" s="264"/>
    </row>
    <row r="13" spans="1:3" ht="24">
      <c r="A13" s="271">
        <v>6</v>
      </c>
      <c r="B13" s="269" t="s">
        <v>318</v>
      </c>
      <c r="C13" s="264"/>
    </row>
    <row r="14" spans="1:3">
      <c r="A14" s="271">
        <v>7</v>
      </c>
      <c r="B14" s="272" t="s">
        <v>319</v>
      </c>
      <c r="C14" s="264"/>
    </row>
    <row r="15" spans="1:3">
      <c r="A15" s="273">
        <v>8</v>
      </c>
      <c r="B15" s="274" t="s">
        <v>320</v>
      </c>
      <c r="C15" s="264"/>
    </row>
    <row r="16" spans="1:3">
      <c r="A16" s="271">
        <v>9</v>
      </c>
      <c r="B16" s="272" t="s">
        <v>321</v>
      </c>
      <c r="C16" s="264"/>
    </row>
    <row r="17" spans="1:3">
      <c r="A17" s="271">
        <v>10</v>
      </c>
      <c r="B17" s="272" t="s">
        <v>322</v>
      </c>
      <c r="C17" s="264"/>
    </row>
    <row r="18" spans="1:3">
      <c r="A18" s="275">
        <v>11</v>
      </c>
      <c r="B18" s="276" t="s">
        <v>323</v>
      </c>
      <c r="C18" s="277">
        <f>SUM(C10:C17)</f>
        <v>0</v>
      </c>
    </row>
    <row r="19" spans="1:3">
      <c r="A19" s="278" t="s">
        <v>324</v>
      </c>
      <c r="B19" s="279"/>
      <c r="C19" s="280"/>
    </row>
    <row r="20" spans="1:3" ht="24">
      <c r="A20" s="281">
        <v>12</v>
      </c>
      <c r="B20" s="269" t="s">
        <v>325</v>
      </c>
      <c r="C20" s="264"/>
    </row>
    <row r="21" spans="1:3">
      <c r="A21" s="281">
        <v>13</v>
      </c>
      <c r="B21" s="269" t="s">
        <v>326</v>
      </c>
      <c r="C21" s="264"/>
    </row>
    <row r="22" spans="1:3">
      <c r="A22" s="281">
        <v>14</v>
      </c>
      <c r="B22" s="269" t="s">
        <v>327</v>
      </c>
      <c r="C22" s="264"/>
    </row>
    <row r="23" spans="1:3" ht="24">
      <c r="A23" s="281" t="s">
        <v>328</v>
      </c>
      <c r="B23" s="269" t="s">
        <v>329</v>
      </c>
      <c r="C23" s="264"/>
    </row>
    <row r="24" spans="1:3">
      <c r="A24" s="281">
        <v>15</v>
      </c>
      <c r="B24" s="269" t="s">
        <v>330</v>
      </c>
      <c r="C24" s="264"/>
    </row>
    <row r="25" spans="1:3">
      <c r="A25" s="281" t="s">
        <v>331</v>
      </c>
      <c r="B25" s="269" t="s">
        <v>332</v>
      </c>
      <c r="C25" s="264"/>
    </row>
    <row r="26" spans="1:3">
      <c r="A26" s="282">
        <v>16</v>
      </c>
      <c r="B26" s="283" t="s">
        <v>333</v>
      </c>
      <c r="C26" s="277">
        <f>SUM(C20:C25)</f>
        <v>0</v>
      </c>
    </row>
    <row r="27" spans="1:3">
      <c r="A27" s="259" t="s">
        <v>334</v>
      </c>
      <c r="B27" s="260"/>
      <c r="C27" s="267"/>
    </row>
    <row r="28" spans="1:3">
      <c r="A28" s="284">
        <v>17</v>
      </c>
      <c r="B28" s="270" t="s">
        <v>335</v>
      </c>
      <c r="C28" s="264"/>
    </row>
    <row r="29" spans="1:3">
      <c r="A29" s="284">
        <v>18</v>
      </c>
      <c r="B29" s="270" t="s">
        <v>336</v>
      </c>
      <c r="C29" s="264"/>
    </row>
    <row r="30" spans="1:3">
      <c r="A30" s="282">
        <v>19</v>
      </c>
      <c r="B30" s="283" t="s">
        <v>337</v>
      </c>
      <c r="C30" s="277">
        <f>C28+C29</f>
        <v>0</v>
      </c>
    </row>
    <row r="31" spans="1:3">
      <c r="A31" s="259" t="s">
        <v>338</v>
      </c>
      <c r="B31" s="260"/>
      <c r="C31" s="267"/>
    </row>
    <row r="32" spans="1:3" ht="24">
      <c r="A32" s="284" t="s">
        <v>339</v>
      </c>
      <c r="B32" s="269" t="s">
        <v>340</v>
      </c>
      <c r="C32" s="285"/>
    </row>
    <row r="33" spans="1:3">
      <c r="A33" s="284" t="s">
        <v>341</v>
      </c>
      <c r="B33" s="270" t="s">
        <v>342</v>
      </c>
      <c r="C33" s="285"/>
    </row>
    <row r="34" spans="1:3">
      <c r="A34" s="259" t="s">
        <v>343</v>
      </c>
      <c r="B34" s="260"/>
      <c r="C34" s="267"/>
    </row>
    <row r="35" spans="1:3">
      <c r="A35" s="286">
        <v>20</v>
      </c>
      <c r="B35" s="287" t="s">
        <v>344</v>
      </c>
      <c r="C35" s="277">
        <f>'9.Capital'!C29</f>
        <v>143298736.73131147</v>
      </c>
    </row>
    <row r="36" spans="1:3">
      <c r="A36" s="282">
        <v>21</v>
      </c>
      <c r="B36" s="283" t="s">
        <v>345</v>
      </c>
      <c r="C36" s="277">
        <f>C8+C18+C26+C30</f>
        <v>487219821.12182021</v>
      </c>
    </row>
    <row r="37" spans="1:3">
      <c r="A37" s="259" t="s">
        <v>346</v>
      </c>
      <c r="B37" s="260"/>
      <c r="C37" s="267"/>
    </row>
    <row r="38" spans="1:3">
      <c r="A38" s="282">
        <v>22</v>
      </c>
      <c r="B38" s="283" t="s">
        <v>346</v>
      </c>
      <c r="C38" s="711">
        <f t="shared" ref="C38" si="0">C35/C36</f>
        <v>0.29411516223081224</v>
      </c>
    </row>
    <row r="39" spans="1:3">
      <c r="A39" s="259" t="s">
        <v>347</v>
      </c>
      <c r="B39" s="260"/>
      <c r="C39" s="267"/>
    </row>
    <row r="40" spans="1:3">
      <c r="A40" s="288" t="s">
        <v>348</v>
      </c>
      <c r="B40" s="269" t="s">
        <v>349</v>
      </c>
      <c r="C40" s="285"/>
    </row>
    <row r="41" spans="1:3" ht="24">
      <c r="A41" s="289" t="s">
        <v>350</v>
      </c>
      <c r="B41" s="263" t="s">
        <v>351</v>
      </c>
      <c r="C41" s="28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42"/>
  <sheetViews>
    <sheetView showGridLines="0" zoomScale="110" zoomScaleNormal="110" workbookViewId="0">
      <pane xSplit="2" ySplit="6" topLeftCell="C7" activePane="bottomRight" state="frozen"/>
      <selection pane="topRight" activeCell="C1" sqref="C1"/>
      <selection pane="bottomLeft" activeCell="A6" sqref="A6"/>
      <selection pane="bottomRight" activeCell="B4" sqref="B4"/>
    </sheetView>
  </sheetViews>
  <sheetFormatPr defaultRowHeight="15"/>
  <cols>
    <col min="1" max="1" width="8.7109375" style="192"/>
    <col min="2" max="2" width="82.5703125" style="325" customWidth="1"/>
    <col min="3" max="4" width="12" style="192" bestFit="1" customWidth="1"/>
    <col min="5" max="5" width="13.7109375" style="192" bestFit="1" customWidth="1"/>
    <col min="6" max="6" width="12" style="192" bestFit="1" customWidth="1"/>
    <col min="7" max="7" width="13.140625" style="192" bestFit="1" customWidth="1"/>
  </cols>
  <sheetData>
    <row r="1" spans="1:7">
      <c r="A1" s="712" t="s">
        <v>30</v>
      </c>
      <c r="B1" s="536" t="str">
        <f>'1. key ratios '!B1</f>
        <v>JSC Isbank Georgia</v>
      </c>
    </row>
    <row r="2" spans="1:7">
      <c r="A2" s="712" t="s">
        <v>31</v>
      </c>
      <c r="B2" s="537">
        <f>'1. key ratios '!B2</f>
        <v>45657</v>
      </c>
    </row>
    <row r="4" spans="1:7" ht="15.75" thickBot="1">
      <c r="A4" s="192" t="s">
        <v>407</v>
      </c>
      <c r="B4" s="326" t="s">
        <v>368</v>
      </c>
    </row>
    <row r="5" spans="1:7">
      <c r="A5" s="327"/>
      <c r="B5" s="328"/>
      <c r="C5" s="854" t="s">
        <v>369</v>
      </c>
      <c r="D5" s="854"/>
      <c r="E5" s="854"/>
      <c r="F5" s="854"/>
      <c r="G5" s="855" t="s">
        <v>370</v>
      </c>
    </row>
    <row r="6" spans="1:7">
      <c r="A6" s="329"/>
      <c r="B6" s="330"/>
      <c r="C6" s="331" t="s">
        <v>371</v>
      </c>
      <c r="D6" s="332" t="s">
        <v>372</v>
      </c>
      <c r="E6" s="332" t="s">
        <v>373</v>
      </c>
      <c r="F6" s="332" t="s">
        <v>374</v>
      </c>
      <c r="G6" s="856"/>
    </row>
    <row r="7" spans="1:7">
      <c r="A7" s="333"/>
      <c r="B7" s="334" t="s">
        <v>375</v>
      </c>
      <c r="C7" s="335"/>
      <c r="D7" s="335"/>
      <c r="E7" s="335"/>
      <c r="F7" s="335"/>
      <c r="G7" s="336"/>
    </row>
    <row r="8" spans="1:7">
      <c r="A8" s="337">
        <v>1</v>
      </c>
      <c r="B8" s="338" t="s">
        <v>376</v>
      </c>
      <c r="C8" s="713">
        <f>SUM(C9:C10)</f>
        <v>143298736.73131147</v>
      </c>
      <c r="D8" s="713">
        <f>SUM(D9:D10)</f>
        <v>0</v>
      </c>
      <c r="E8" s="713">
        <f>SUM(E9:E10)</f>
        <v>0</v>
      </c>
      <c r="F8" s="713">
        <f>SUM(F9:F10)</f>
        <v>70536309.523388967</v>
      </c>
      <c r="G8" s="714">
        <f>SUM(G9:G10)</f>
        <v>213835046.25470042</v>
      </c>
    </row>
    <row r="9" spans="1:7">
      <c r="A9" s="337">
        <v>2</v>
      </c>
      <c r="B9" s="341" t="s">
        <v>377</v>
      </c>
      <c r="C9" s="339">
        <v>143298736.73131147</v>
      </c>
      <c r="D9" s="339"/>
      <c r="E9" s="339"/>
      <c r="F9" s="339"/>
      <c r="G9" s="340">
        <v>143298736.73131147</v>
      </c>
    </row>
    <row r="10" spans="1:7">
      <c r="A10" s="337">
        <v>3</v>
      </c>
      <c r="B10" s="341" t="s">
        <v>378</v>
      </c>
      <c r="C10" s="342"/>
      <c r="D10" s="342"/>
      <c r="E10" s="342"/>
      <c r="F10" s="339">
        <v>70536309.523388967</v>
      </c>
      <c r="G10" s="340">
        <v>70536309.523388967</v>
      </c>
    </row>
    <row r="11" spans="1:7" ht="14.45" customHeight="1">
      <c r="A11" s="337">
        <v>4</v>
      </c>
      <c r="B11" s="338" t="s">
        <v>379</v>
      </c>
      <c r="C11" s="713">
        <f t="shared" ref="C11:F11" si="0">SUM(C12:C13)</f>
        <v>3660823.783533562</v>
      </c>
      <c r="D11" s="713">
        <f t="shared" si="0"/>
        <v>12358087.863609798</v>
      </c>
      <c r="E11" s="713">
        <f t="shared" si="0"/>
        <v>2381194.1196504207</v>
      </c>
      <c r="F11" s="713">
        <f t="shared" si="0"/>
        <v>102826.12832232</v>
      </c>
      <c r="G11" s="714">
        <f>SUM(G12:G13)</f>
        <v>14784139.683599092</v>
      </c>
    </row>
    <row r="12" spans="1:7">
      <c r="A12" s="337">
        <v>5</v>
      </c>
      <c r="B12" s="341" t="s">
        <v>380</v>
      </c>
      <c r="C12" s="339">
        <v>2874393.9717055615</v>
      </c>
      <c r="D12" s="343">
        <v>6936416.3048573593</v>
      </c>
      <c r="E12" s="339">
        <v>2381194.1196504207</v>
      </c>
      <c r="F12" s="339">
        <v>102826.12832232</v>
      </c>
      <c r="G12" s="340">
        <v>11680088.998308873</v>
      </c>
    </row>
    <row r="13" spans="1:7">
      <c r="A13" s="337">
        <v>6</v>
      </c>
      <c r="B13" s="341" t="s">
        <v>381</v>
      </c>
      <c r="C13" s="339">
        <v>786429.81182800035</v>
      </c>
      <c r="D13" s="343">
        <v>5421671.5587524399</v>
      </c>
      <c r="E13" s="339">
        <v>0</v>
      </c>
      <c r="F13" s="339">
        <v>0</v>
      </c>
      <c r="G13" s="340">
        <v>3104050.6852902202</v>
      </c>
    </row>
    <row r="14" spans="1:7">
      <c r="A14" s="337">
        <v>7</v>
      </c>
      <c r="B14" s="338" t="s">
        <v>382</v>
      </c>
      <c r="C14" s="713">
        <f t="shared" ref="C14:F14" si="1">SUM(C15:C16)</f>
        <v>54455768.284517691</v>
      </c>
      <c r="D14" s="713">
        <f t="shared" si="1"/>
        <v>160609565.15963614</v>
      </c>
      <c r="E14" s="713">
        <f t="shared" si="1"/>
        <v>22896052.010632962</v>
      </c>
      <c r="F14" s="713">
        <f t="shared" si="1"/>
        <v>301898.63540000003</v>
      </c>
      <c r="G14" s="714">
        <f>SUM(G15:G16)</f>
        <v>44652532.95464091</v>
      </c>
    </row>
    <row r="15" spans="1:7" ht="39">
      <c r="A15" s="337">
        <v>8</v>
      </c>
      <c r="B15" s="341" t="s">
        <v>383</v>
      </c>
      <c r="C15" s="339">
        <v>46188755.97584457</v>
      </c>
      <c r="D15" s="343">
        <v>19918359.28740428</v>
      </c>
      <c r="E15" s="339">
        <v>10623563.2662539</v>
      </c>
      <c r="F15" s="339">
        <v>301898.63540000003</v>
      </c>
      <c r="G15" s="340">
        <v>38516288.582451381</v>
      </c>
    </row>
    <row r="16" spans="1:7" ht="26.25">
      <c r="A16" s="337">
        <v>9</v>
      </c>
      <c r="B16" s="341" t="s">
        <v>384</v>
      </c>
      <c r="C16" s="339">
        <v>8267012.3086731192</v>
      </c>
      <c r="D16" s="343">
        <v>140691205.87223187</v>
      </c>
      <c r="E16" s="339">
        <v>12272488.744379062</v>
      </c>
      <c r="F16" s="339">
        <v>0</v>
      </c>
      <c r="G16" s="340">
        <v>6136244.3721895311</v>
      </c>
    </row>
    <row r="17" spans="1:7">
      <c r="A17" s="337">
        <v>10</v>
      </c>
      <c r="B17" s="338" t="s">
        <v>385</v>
      </c>
      <c r="C17" s="339"/>
      <c r="D17" s="343"/>
      <c r="E17" s="339"/>
      <c r="F17" s="339"/>
      <c r="G17" s="340">
        <v>0</v>
      </c>
    </row>
    <row r="18" spans="1:7">
      <c r="A18" s="337">
        <v>11</v>
      </c>
      <c r="B18" s="338" t="s">
        <v>386</v>
      </c>
      <c r="C18" s="713">
        <f>SUM(C19:C20)</f>
        <v>16618558.881816862</v>
      </c>
      <c r="D18" s="715">
        <f t="shared" ref="D18:G18" si="2">SUM(D19:D20)</f>
        <v>0</v>
      </c>
      <c r="E18" s="713">
        <f t="shared" si="2"/>
        <v>0</v>
      </c>
      <c r="F18" s="713">
        <f t="shared" si="2"/>
        <v>0</v>
      </c>
      <c r="G18" s="714">
        <f t="shared" si="2"/>
        <v>0</v>
      </c>
    </row>
    <row r="19" spans="1:7">
      <c r="A19" s="337">
        <v>12</v>
      </c>
      <c r="B19" s="341" t="s">
        <v>387</v>
      </c>
      <c r="C19" s="342"/>
      <c r="D19" s="343"/>
      <c r="E19" s="339"/>
      <c r="F19" s="339"/>
      <c r="G19" s="340"/>
    </row>
    <row r="20" spans="1:7">
      <c r="A20" s="337">
        <v>13</v>
      </c>
      <c r="B20" s="341" t="s">
        <v>388</v>
      </c>
      <c r="C20" s="339">
        <v>16618558.881816862</v>
      </c>
      <c r="D20" s="339"/>
      <c r="E20" s="339"/>
      <c r="F20" s="339"/>
      <c r="G20" s="340"/>
    </row>
    <row r="21" spans="1:7">
      <c r="A21" s="344">
        <v>14</v>
      </c>
      <c r="B21" s="345" t="s">
        <v>389</v>
      </c>
      <c r="C21" s="342"/>
      <c r="D21" s="342"/>
      <c r="E21" s="342"/>
      <c r="F21" s="342"/>
      <c r="G21" s="346">
        <f>SUM(G8,G11,G14,G17,G18)</f>
        <v>273271718.8929404</v>
      </c>
    </row>
    <row r="22" spans="1:7">
      <c r="A22" s="347"/>
      <c r="B22" s="348" t="s">
        <v>390</v>
      </c>
      <c r="C22" s="349"/>
      <c r="D22" s="350"/>
      <c r="E22" s="349"/>
      <c r="F22" s="349"/>
      <c r="G22" s="351"/>
    </row>
    <row r="23" spans="1:7">
      <c r="A23" s="337">
        <v>15</v>
      </c>
      <c r="B23" s="338" t="s">
        <v>391</v>
      </c>
      <c r="C23" s="352">
        <v>99942450.324614897</v>
      </c>
      <c r="D23" s="353">
        <v>0</v>
      </c>
      <c r="E23" s="352">
        <v>0</v>
      </c>
      <c r="F23" s="352">
        <v>0</v>
      </c>
      <c r="G23" s="340">
        <v>2574979.8113854979</v>
      </c>
    </row>
    <row r="24" spans="1:7">
      <c r="A24" s="337">
        <v>16</v>
      </c>
      <c r="B24" s="338" t="s">
        <v>392</v>
      </c>
      <c r="C24" s="713">
        <f>SUM(C25:C27,C29,C31)</f>
        <v>110112.80586334427</v>
      </c>
      <c r="D24" s="715">
        <f t="shared" ref="D24:G24" si="3">SUM(D25:D27,D29,D31)</f>
        <v>167299910.71235657</v>
      </c>
      <c r="E24" s="713">
        <f t="shared" si="3"/>
        <v>81058911.139316529</v>
      </c>
      <c r="F24" s="713">
        <f t="shared" si="3"/>
        <v>114184246.89260939</v>
      </c>
      <c r="G24" s="714">
        <f t="shared" si="3"/>
        <v>215098565.31496856</v>
      </c>
    </row>
    <row r="25" spans="1:7">
      <c r="A25" s="337">
        <v>17</v>
      </c>
      <c r="B25" s="341" t="s">
        <v>393</v>
      </c>
      <c r="C25" s="339"/>
      <c r="D25" s="343"/>
      <c r="E25" s="339"/>
      <c r="F25" s="339"/>
      <c r="G25" s="340"/>
    </row>
    <row r="26" spans="1:7" ht="26.25">
      <c r="A26" s="337">
        <v>18</v>
      </c>
      <c r="B26" s="341" t="s">
        <v>394</v>
      </c>
      <c r="C26" s="339">
        <v>110112.80586334427</v>
      </c>
      <c r="D26" s="343">
        <v>24773292.245248821</v>
      </c>
      <c r="E26" s="339">
        <v>296917.94897999999</v>
      </c>
      <c r="F26" s="339">
        <v>0</v>
      </c>
      <c r="G26" s="340">
        <v>3880969.7321568248</v>
      </c>
    </row>
    <row r="27" spans="1:7">
      <c r="A27" s="337">
        <v>19</v>
      </c>
      <c r="B27" s="341" t="s">
        <v>395</v>
      </c>
      <c r="C27" s="339">
        <v>0</v>
      </c>
      <c r="D27" s="343">
        <v>142398346.42691156</v>
      </c>
      <c r="E27" s="339">
        <v>80531501.121252522</v>
      </c>
      <c r="F27" s="339">
        <v>69773048.607177556</v>
      </c>
      <c r="G27" s="340">
        <v>173231471.57105461</v>
      </c>
    </row>
    <row r="28" spans="1:7">
      <c r="A28" s="337">
        <v>20</v>
      </c>
      <c r="B28" s="354" t="s">
        <v>396</v>
      </c>
      <c r="C28" s="339"/>
      <c r="D28" s="343"/>
      <c r="E28" s="339"/>
      <c r="F28" s="339"/>
      <c r="G28" s="340"/>
    </row>
    <row r="29" spans="1:7">
      <c r="A29" s="337">
        <v>21</v>
      </c>
      <c r="B29" s="341" t="s">
        <v>397</v>
      </c>
      <c r="C29" s="339">
        <v>0</v>
      </c>
      <c r="D29" s="343">
        <v>128272.04019618174</v>
      </c>
      <c r="E29" s="339">
        <v>230492.0690840001</v>
      </c>
      <c r="F29" s="339">
        <v>1684242.0104719966</v>
      </c>
      <c r="G29" s="340">
        <v>1668211.1780412886</v>
      </c>
    </row>
    <row r="30" spans="1:7">
      <c r="A30" s="337">
        <v>22</v>
      </c>
      <c r="B30" s="354" t="s">
        <v>396</v>
      </c>
      <c r="C30" s="339"/>
      <c r="D30" s="343"/>
      <c r="E30" s="339"/>
      <c r="F30" s="339"/>
      <c r="G30" s="340"/>
    </row>
    <row r="31" spans="1:7">
      <c r="A31" s="337">
        <v>23</v>
      </c>
      <c r="B31" s="341" t="s">
        <v>398</v>
      </c>
      <c r="C31" s="339"/>
      <c r="D31" s="343"/>
      <c r="E31" s="339"/>
      <c r="F31" s="339">
        <v>42726956.274959832</v>
      </c>
      <c r="G31" s="340">
        <v>36317912.833715856</v>
      </c>
    </row>
    <row r="32" spans="1:7">
      <c r="A32" s="337">
        <v>24</v>
      </c>
      <c r="B32" s="338" t="s">
        <v>399</v>
      </c>
      <c r="C32" s="339">
        <v>0</v>
      </c>
      <c r="D32" s="343"/>
      <c r="E32" s="339"/>
      <c r="F32" s="339"/>
      <c r="G32" s="340">
        <v>0</v>
      </c>
    </row>
    <row r="33" spans="1:7">
      <c r="A33" s="337">
        <v>25</v>
      </c>
      <c r="B33" s="338" t="s">
        <v>400</v>
      </c>
      <c r="C33" s="713">
        <f>SUM(C34:C35)</f>
        <v>19407776.267907999</v>
      </c>
      <c r="D33" s="713">
        <f>SUM(D34:D35)</f>
        <v>1550000</v>
      </c>
      <c r="E33" s="713">
        <f>SUM(E34:E35)</f>
        <v>0</v>
      </c>
      <c r="F33" s="713">
        <f>SUM(F34:F35)</f>
        <v>416010.09522048122</v>
      </c>
      <c r="G33" s="714">
        <f>SUM(G34:G35)</f>
        <v>19823786.363128483</v>
      </c>
    </row>
    <row r="34" spans="1:7">
      <c r="A34" s="337">
        <v>26</v>
      </c>
      <c r="B34" s="341" t="s">
        <v>401</v>
      </c>
      <c r="C34" s="342"/>
      <c r="D34" s="343"/>
      <c r="E34" s="339"/>
      <c r="F34" s="339"/>
      <c r="G34" s="340"/>
    </row>
    <row r="35" spans="1:7">
      <c r="A35" s="337">
        <v>27</v>
      </c>
      <c r="B35" s="341" t="s">
        <v>402</v>
      </c>
      <c r="C35" s="339">
        <v>19407776.267907999</v>
      </c>
      <c r="D35" s="343">
        <v>1550000</v>
      </c>
      <c r="E35" s="339">
        <v>0</v>
      </c>
      <c r="F35" s="339">
        <v>416010.09522048122</v>
      </c>
      <c r="G35" s="340">
        <v>19823786.363128483</v>
      </c>
    </row>
    <row r="36" spans="1:7">
      <c r="A36" s="337">
        <v>28</v>
      </c>
      <c r="B36" s="338" t="s">
        <v>403</v>
      </c>
      <c r="C36" s="339">
        <v>1063.3269508617711</v>
      </c>
      <c r="D36" s="343">
        <v>39935263.643331915</v>
      </c>
      <c r="E36" s="339">
        <v>29651373.093465436</v>
      </c>
      <c r="F36" s="339">
        <v>90178020.144518092</v>
      </c>
      <c r="G36" s="340">
        <v>20485473.028052539</v>
      </c>
    </row>
    <row r="37" spans="1:7">
      <c r="A37" s="344">
        <v>29</v>
      </c>
      <c r="B37" s="345" t="s">
        <v>404</v>
      </c>
      <c r="C37" s="342"/>
      <c r="D37" s="342"/>
      <c r="E37" s="342"/>
      <c r="F37" s="342"/>
      <c r="G37" s="346">
        <f>SUM(G23:G24,G32:G33,G36)</f>
        <v>257982804.51753509</v>
      </c>
    </row>
    <row r="38" spans="1:7">
      <c r="A38" s="333"/>
      <c r="B38" s="355"/>
      <c r="C38" s="356"/>
      <c r="D38" s="356"/>
      <c r="E38" s="356"/>
      <c r="F38" s="356"/>
      <c r="G38" s="357"/>
    </row>
    <row r="39" spans="1:7" ht="15.75" thickBot="1">
      <c r="A39" s="358">
        <v>30</v>
      </c>
      <c r="B39" s="359" t="s">
        <v>405</v>
      </c>
      <c r="C39" s="230"/>
      <c r="D39" s="231"/>
      <c r="E39" s="231"/>
      <c r="F39" s="232"/>
      <c r="G39" s="360">
        <f>IFERROR(G21/G37,0)</f>
        <v>1.0592633078937093</v>
      </c>
    </row>
    <row r="42" spans="1:7" ht="39">
      <c r="B42" s="325" t="s">
        <v>406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53"/>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3" bestFit="1" customWidth="1"/>
    <col min="2" max="2" width="86" style="3" customWidth="1"/>
    <col min="3" max="3" width="12.7109375" style="3" customWidth="1"/>
    <col min="4" max="7" width="12.7109375" style="4" customWidth="1"/>
    <col min="8" max="9" width="6.7109375" style="5" customWidth="1"/>
    <col min="10" max="16384" width="9.140625" style="5"/>
  </cols>
  <sheetData>
    <row r="1" spans="1:8">
      <c r="A1" s="2" t="s">
        <v>30</v>
      </c>
      <c r="B1" s="536" t="s">
        <v>706</v>
      </c>
    </row>
    <row r="2" spans="1:8">
      <c r="A2" s="2" t="s">
        <v>31</v>
      </c>
      <c r="B2" s="537">
        <v>45657</v>
      </c>
      <c r="C2" s="6"/>
      <c r="D2" s="7"/>
      <c r="E2" s="7"/>
      <c r="F2" s="7"/>
      <c r="G2" s="7"/>
      <c r="H2" s="8"/>
    </row>
    <row r="3" spans="1:8" ht="15" thickBot="1">
      <c r="A3" s="2"/>
      <c r="B3" s="6"/>
      <c r="C3" s="6"/>
      <c r="D3" s="7"/>
      <c r="E3" s="7"/>
      <c r="F3" s="7"/>
      <c r="G3" s="7"/>
      <c r="H3" s="8"/>
    </row>
    <row r="4" spans="1:8" ht="15" customHeight="1" thickBot="1">
      <c r="A4" s="9" t="s">
        <v>93</v>
      </c>
      <c r="B4" s="10" t="s">
        <v>92</v>
      </c>
      <c r="C4" s="10"/>
      <c r="D4" s="793" t="s">
        <v>695</v>
      </c>
      <c r="E4" s="794"/>
      <c r="F4" s="794"/>
      <c r="G4" s="795"/>
      <c r="H4" s="8"/>
    </row>
    <row r="5" spans="1:8">
      <c r="A5" s="11" t="s">
        <v>6</v>
      </c>
      <c r="B5" s="12"/>
      <c r="C5" s="538" t="str">
        <f>INT((MONTH($B$2))/3)&amp;"Q"&amp;"-"&amp;YEAR($B$2)</f>
        <v>4Q-2024</v>
      </c>
      <c r="D5" s="533" t="str">
        <f>IF(INT(MONTH($B$2))=3, "4"&amp;"Q"&amp;"-"&amp;YEAR($B$2)-1, IF(INT(MONTH($B$2))=6, "1"&amp;"Q"&amp;"-"&amp;YEAR($B$2), IF(INT(MONTH($B$2))=9, "2"&amp;"Q"&amp;"-"&amp;YEAR($B$2),IF(INT(MONTH($B$2))=12, "3"&amp;"Q"&amp;"-"&amp;YEAR($B$2), 0))))</f>
        <v>3Q-2024</v>
      </c>
      <c r="E5" s="316" t="str">
        <f>IF(INT(MONTH($B$2))=3, "3"&amp;"Q"&amp;"-"&amp;YEAR($B$2)-1, IF(INT(MONTH($B$2))=6, "4"&amp;"Q"&amp;"-"&amp;YEAR($B$2)-1, IF(INT(MONTH($B$2))=9, "1"&amp;"Q"&amp;"-"&amp;YEAR($B$2),IF(INT(MONTH($B$2))=12, "2"&amp;"Q"&amp;"-"&amp;YEAR($B$2), 0))))</f>
        <v>2Q-2024</v>
      </c>
      <c r="F5" s="316" t="str">
        <f>IF(INT(MONTH($B$2))=3, "2"&amp;"Q"&amp;"-"&amp;YEAR($B$2)-1, IF(INT(MONTH($B$2))=6, "3"&amp;"Q"&amp;"-"&amp;YEAR($B$2)-1, IF(INT(MONTH($B$2))=9, "4"&amp;"Q"&amp;"-"&amp;YEAR($B$2)-1,IF(INT(MONTH($B$2))=12, "1"&amp;"Q"&amp;"-"&amp;YEAR($B$2), 0))))</f>
        <v>1Q-2024</v>
      </c>
      <c r="G5" s="317" t="str">
        <f>IF(INT(MONTH($B$2))=3, "1"&amp;"Q"&amp;"-"&amp;YEAR($B$2)-1, IF(INT(MONTH($B$2))=6, "2"&amp;"Q"&amp;"-"&amp;YEAR($B$2)-1, IF(INT(MONTH($B$2))=9, "3"&amp;"Q"&amp;"-"&amp;YEAR($B$2)-1,IF(INT(MONTH($B$2))=12, "4"&amp;"Q"&amp;"-"&amp;YEAR($B$2)-1, 0))))</f>
        <v>4Q-2023</v>
      </c>
    </row>
    <row r="6" spans="1:8">
      <c r="B6" s="148" t="s">
        <v>91</v>
      </c>
      <c r="C6" s="319"/>
      <c r="D6" s="534"/>
      <c r="E6" s="319"/>
      <c r="F6" s="319"/>
      <c r="G6" s="320"/>
    </row>
    <row r="7" spans="1:8">
      <c r="A7" s="13"/>
      <c r="B7" s="149" t="s">
        <v>89</v>
      </c>
      <c r="C7" s="319"/>
      <c r="D7" s="534"/>
      <c r="E7" s="319"/>
      <c r="F7" s="319"/>
      <c r="G7" s="320"/>
    </row>
    <row r="8" spans="1:8">
      <c r="A8" s="321">
        <v>1</v>
      </c>
      <c r="B8" s="14" t="s">
        <v>358</v>
      </c>
      <c r="C8" s="539">
        <v>143298736.73131147</v>
      </c>
      <c r="D8" s="751">
        <v>145613172.45355761</v>
      </c>
      <c r="E8" s="539">
        <v>142489102.38954175</v>
      </c>
      <c r="F8" s="539">
        <v>138164000.08336854</v>
      </c>
      <c r="G8" s="766">
        <v>133880861.71003304</v>
      </c>
    </row>
    <row r="9" spans="1:8">
      <c r="A9" s="321">
        <v>2</v>
      </c>
      <c r="B9" s="14" t="s">
        <v>359</v>
      </c>
      <c r="C9" s="539">
        <v>143298736.73131147</v>
      </c>
      <c r="D9" s="751">
        <v>145613172.45355761</v>
      </c>
      <c r="E9" s="539">
        <v>142489102.38954175</v>
      </c>
      <c r="F9" s="539">
        <v>138164000.08336854</v>
      </c>
      <c r="G9" s="766">
        <v>133880861.71003304</v>
      </c>
    </row>
    <row r="10" spans="1:8">
      <c r="A10" s="321">
        <v>3</v>
      </c>
      <c r="B10" s="14" t="s">
        <v>142</v>
      </c>
      <c r="C10" s="539">
        <v>143298736.73131147</v>
      </c>
      <c r="D10" s="751">
        <v>145613172.45355761</v>
      </c>
      <c r="E10" s="539">
        <v>142489102.38954175</v>
      </c>
      <c r="F10" s="539">
        <v>138164000.08336854</v>
      </c>
      <c r="G10" s="766">
        <v>133880861.71003304</v>
      </c>
    </row>
    <row r="11" spans="1:8">
      <c r="A11" s="321">
        <v>4</v>
      </c>
      <c r="B11" s="14" t="s">
        <v>361</v>
      </c>
      <c r="C11" s="539">
        <v>80174847.553948268</v>
      </c>
      <c r="D11" s="751">
        <v>72576771.826893002</v>
      </c>
      <c r="E11" s="539">
        <v>73092331.903310865</v>
      </c>
      <c r="F11" s="539">
        <v>75250684.796249926</v>
      </c>
      <c r="G11" s="766">
        <v>68227082.957222536</v>
      </c>
    </row>
    <row r="12" spans="1:8">
      <c r="A12" s="321">
        <v>5</v>
      </c>
      <c r="B12" s="14" t="s">
        <v>362</v>
      </c>
      <c r="C12" s="539">
        <v>99474703.452582493</v>
      </c>
      <c r="D12" s="751">
        <v>90231127.749883309</v>
      </c>
      <c r="E12" s="539">
        <v>90897074.234918222</v>
      </c>
      <c r="F12" s="539">
        <v>93776070.572898179</v>
      </c>
      <c r="G12" s="766">
        <v>84997081.306083396</v>
      </c>
    </row>
    <row r="13" spans="1:8">
      <c r="A13" s="321">
        <v>6</v>
      </c>
      <c r="B13" s="14" t="s">
        <v>360</v>
      </c>
      <c r="C13" s="539">
        <v>125017250.44561318</v>
      </c>
      <c r="D13" s="751">
        <v>113592816.13988496</v>
      </c>
      <c r="E13" s="539">
        <v>114457375.46372096</v>
      </c>
      <c r="F13" s="539">
        <v>118287421.4772229</v>
      </c>
      <c r="G13" s="766">
        <v>107196802.76235783</v>
      </c>
    </row>
    <row r="14" spans="1:8">
      <c r="A14" s="13"/>
      <c r="B14" s="148" t="s">
        <v>364</v>
      </c>
      <c r="C14" s="319"/>
      <c r="D14" s="534"/>
      <c r="E14" s="765"/>
      <c r="F14" s="765"/>
      <c r="G14" s="767"/>
    </row>
    <row r="15" spans="1:8" ht="15" customHeight="1">
      <c r="A15" s="321">
        <v>7</v>
      </c>
      <c r="B15" s="14" t="s">
        <v>363</v>
      </c>
      <c r="C15" s="540">
        <v>562399080.34536076</v>
      </c>
      <c r="D15" s="752">
        <v>502636267.05464017</v>
      </c>
      <c r="E15" s="540">
        <v>505433011.41373754</v>
      </c>
      <c r="F15" s="540">
        <v>516204553.19280314</v>
      </c>
      <c r="G15" s="768">
        <v>508949789.538535</v>
      </c>
    </row>
    <row r="16" spans="1:8">
      <c r="A16" s="13"/>
      <c r="B16" s="148" t="s">
        <v>365</v>
      </c>
      <c r="C16" s="319"/>
      <c r="D16" s="534"/>
      <c r="E16" s="765"/>
      <c r="F16" s="765"/>
      <c r="G16" s="767"/>
    </row>
    <row r="17" spans="1:7" s="15" customFormat="1">
      <c r="A17" s="321"/>
      <c r="B17" s="149" t="s">
        <v>354</v>
      </c>
      <c r="C17" s="541"/>
      <c r="D17" s="753"/>
      <c r="E17" s="541"/>
      <c r="F17" s="541"/>
      <c r="G17" s="769"/>
    </row>
    <row r="18" spans="1:7">
      <c r="A18" s="11">
        <v>8</v>
      </c>
      <c r="B18" s="14" t="s">
        <v>358</v>
      </c>
      <c r="C18" s="542">
        <v>0.254799023930327</v>
      </c>
      <c r="D18" s="754">
        <v>0.28969889758816075</v>
      </c>
      <c r="E18" s="542">
        <v>0.28191491092160376</v>
      </c>
      <c r="F18" s="542">
        <v>0.26305318218408713</v>
      </c>
      <c r="G18" s="770">
        <v>0.26305318218408713</v>
      </c>
    </row>
    <row r="19" spans="1:7" ht="15" customHeight="1">
      <c r="A19" s="11">
        <v>9</v>
      </c>
      <c r="B19" s="14" t="s">
        <v>359</v>
      </c>
      <c r="C19" s="542">
        <v>0.254799023930327</v>
      </c>
      <c r="D19" s="754">
        <v>0.28969889758816075</v>
      </c>
      <c r="E19" s="542">
        <v>0.28191491092160376</v>
      </c>
      <c r="F19" s="542">
        <v>0.26305318218408713</v>
      </c>
      <c r="G19" s="770">
        <v>0.26305318218408713</v>
      </c>
    </row>
    <row r="20" spans="1:7">
      <c r="A20" s="11">
        <v>10</v>
      </c>
      <c r="B20" s="14" t="s">
        <v>142</v>
      </c>
      <c r="C20" s="542">
        <v>0.254799023930327</v>
      </c>
      <c r="D20" s="754">
        <v>0.28969889758816075</v>
      </c>
      <c r="E20" s="542">
        <v>0.28191491092160376</v>
      </c>
      <c r="F20" s="542">
        <v>0.26305318218408713</v>
      </c>
      <c r="G20" s="770">
        <v>0.26305318218408713</v>
      </c>
    </row>
    <row r="21" spans="1:7">
      <c r="A21" s="11">
        <v>11</v>
      </c>
      <c r="B21" s="14" t="s">
        <v>361</v>
      </c>
      <c r="C21" s="542">
        <v>0.14255863915124845</v>
      </c>
      <c r="D21" s="754">
        <v>0.14439223069234552</v>
      </c>
      <c r="E21" s="542">
        <v>0.14461329246949189</v>
      </c>
      <c r="F21" s="542">
        <v>0.13405464420976393</v>
      </c>
      <c r="G21" s="770">
        <v>0.13405464420976393</v>
      </c>
    </row>
    <row r="22" spans="1:7">
      <c r="A22" s="11">
        <v>12</v>
      </c>
      <c r="B22" s="14" t="s">
        <v>362</v>
      </c>
      <c r="C22" s="542">
        <v>0.1768756509905681</v>
      </c>
      <c r="D22" s="754">
        <v>0.17951575257118194</v>
      </c>
      <c r="E22" s="542">
        <v>0.17984000289310675</v>
      </c>
      <c r="F22" s="542">
        <v>0.16700484616203554</v>
      </c>
      <c r="G22" s="770">
        <v>0.16700484616203554</v>
      </c>
    </row>
    <row r="23" spans="1:7">
      <c r="A23" s="11">
        <v>13</v>
      </c>
      <c r="B23" s="14" t="s">
        <v>360</v>
      </c>
      <c r="C23" s="542">
        <v>0.2222927718317782</v>
      </c>
      <c r="D23" s="754">
        <v>0.22599407083280881</v>
      </c>
      <c r="E23" s="542">
        <v>0.22645409555575785</v>
      </c>
      <c r="F23" s="542">
        <v>0.21062353294134029</v>
      </c>
      <c r="G23" s="770">
        <v>0.21062353294134029</v>
      </c>
    </row>
    <row r="24" spans="1:7">
      <c r="A24" s="13"/>
      <c r="B24" s="148" t="s">
        <v>88</v>
      </c>
      <c r="C24" s="319"/>
      <c r="D24" s="534"/>
      <c r="E24" s="765"/>
      <c r="F24" s="765"/>
      <c r="G24" s="767"/>
    </row>
    <row r="25" spans="1:7" ht="15" customHeight="1">
      <c r="A25" s="322">
        <v>14</v>
      </c>
      <c r="B25" s="14" t="s">
        <v>87</v>
      </c>
      <c r="C25" s="547">
        <v>8.3417388466189735E-2</v>
      </c>
      <c r="D25" s="755">
        <v>8.4789189924524139E-2</v>
      </c>
      <c r="E25" s="547">
        <v>8.7507722907627608E-2</v>
      </c>
      <c r="F25" s="547">
        <v>8.5663643741226134E-2</v>
      </c>
      <c r="G25" s="771">
        <v>8.7188051493134397E-2</v>
      </c>
    </row>
    <row r="26" spans="1:7">
      <c r="A26" s="322">
        <v>15</v>
      </c>
      <c r="B26" s="14" t="s">
        <v>86</v>
      </c>
      <c r="C26" s="547">
        <v>3.5193573582668738E-2</v>
      </c>
      <c r="D26" s="755">
        <v>3.3957957690789034E-2</v>
      </c>
      <c r="E26" s="547">
        <v>3.3629985482862258E-2</v>
      </c>
      <c r="F26" s="547">
        <v>3.2055734254347039E-2</v>
      </c>
      <c r="G26" s="771">
        <v>2.7337710168309746E-2</v>
      </c>
    </row>
    <row r="27" spans="1:7">
      <c r="A27" s="322">
        <v>16</v>
      </c>
      <c r="B27" s="14" t="s">
        <v>85</v>
      </c>
      <c r="C27" s="547">
        <v>5.6080773530188602E-2</v>
      </c>
      <c r="D27" s="755">
        <v>6.0989570273210274E-2</v>
      </c>
      <c r="E27" s="547">
        <v>6.4343104241936511E-2</v>
      </c>
      <c r="F27" s="547">
        <v>6.4318663007406351E-2</v>
      </c>
      <c r="G27" s="771">
        <v>7.3703294945170375E-2</v>
      </c>
    </row>
    <row r="28" spans="1:7">
      <c r="A28" s="322">
        <v>17</v>
      </c>
      <c r="B28" s="14" t="s">
        <v>84</v>
      </c>
      <c r="C28" s="547">
        <v>4.8223814883520989E-2</v>
      </c>
      <c r="D28" s="755">
        <v>5.0831232233735112E-2</v>
      </c>
      <c r="E28" s="547">
        <v>5.387773742476535E-2</v>
      </c>
      <c r="F28" s="547">
        <v>5.3607909486879102E-2</v>
      </c>
      <c r="G28" s="771">
        <v>5.9850341324824655E-2</v>
      </c>
    </row>
    <row r="29" spans="1:7">
      <c r="A29" s="322">
        <v>18</v>
      </c>
      <c r="B29" s="14" t="s">
        <v>166</v>
      </c>
      <c r="C29" s="547">
        <v>2.6113213402110268E-2</v>
      </c>
      <c r="D29" s="755">
        <v>3.4194479413620714E-2</v>
      </c>
      <c r="E29" s="547">
        <v>3.6911231010510519E-2</v>
      </c>
      <c r="F29" s="547">
        <v>3.6607503099627008E-2</v>
      </c>
      <c r="G29" s="771">
        <v>3.9805008804659016E-2</v>
      </c>
    </row>
    <row r="30" spans="1:7">
      <c r="A30" s="322">
        <v>19</v>
      </c>
      <c r="B30" s="14" t="s">
        <v>167</v>
      </c>
      <c r="C30" s="547">
        <v>8.4551661671118813E-2</v>
      </c>
      <c r="D30" s="755">
        <v>0.11127034707694591</v>
      </c>
      <c r="E30" s="547">
        <v>0.12412867801271953</v>
      </c>
      <c r="F30" s="547">
        <v>0.12530597158329024</v>
      </c>
      <c r="G30" s="771">
        <v>0.13247715495778842</v>
      </c>
    </row>
    <row r="31" spans="1:7">
      <c r="A31" s="13"/>
      <c r="B31" s="148" t="s">
        <v>229</v>
      </c>
      <c r="C31" s="319"/>
      <c r="D31" s="534"/>
      <c r="E31" s="765"/>
      <c r="F31" s="765"/>
      <c r="G31" s="767"/>
    </row>
    <row r="32" spans="1:7">
      <c r="A32" s="322">
        <v>20</v>
      </c>
      <c r="B32" s="14" t="s">
        <v>83</v>
      </c>
      <c r="C32" s="547">
        <v>3.2261328472465455E-3</v>
      </c>
      <c r="D32" s="755">
        <v>4.7403417316783771E-3</v>
      </c>
      <c r="E32" s="547">
        <v>5.9663781634689775E-3</v>
      </c>
      <c r="F32" s="547">
        <v>4.0994425401888451E-3</v>
      </c>
      <c r="G32" s="771">
        <v>3.7079499061835981E-3</v>
      </c>
    </row>
    <row r="33" spans="1:7" ht="15" customHeight="1">
      <c r="A33" s="322">
        <v>21</v>
      </c>
      <c r="B33" s="14" t="s">
        <v>705</v>
      </c>
      <c r="C33" s="547">
        <v>5.0022606139634562E-3</v>
      </c>
      <c r="D33" s="755">
        <v>6.4624925028409419E-3</v>
      </c>
      <c r="E33" s="547">
        <v>7.8640098019615232E-3</v>
      </c>
      <c r="F33" s="547">
        <v>7.0225439141444407E-3</v>
      </c>
      <c r="G33" s="771">
        <v>7.1333689469710079E-3</v>
      </c>
    </row>
    <row r="34" spans="1:7">
      <c r="A34" s="322">
        <v>22</v>
      </c>
      <c r="B34" s="14" t="s">
        <v>82</v>
      </c>
      <c r="C34" s="547">
        <v>0.53794588813786759</v>
      </c>
      <c r="D34" s="755">
        <v>0.47711072789888842</v>
      </c>
      <c r="E34" s="547">
        <v>0.50836517752244015</v>
      </c>
      <c r="F34" s="547">
        <v>0.56184746206798075</v>
      </c>
      <c r="G34" s="771">
        <v>0.64012868888645968</v>
      </c>
    </row>
    <row r="35" spans="1:7" ht="15" customHeight="1">
      <c r="A35" s="322">
        <v>23</v>
      </c>
      <c r="B35" s="14" t="s">
        <v>81</v>
      </c>
      <c r="C35" s="547">
        <v>0.55605926978810216</v>
      </c>
      <c r="D35" s="755">
        <v>0.52122853310427908</v>
      </c>
      <c r="E35" s="547">
        <v>0.53512505461390392</v>
      </c>
      <c r="F35" s="547">
        <v>0.5632641142257766</v>
      </c>
      <c r="G35" s="771">
        <v>0.58158156519070181</v>
      </c>
    </row>
    <row r="36" spans="1:7">
      <c r="A36" s="322">
        <v>24</v>
      </c>
      <c r="B36" s="14" t="s">
        <v>80</v>
      </c>
      <c r="C36" s="547">
        <v>0.19581364582216343</v>
      </c>
      <c r="D36" s="755">
        <v>-9.4130095704303331E-3</v>
      </c>
      <c r="E36" s="547">
        <v>-1.8966385239118162E-2</v>
      </c>
      <c r="F36" s="547">
        <v>9.4856262083707038E-2</v>
      </c>
      <c r="G36" s="771">
        <v>2.2020573360810188E-3</v>
      </c>
    </row>
    <row r="37" spans="1:7" ht="15" customHeight="1">
      <c r="A37" s="13"/>
      <c r="B37" s="148" t="s">
        <v>230</v>
      </c>
      <c r="C37" s="319"/>
      <c r="D37" s="534"/>
      <c r="E37" s="765"/>
      <c r="F37" s="765"/>
      <c r="G37" s="767"/>
    </row>
    <row r="38" spans="1:7" ht="15" customHeight="1">
      <c r="A38" s="322">
        <v>25</v>
      </c>
      <c r="B38" s="14" t="s">
        <v>79</v>
      </c>
      <c r="C38" s="547">
        <v>0.19355388930167128</v>
      </c>
      <c r="D38" s="755">
        <v>0.28759994501235625</v>
      </c>
      <c r="E38" s="547">
        <v>0.29340997301393934</v>
      </c>
      <c r="F38" s="547">
        <v>0.27464001376442426</v>
      </c>
      <c r="G38" s="771">
        <v>0.3366351096992744</v>
      </c>
    </row>
    <row r="39" spans="1:7" ht="15" customHeight="1">
      <c r="A39" s="322">
        <v>26</v>
      </c>
      <c r="B39" s="14" t="s">
        <v>78</v>
      </c>
      <c r="C39" s="547">
        <v>0.80332210555449612</v>
      </c>
      <c r="D39" s="755">
        <v>0.77573206167632813</v>
      </c>
      <c r="E39" s="547">
        <v>0.78415715804406683</v>
      </c>
      <c r="F39" s="547">
        <v>0.79530906027371873</v>
      </c>
      <c r="G39" s="771">
        <v>0.82347579852448316</v>
      </c>
    </row>
    <row r="40" spans="1:7" ht="15" customHeight="1">
      <c r="A40" s="322">
        <v>27</v>
      </c>
      <c r="B40" s="14" t="s">
        <v>77</v>
      </c>
      <c r="C40" s="547">
        <v>0.14334308802902421</v>
      </c>
      <c r="D40" s="755">
        <v>0.20621510951037159</v>
      </c>
      <c r="E40" s="547">
        <v>0.14828117435148858</v>
      </c>
      <c r="F40" s="547">
        <v>0.13821062741150575</v>
      </c>
      <c r="G40" s="771">
        <v>0.19233132709059367</v>
      </c>
    </row>
    <row r="41" spans="1:7" ht="15" customHeight="1">
      <c r="A41" s="323"/>
      <c r="B41" s="148" t="s">
        <v>271</v>
      </c>
      <c r="C41" s="319"/>
      <c r="D41" s="534"/>
      <c r="E41" s="765"/>
      <c r="F41" s="765"/>
      <c r="G41" s="767"/>
    </row>
    <row r="42" spans="1:7">
      <c r="A42" s="322">
        <v>28</v>
      </c>
      <c r="B42" s="14" t="s">
        <v>254</v>
      </c>
      <c r="C42" s="543">
        <v>94831123.124617696</v>
      </c>
      <c r="D42" s="756">
        <v>130061478.85525802</v>
      </c>
      <c r="E42" s="543">
        <v>135146473.84584001</v>
      </c>
      <c r="F42" s="543">
        <v>133127429.61611199</v>
      </c>
      <c r="G42" s="772">
        <v>158187110.04355797</v>
      </c>
    </row>
    <row r="43" spans="1:7" ht="15" customHeight="1">
      <c r="A43" s="322">
        <v>29</v>
      </c>
      <c r="B43" s="14" t="s">
        <v>266</v>
      </c>
      <c r="C43" s="543">
        <v>71811250.65869005</v>
      </c>
      <c r="D43" s="756">
        <v>76368928.868171826</v>
      </c>
      <c r="E43" s="543">
        <v>86388728.184463203</v>
      </c>
      <c r="F43" s="543">
        <v>95138892.957092375</v>
      </c>
      <c r="G43" s="772">
        <v>88029335.025407881</v>
      </c>
    </row>
    <row r="44" spans="1:7" ht="15" customHeight="1">
      <c r="A44" s="361">
        <v>30</v>
      </c>
      <c r="B44" s="362" t="s">
        <v>255</v>
      </c>
      <c r="C44" s="545">
        <f>C42/C43</f>
        <v>1.3205608070431503</v>
      </c>
      <c r="D44" s="757">
        <v>1.7030679987638737</v>
      </c>
      <c r="E44" s="545">
        <v>1.5643993919816239</v>
      </c>
      <c r="F44" s="545">
        <v>1.3992955507286851</v>
      </c>
      <c r="G44" s="773">
        <v>1.7969817674744502</v>
      </c>
    </row>
    <row r="45" spans="1:7" ht="15" customHeight="1">
      <c r="A45" s="361"/>
      <c r="B45" s="148" t="s">
        <v>368</v>
      </c>
      <c r="C45" s="544"/>
      <c r="D45" s="758"/>
      <c r="E45" s="544"/>
      <c r="F45" s="544"/>
      <c r="G45" s="774"/>
    </row>
    <row r="46" spans="1:7" ht="15" customHeight="1">
      <c r="A46" s="361">
        <v>31</v>
      </c>
      <c r="B46" s="362" t="s">
        <v>375</v>
      </c>
      <c r="C46" s="764">
        <v>273271718.8929404</v>
      </c>
      <c r="D46" s="758">
        <v>285015794.58955759</v>
      </c>
      <c r="E46" s="544">
        <v>252211011.26154172</v>
      </c>
      <c r="F46" s="544">
        <v>224316782.12736854</v>
      </c>
      <c r="G46" s="774">
        <v>237577668.992533</v>
      </c>
    </row>
    <row r="47" spans="1:7" ht="15" customHeight="1">
      <c r="A47" s="361">
        <v>32</v>
      </c>
      <c r="B47" s="362" t="s">
        <v>390</v>
      </c>
      <c r="C47" s="764">
        <v>257982804.51753515</v>
      </c>
      <c r="D47" s="758">
        <v>232416816.28572291</v>
      </c>
      <c r="E47" s="544">
        <v>232849007.77533582</v>
      </c>
      <c r="F47" s="544">
        <v>221664348.23898047</v>
      </c>
      <c r="G47" s="774">
        <v>198330715.28107914</v>
      </c>
    </row>
    <row r="48" spans="1:7" ht="15" thickBot="1">
      <c r="A48" s="324">
        <v>33</v>
      </c>
      <c r="B48" s="150" t="s">
        <v>408</v>
      </c>
      <c r="C48" s="546">
        <f>C46/C47</f>
        <v>1.059263307893709</v>
      </c>
      <c r="D48" s="759">
        <v>1.2263131349289795</v>
      </c>
      <c r="E48" s="546">
        <v>1.0831526132371898</v>
      </c>
      <c r="F48" s="546">
        <v>1.0119659923188389</v>
      </c>
      <c r="G48" s="775">
        <v>1.1978864123785975</v>
      </c>
    </row>
    <row r="49" spans="1:2">
      <c r="A49" s="16"/>
    </row>
    <row r="50" spans="1:2">
      <c r="B50" s="208"/>
    </row>
    <row r="51" spans="1:2" ht="51">
      <c r="B51" s="208" t="s">
        <v>270</v>
      </c>
    </row>
    <row r="53" spans="1:2">
      <c r="B53" s="207"/>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26"/>
  <sheetViews>
    <sheetView showGridLines="0" zoomScale="120" zoomScaleNormal="120" workbookViewId="0">
      <selection activeCell="A5" sqref="A5:B7"/>
    </sheetView>
  </sheetViews>
  <sheetFormatPr defaultColWidth="9.140625" defaultRowHeight="12.75"/>
  <cols>
    <col min="1" max="1" width="11.85546875" style="421" bestFit="1" customWidth="1"/>
    <col min="2" max="2" width="66.7109375" style="421" customWidth="1"/>
    <col min="3" max="3" width="12.5703125" style="421" bestFit="1" customWidth="1"/>
    <col min="4" max="4" width="12.42578125" style="421" bestFit="1" customWidth="1"/>
    <col min="5" max="5" width="14.7109375" style="421" bestFit="1" customWidth="1"/>
    <col min="6" max="6" width="11.42578125" style="421" bestFit="1" customWidth="1"/>
    <col min="7" max="7" width="16" style="421" bestFit="1" customWidth="1"/>
    <col min="8" max="8" width="12.42578125" style="421" bestFit="1" customWidth="1"/>
    <col min="9" max="16384" width="9.140625" style="421"/>
  </cols>
  <sheetData>
    <row r="1" spans="1:8" ht="13.5">
      <c r="A1" s="363" t="s">
        <v>30</v>
      </c>
      <c r="B1" s="536" t="str">
        <f>'1. key ratios '!B1</f>
        <v>JSC Isbank Georgia</v>
      </c>
    </row>
    <row r="2" spans="1:8" ht="13.5">
      <c r="A2" s="364" t="s">
        <v>31</v>
      </c>
      <c r="B2" s="537">
        <f>'1. key ratios '!B2</f>
        <v>45657</v>
      </c>
    </row>
    <row r="3" spans="1:8">
      <c r="A3" s="365" t="s">
        <v>411</v>
      </c>
    </row>
    <row r="5" spans="1:8" ht="12" customHeight="1">
      <c r="A5" s="857" t="s">
        <v>412</v>
      </c>
      <c r="B5" s="858"/>
      <c r="C5" s="863" t="s">
        <v>413</v>
      </c>
      <c r="D5" s="864"/>
      <c r="E5" s="864"/>
      <c r="F5" s="864"/>
      <c r="G5" s="864"/>
      <c r="H5" s="865"/>
    </row>
    <row r="6" spans="1:8">
      <c r="A6" s="859"/>
      <c r="B6" s="860"/>
      <c r="C6" s="866"/>
      <c r="D6" s="867"/>
      <c r="E6" s="867"/>
      <c r="F6" s="867"/>
      <c r="G6" s="867"/>
      <c r="H6" s="868"/>
    </row>
    <row r="7" spans="1:8" ht="25.5">
      <c r="A7" s="861"/>
      <c r="B7" s="862"/>
      <c r="C7" s="429" t="s">
        <v>414</v>
      </c>
      <c r="D7" s="429" t="s">
        <v>415</v>
      </c>
      <c r="E7" s="429" t="s">
        <v>416</v>
      </c>
      <c r="F7" s="429" t="s">
        <v>417</v>
      </c>
      <c r="G7" s="429" t="s">
        <v>418</v>
      </c>
      <c r="H7" s="429" t="s">
        <v>64</v>
      </c>
    </row>
    <row r="8" spans="1:8">
      <c r="A8" s="425">
        <v>1</v>
      </c>
      <c r="B8" s="424" t="s">
        <v>51</v>
      </c>
      <c r="C8" s="716">
        <v>41624709.835193574</v>
      </c>
      <c r="D8" s="716">
        <v>7963909.1470719678</v>
      </c>
      <c r="E8" s="716">
        <v>0</v>
      </c>
      <c r="F8" s="716">
        <v>0</v>
      </c>
      <c r="G8" s="716"/>
      <c r="H8" s="717">
        <f t="shared" ref="H8:H21" si="0">SUM(C8:G8)</f>
        <v>49588618.982265539</v>
      </c>
    </row>
    <row r="9" spans="1:8">
      <c r="A9" s="425">
        <v>2</v>
      </c>
      <c r="B9" s="424" t="s">
        <v>52</v>
      </c>
      <c r="C9" s="716"/>
      <c r="D9" s="716"/>
      <c r="E9" s="716"/>
      <c r="F9" s="716"/>
      <c r="G9" s="716"/>
      <c r="H9" s="717">
        <f t="shared" si="0"/>
        <v>0</v>
      </c>
    </row>
    <row r="10" spans="1:8">
      <c r="A10" s="425">
        <v>3</v>
      </c>
      <c r="B10" s="424" t="s">
        <v>164</v>
      </c>
      <c r="C10" s="716"/>
      <c r="D10" s="716"/>
      <c r="E10" s="716"/>
      <c r="F10" s="716"/>
      <c r="G10" s="716"/>
      <c r="H10" s="717">
        <f t="shared" si="0"/>
        <v>0</v>
      </c>
    </row>
    <row r="11" spans="1:8">
      <c r="A11" s="425">
        <v>4</v>
      </c>
      <c r="B11" s="424" t="s">
        <v>53</v>
      </c>
      <c r="C11" s="716"/>
      <c r="D11" s="716"/>
      <c r="E11" s="716"/>
      <c r="F11" s="716"/>
      <c r="G11" s="716"/>
      <c r="H11" s="717">
        <f t="shared" si="0"/>
        <v>0</v>
      </c>
    </row>
    <row r="12" spans="1:8">
      <c r="A12" s="425">
        <v>5</v>
      </c>
      <c r="B12" s="424" t="s">
        <v>54</v>
      </c>
      <c r="C12" s="716"/>
      <c r="D12" s="716"/>
      <c r="E12" s="716"/>
      <c r="F12" s="716"/>
      <c r="G12" s="716"/>
      <c r="H12" s="717">
        <f t="shared" si="0"/>
        <v>0</v>
      </c>
    </row>
    <row r="13" spans="1:8">
      <c r="A13" s="425">
        <v>6</v>
      </c>
      <c r="B13" s="424" t="s">
        <v>55</v>
      </c>
      <c r="C13" s="716">
        <v>24351848.327784542</v>
      </c>
      <c r="D13" s="716">
        <v>15320473.4208453</v>
      </c>
      <c r="E13" s="716">
        <v>8509351.1789107043</v>
      </c>
      <c r="F13" s="716">
        <v>0</v>
      </c>
      <c r="G13" s="716"/>
      <c r="H13" s="717">
        <f t="shared" si="0"/>
        <v>48181672.927540541</v>
      </c>
    </row>
    <row r="14" spans="1:8">
      <c r="A14" s="425">
        <v>7</v>
      </c>
      <c r="B14" s="424" t="s">
        <v>56</v>
      </c>
      <c r="C14" s="716"/>
      <c r="D14" s="716">
        <v>235682771.78755647</v>
      </c>
      <c r="E14" s="716">
        <v>102090025.11979584</v>
      </c>
      <c r="F14" s="716">
        <v>25209171.778695516</v>
      </c>
      <c r="G14" s="716">
        <v>379972.921424</v>
      </c>
      <c r="H14" s="717">
        <f t="shared" si="0"/>
        <v>363361941.60747182</v>
      </c>
    </row>
    <row r="15" spans="1:8">
      <c r="A15" s="425">
        <v>8</v>
      </c>
      <c r="B15" s="426" t="s">
        <v>57</v>
      </c>
      <c r="C15" s="716"/>
      <c r="D15" s="716"/>
      <c r="E15" s="716"/>
      <c r="F15" s="716"/>
      <c r="G15" s="716"/>
      <c r="H15" s="717">
        <f t="shared" si="0"/>
        <v>0</v>
      </c>
    </row>
    <row r="16" spans="1:8">
      <c r="A16" s="425">
        <v>9</v>
      </c>
      <c r="B16" s="424" t="s">
        <v>58</v>
      </c>
      <c r="C16" s="716"/>
      <c r="D16" s="716"/>
      <c r="E16" s="716"/>
      <c r="F16" s="716"/>
      <c r="G16" s="716"/>
      <c r="H16" s="717">
        <f t="shared" si="0"/>
        <v>0</v>
      </c>
    </row>
    <row r="17" spans="1:8">
      <c r="A17" s="425">
        <v>10</v>
      </c>
      <c r="B17" s="428" t="s">
        <v>426</v>
      </c>
      <c r="C17" s="716"/>
      <c r="D17" s="716">
        <v>0</v>
      </c>
      <c r="E17" s="716">
        <v>0</v>
      </c>
      <c r="F17" s="716">
        <v>0</v>
      </c>
      <c r="G17" s="716">
        <v>14590.606700938077</v>
      </c>
      <c r="H17" s="717">
        <f t="shared" si="0"/>
        <v>14590.606700938077</v>
      </c>
    </row>
    <row r="18" spans="1:8">
      <c r="A18" s="425">
        <v>11</v>
      </c>
      <c r="B18" s="424" t="s">
        <v>60</v>
      </c>
      <c r="C18" s="716"/>
      <c r="D18" s="716">
        <v>0</v>
      </c>
      <c r="E18" s="716">
        <v>0</v>
      </c>
      <c r="F18" s="716">
        <v>0</v>
      </c>
      <c r="G18" s="716">
        <v>0</v>
      </c>
      <c r="H18" s="717">
        <f t="shared" si="0"/>
        <v>0</v>
      </c>
    </row>
    <row r="19" spans="1:8">
      <c r="A19" s="425">
        <v>12</v>
      </c>
      <c r="B19" s="424" t="s">
        <v>61</v>
      </c>
      <c r="C19" s="716"/>
      <c r="D19" s="716"/>
      <c r="E19" s="716"/>
      <c r="F19" s="716"/>
      <c r="G19" s="716"/>
      <c r="H19" s="717">
        <f t="shared" si="0"/>
        <v>0</v>
      </c>
    </row>
    <row r="20" spans="1:8">
      <c r="A20" s="427">
        <v>13</v>
      </c>
      <c r="B20" s="426" t="s">
        <v>144</v>
      </c>
      <c r="C20" s="716"/>
      <c r="D20" s="716"/>
      <c r="E20" s="716"/>
      <c r="F20" s="716"/>
      <c r="G20" s="716"/>
      <c r="H20" s="717">
        <f t="shared" si="0"/>
        <v>0</v>
      </c>
    </row>
    <row r="21" spans="1:8">
      <c r="A21" s="425">
        <v>14</v>
      </c>
      <c r="B21" s="424" t="s">
        <v>63</v>
      </c>
      <c r="C21" s="716">
        <v>1711926.8074999999</v>
      </c>
      <c r="D21" s="716">
        <v>985934.27626756264</v>
      </c>
      <c r="E21" s="716">
        <v>3134671.598496913</v>
      </c>
      <c r="F21" s="716">
        <v>809742.29057671432</v>
      </c>
      <c r="G21" s="716">
        <v>19445312.631701142</v>
      </c>
      <c r="H21" s="717">
        <f t="shared" si="0"/>
        <v>26087587.60454233</v>
      </c>
    </row>
    <row r="22" spans="1:8">
      <c r="A22" s="423">
        <v>15</v>
      </c>
      <c r="B22" s="422" t="s">
        <v>64</v>
      </c>
      <c r="C22" s="717">
        <f>SUM(C18:C21)+SUM(C8:C16)</f>
        <v>67688484.970478117</v>
      </c>
      <c r="D22" s="717">
        <f t="shared" ref="D22:H22" si="1">SUM(D18:D21)+SUM(D8:D16)</f>
        <v>259953088.63174129</v>
      </c>
      <c r="E22" s="717">
        <f t="shared" si="1"/>
        <v>113734047.89720346</v>
      </c>
      <c r="F22" s="717">
        <f t="shared" si="1"/>
        <v>26018914.069272231</v>
      </c>
      <c r="G22" s="717">
        <f t="shared" si="1"/>
        <v>19825285.553125143</v>
      </c>
      <c r="H22" s="717">
        <f t="shared" si="1"/>
        <v>487219821.12182021</v>
      </c>
    </row>
    <row r="26" spans="1:8" ht="38.25">
      <c r="B26" s="369" t="s">
        <v>513</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sheetPr>
  <dimension ref="A1:H26"/>
  <sheetViews>
    <sheetView showGridLines="0" zoomScaleNormal="100" workbookViewId="0">
      <selection activeCell="A5" sqref="A5:B6"/>
    </sheetView>
  </sheetViews>
  <sheetFormatPr defaultColWidth="9.140625" defaultRowHeight="12.75"/>
  <cols>
    <col min="1" max="1" width="11.85546875" style="430" bestFit="1" customWidth="1"/>
    <col min="2" max="2" width="86.85546875" style="421" customWidth="1"/>
    <col min="3" max="4" width="29.42578125" style="421" bestFit="1" customWidth="1"/>
    <col min="5" max="5" width="12.42578125" style="366" bestFit="1" customWidth="1"/>
    <col min="6" max="6" width="13.140625" style="366" bestFit="1" customWidth="1"/>
    <col min="7" max="7" width="20.7109375" style="421" bestFit="1" customWidth="1"/>
    <col min="8" max="8" width="12.5703125" style="421" bestFit="1" customWidth="1"/>
    <col min="9" max="16384" width="9.140625" style="421"/>
  </cols>
  <sheetData>
    <row r="1" spans="1:8" ht="13.5">
      <c r="A1" s="363" t="s">
        <v>30</v>
      </c>
      <c r="B1" s="536" t="str">
        <f>'1. key ratios '!B1</f>
        <v>JSC Isbank Georgia</v>
      </c>
      <c r="C1" s="443"/>
      <c r="D1" s="443"/>
      <c r="E1" s="443"/>
      <c r="F1" s="443"/>
      <c r="G1" s="443"/>
      <c r="H1" s="443"/>
    </row>
    <row r="2" spans="1:8" ht="13.5">
      <c r="A2" s="364" t="s">
        <v>31</v>
      </c>
      <c r="B2" s="537">
        <f>'1. key ratios '!B2</f>
        <v>45657</v>
      </c>
      <c r="C2" s="443"/>
      <c r="D2" s="443"/>
      <c r="E2" s="443"/>
      <c r="F2" s="443"/>
      <c r="G2" s="443"/>
      <c r="H2" s="443"/>
    </row>
    <row r="3" spans="1:8">
      <c r="A3" s="365" t="s">
        <v>419</v>
      </c>
      <c r="B3" s="443"/>
      <c r="C3" s="443"/>
      <c r="D3" s="443"/>
      <c r="E3" s="443"/>
      <c r="F3" s="443"/>
      <c r="G3" s="443"/>
      <c r="H3" s="443"/>
    </row>
    <row r="4" spans="1:8">
      <c r="A4" s="444"/>
      <c r="B4" s="443"/>
      <c r="C4" s="442" t="s">
        <v>0</v>
      </c>
      <c r="D4" s="442" t="s">
        <v>1</v>
      </c>
      <c r="E4" s="442" t="s">
        <v>2</v>
      </c>
      <c r="F4" s="442" t="s">
        <v>3</v>
      </c>
      <c r="G4" s="442" t="s">
        <v>4</v>
      </c>
      <c r="H4" s="442" t="s">
        <v>5</v>
      </c>
    </row>
    <row r="5" spans="1:8" ht="33.950000000000003" customHeight="1">
      <c r="A5" s="857" t="s">
        <v>420</v>
      </c>
      <c r="B5" s="858"/>
      <c r="C5" s="871" t="s">
        <v>421</v>
      </c>
      <c r="D5" s="871"/>
      <c r="E5" s="871" t="s">
        <v>658</v>
      </c>
      <c r="F5" s="869" t="s">
        <v>422</v>
      </c>
      <c r="G5" s="869" t="s">
        <v>423</v>
      </c>
      <c r="H5" s="440" t="s">
        <v>657</v>
      </c>
    </row>
    <row r="6" spans="1:8" ht="25.5">
      <c r="A6" s="861"/>
      <c r="B6" s="862"/>
      <c r="C6" s="441" t="s">
        <v>424</v>
      </c>
      <c r="D6" s="441" t="s">
        <v>425</v>
      </c>
      <c r="E6" s="871"/>
      <c r="F6" s="870"/>
      <c r="G6" s="870"/>
      <c r="H6" s="440" t="s">
        <v>656</v>
      </c>
    </row>
    <row r="7" spans="1:8">
      <c r="A7" s="438">
        <v>1</v>
      </c>
      <c r="B7" s="424" t="s">
        <v>51</v>
      </c>
      <c r="C7" s="718">
        <v>0</v>
      </c>
      <c r="D7" s="718">
        <v>49724647.946983561</v>
      </c>
      <c r="E7" s="719">
        <v>136028.96471801639</v>
      </c>
      <c r="F7" s="719"/>
      <c r="G7" s="718"/>
      <c r="H7" s="721">
        <f>C7+D7-E7-F7</f>
        <v>49588618.982265547</v>
      </c>
    </row>
    <row r="8" spans="1:8">
      <c r="A8" s="438">
        <v>2</v>
      </c>
      <c r="B8" s="424" t="s">
        <v>52</v>
      </c>
      <c r="C8" s="718"/>
      <c r="D8" s="718"/>
      <c r="E8" s="719"/>
      <c r="F8" s="719"/>
      <c r="G8" s="718"/>
      <c r="H8" s="721">
        <f t="shared" ref="H8:H20" si="0">C8+D8-E8-F8</f>
        <v>0</v>
      </c>
    </row>
    <row r="9" spans="1:8">
      <c r="A9" s="438">
        <v>3</v>
      </c>
      <c r="B9" s="424" t="s">
        <v>164</v>
      </c>
      <c r="C9" s="718"/>
      <c r="D9" s="718"/>
      <c r="E9" s="719"/>
      <c r="F9" s="719"/>
      <c r="G9" s="718"/>
      <c r="H9" s="721">
        <f t="shared" si="0"/>
        <v>0</v>
      </c>
    </row>
    <row r="10" spans="1:8">
      <c r="A10" s="438">
        <v>4</v>
      </c>
      <c r="B10" s="424" t="s">
        <v>53</v>
      </c>
      <c r="C10" s="718"/>
      <c r="D10" s="718"/>
      <c r="E10" s="719"/>
      <c r="F10" s="719"/>
      <c r="G10" s="718"/>
      <c r="H10" s="721">
        <f t="shared" si="0"/>
        <v>0</v>
      </c>
    </row>
    <row r="11" spans="1:8">
      <c r="A11" s="438">
        <v>5</v>
      </c>
      <c r="B11" s="424" t="s">
        <v>54</v>
      </c>
      <c r="C11" s="718">
        <v>0</v>
      </c>
      <c r="D11" s="718"/>
      <c r="E11" s="719"/>
      <c r="F11" s="719"/>
      <c r="G11" s="718"/>
      <c r="H11" s="721">
        <f t="shared" si="0"/>
        <v>0</v>
      </c>
    </row>
    <row r="12" spans="1:8">
      <c r="A12" s="438">
        <v>6</v>
      </c>
      <c r="B12" s="424" t="s">
        <v>55</v>
      </c>
      <c r="C12" s="718">
        <v>0</v>
      </c>
      <c r="D12" s="718">
        <v>48314070.202773601</v>
      </c>
      <c r="E12" s="719">
        <v>132397.2752332853</v>
      </c>
      <c r="F12" s="719"/>
      <c r="G12" s="718"/>
      <c r="H12" s="721">
        <f t="shared" si="0"/>
        <v>48181672.927540317</v>
      </c>
    </row>
    <row r="13" spans="1:8">
      <c r="A13" s="438">
        <v>7</v>
      </c>
      <c r="B13" s="424" t="s">
        <v>56</v>
      </c>
      <c r="C13" s="718">
        <v>405732.13194799999</v>
      </c>
      <c r="D13" s="718">
        <v>364475347.97847736</v>
      </c>
      <c r="E13" s="719">
        <v>1519138.5029535305</v>
      </c>
      <c r="F13" s="719"/>
      <c r="G13" s="718"/>
      <c r="H13" s="721">
        <f t="shared" si="0"/>
        <v>363361941.60747182</v>
      </c>
    </row>
    <row r="14" spans="1:8">
      <c r="A14" s="438">
        <v>8</v>
      </c>
      <c r="B14" s="426" t="s">
        <v>57</v>
      </c>
      <c r="C14" s="718"/>
      <c r="D14" s="718"/>
      <c r="E14" s="719"/>
      <c r="F14" s="719"/>
      <c r="G14" s="718"/>
      <c r="H14" s="721">
        <f t="shared" si="0"/>
        <v>0</v>
      </c>
    </row>
    <row r="15" spans="1:8">
      <c r="A15" s="438">
        <v>9</v>
      </c>
      <c r="B15" s="424" t="s">
        <v>58</v>
      </c>
      <c r="C15" s="718"/>
      <c r="D15" s="718"/>
      <c r="E15" s="719"/>
      <c r="F15" s="719"/>
      <c r="G15" s="718"/>
      <c r="H15" s="721">
        <f t="shared" si="0"/>
        <v>0</v>
      </c>
    </row>
    <row r="16" spans="1:8">
      <c r="A16" s="438">
        <v>10</v>
      </c>
      <c r="B16" s="428" t="s">
        <v>426</v>
      </c>
      <c r="C16" s="718">
        <v>14589.269999999999</v>
      </c>
      <c r="D16" s="718">
        <v>1499.19</v>
      </c>
      <c r="E16" s="719">
        <v>1497.8532990619217</v>
      </c>
      <c r="F16" s="719"/>
      <c r="G16" s="718"/>
      <c r="H16" s="721">
        <f t="shared" si="0"/>
        <v>14590.606700938077</v>
      </c>
    </row>
    <row r="17" spans="1:8">
      <c r="A17" s="438">
        <v>11</v>
      </c>
      <c r="B17" s="424" t="s">
        <v>60</v>
      </c>
      <c r="C17" s="718">
        <v>0</v>
      </c>
      <c r="D17" s="718">
        <v>0</v>
      </c>
      <c r="E17" s="719">
        <v>0</v>
      </c>
      <c r="F17" s="719"/>
      <c r="G17" s="718"/>
      <c r="H17" s="721">
        <f t="shared" si="0"/>
        <v>0</v>
      </c>
    </row>
    <row r="18" spans="1:8">
      <c r="A18" s="438">
        <v>12</v>
      </c>
      <c r="B18" s="424" t="s">
        <v>61</v>
      </c>
      <c r="C18" s="718"/>
      <c r="D18" s="718"/>
      <c r="E18" s="719"/>
      <c r="F18" s="719"/>
      <c r="G18" s="718"/>
      <c r="H18" s="721">
        <f t="shared" si="0"/>
        <v>0</v>
      </c>
    </row>
    <row r="19" spans="1:8">
      <c r="A19" s="439">
        <v>13</v>
      </c>
      <c r="B19" s="426" t="s">
        <v>144</v>
      </c>
      <c r="C19" s="718"/>
      <c r="D19" s="718"/>
      <c r="E19" s="719"/>
      <c r="F19" s="719"/>
      <c r="G19" s="718"/>
      <c r="H19" s="721">
        <f t="shared" si="0"/>
        <v>0</v>
      </c>
    </row>
    <row r="20" spans="1:8">
      <c r="A20" s="438">
        <v>14</v>
      </c>
      <c r="B20" s="424" t="s">
        <v>63</v>
      </c>
      <c r="C20" s="718">
        <v>1992589.492288</v>
      </c>
      <c r="D20" s="718">
        <v>27106840.999266326</v>
      </c>
      <c r="E20" s="719">
        <v>284789.4367856704</v>
      </c>
      <c r="F20" s="719"/>
      <c r="G20" s="718"/>
      <c r="H20" s="721">
        <f t="shared" si="0"/>
        <v>28814641.054768655</v>
      </c>
    </row>
    <row r="21" spans="1:8" s="435" customFormat="1">
      <c r="A21" s="437">
        <v>15</v>
      </c>
      <c r="B21" s="436" t="s">
        <v>64</v>
      </c>
      <c r="C21" s="720">
        <f t="shared" ref="C21:H21" si="1">SUM(C7:C15)+SUM(C17:C20)</f>
        <v>2398321.6242359998</v>
      </c>
      <c r="D21" s="720">
        <f t="shared" si="1"/>
        <v>489620907.12750083</v>
      </c>
      <c r="E21" s="720">
        <f t="shared" ref="E21" si="2">SUM(E7:E15)+SUM(E17:E20)</f>
        <v>2072354.1796905026</v>
      </c>
      <c r="F21" s="720"/>
      <c r="G21" s="720">
        <f t="shared" si="1"/>
        <v>0</v>
      </c>
      <c r="H21" s="721">
        <f t="shared" si="1"/>
        <v>489946874.5720464</v>
      </c>
    </row>
    <row r="22" spans="1:8">
      <c r="A22" s="434">
        <v>16</v>
      </c>
      <c r="B22" s="433" t="s">
        <v>427</v>
      </c>
      <c r="C22" s="718">
        <v>1049228.4442360001</v>
      </c>
      <c r="D22" s="718">
        <v>324178681.84826809</v>
      </c>
      <c r="E22" s="719">
        <v>1626874.766217835</v>
      </c>
      <c r="F22" s="719"/>
      <c r="G22" s="718"/>
      <c r="H22" s="721">
        <f>C22+D22-E22-F22</f>
        <v>323601035.52628624</v>
      </c>
    </row>
    <row r="23" spans="1:8">
      <c r="A23" s="434">
        <v>17</v>
      </c>
      <c r="B23" s="433" t="s">
        <v>428</v>
      </c>
      <c r="C23" s="718">
        <v>0</v>
      </c>
      <c r="D23" s="718">
        <v>56432630.28128276</v>
      </c>
      <c r="E23" s="719">
        <v>218286.72137946144</v>
      </c>
      <c r="F23" s="719"/>
      <c r="G23" s="718"/>
      <c r="H23" s="721">
        <f>C23+D23-E23-F23</f>
        <v>56214343.559903301</v>
      </c>
    </row>
    <row r="25" spans="1:8">
      <c r="E25" s="421"/>
      <c r="F25" s="421"/>
    </row>
    <row r="26" spans="1:8" ht="42.6" customHeight="1">
      <c r="B26" s="369" t="s">
        <v>513</v>
      </c>
    </row>
  </sheetData>
  <mergeCells count="5">
    <mergeCell ref="G5:G6"/>
    <mergeCell ref="A5:B6"/>
    <mergeCell ref="C5:D5"/>
    <mergeCell ref="E5:E6"/>
    <mergeCell ref="F5:F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sheetPr>
  <dimension ref="A1:I36"/>
  <sheetViews>
    <sheetView showGridLines="0" zoomScaleNormal="100" workbookViewId="0">
      <selection activeCell="A5" sqref="A5:B6"/>
    </sheetView>
  </sheetViews>
  <sheetFormatPr defaultColWidth="9.140625" defaultRowHeight="12.75"/>
  <cols>
    <col min="1" max="1" width="11" style="421" bestFit="1" customWidth="1"/>
    <col min="2" max="2" width="55.7109375" style="421" bestFit="1" customWidth="1"/>
    <col min="3" max="3" width="29.42578125" style="421" bestFit="1" customWidth="1"/>
    <col min="4" max="4" width="32.7109375" style="421" bestFit="1" customWidth="1"/>
    <col min="5" max="5" width="12.42578125" style="421" bestFit="1" customWidth="1"/>
    <col min="6" max="6" width="6.85546875" style="421" bestFit="1" customWidth="1"/>
    <col min="7" max="7" width="20.7109375" style="421" bestFit="1" customWidth="1"/>
    <col min="8" max="8" width="12.5703125" style="421" bestFit="1" customWidth="1"/>
    <col min="9" max="16384" width="9.140625" style="421"/>
  </cols>
  <sheetData>
    <row r="1" spans="1:8" ht="13.5">
      <c r="A1" s="363" t="s">
        <v>30</v>
      </c>
      <c r="B1" s="536" t="str">
        <f>'1. key ratios '!B1</f>
        <v>JSC Isbank Georgia</v>
      </c>
      <c r="C1" s="443"/>
      <c r="D1" s="443"/>
      <c r="E1" s="443"/>
      <c r="F1" s="443"/>
      <c r="G1" s="443"/>
      <c r="H1" s="443"/>
    </row>
    <row r="2" spans="1:8" ht="13.5">
      <c r="A2" s="364" t="s">
        <v>31</v>
      </c>
      <c r="B2" s="537">
        <f>'1. key ratios '!B2</f>
        <v>45657</v>
      </c>
      <c r="C2" s="443"/>
      <c r="D2" s="443"/>
      <c r="E2" s="443"/>
      <c r="F2" s="443"/>
      <c r="G2" s="443"/>
      <c r="H2" s="443"/>
    </row>
    <row r="3" spans="1:8">
      <c r="A3" s="365" t="s">
        <v>429</v>
      </c>
      <c r="B3" s="443"/>
      <c r="C3" s="443"/>
      <c r="D3" s="443"/>
      <c r="E3" s="443"/>
      <c r="F3" s="443"/>
      <c r="G3" s="443"/>
      <c r="H3" s="443"/>
    </row>
    <row r="4" spans="1:8">
      <c r="A4" s="444"/>
      <c r="B4" s="443"/>
      <c r="C4" s="442" t="s">
        <v>0</v>
      </c>
      <c r="D4" s="442" t="s">
        <v>1</v>
      </c>
      <c r="E4" s="442" t="s">
        <v>2</v>
      </c>
      <c r="F4" s="442" t="s">
        <v>3</v>
      </c>
      <c r="G4" s="442" t="s">
        <v>4</v>
      </c>
      <c r="H4" s="442" t="s">
        <v>5</v>
      </c>
    </row>
    <row r="5" spans="1:8" ht="41.45" customHeight="1">
      <c r="A5" s="857" t="s">
        <v>420</v>
      </c>
      <c r="B5" s="858"/>
      <c r="C5" s="871" t="s">
        <v>421</v>
      </c>
      <c r="D5" s="871"/>
      <c r="E5" s="871" t="s">
        <v>658</v>
      </c>
      <c r="F5" s="869" t="s">
        <v>422</v>
      </c>
      <c r="G5" s="869" t="s">
        <v>423</v>
      </c>
      <c r="H5" s="440" t="s">
        <v>657</v>
      </c>
    </row>
    <row r="6" spans="1:8" ht="25.5">
      <c r="A6" s="861"/>
      <c r="B6" s="862"/>
      <c r="C6" s="441" t="s">
        <v>424</v>
      </c>
      <c r="D6" s="441" t="s">
        <v>425</v>
      </c>
      <c r="E6" s="871"/>
      <c r="F6" s="870"/>
      <c r="G6" s="870"/>
      <c r="H6" s="440" t="s">
        <v>656</v>
      </c>
    </row>
    <row r="7" spans="1:8">
      <c r="A7" s="431">
        <v>1</v>
      </c>
      <c r="B7" s="449" t="s">
        <v>517</v>
      </c>
      <c r="C7" s="718">
        <v>3324.96</v>
      </c>
      <c r="D7" s="718">
        <v>51763708.574507564</v>
      </c>
      <c r="E7" s="718">
        <v>149318.77964898688</v>
      </c>
      <c r="F7" s="718"/>
      <c r="G7" s="718"/>
      <c r="H7" s="721">
        <f t="shared" ref="H7:H34" si="0">C7+D7-E7-F7</f>
        <v>51617714.754858576</v>
      </c>
    </row>
    <row r="8" spans="1:8">
      <c r="A8" s="431">
        <v>2</v>
      </c>
      <c r="B8" s="449" t="s">
        <v>430</v>
      </c>
      <c r="C8" s="718">
        <v>0</v>
      </c>
      <c r="D8" s="718">
        <v>105831339.91232017</v>
      </c>
      <c r="E8" s="718">
        <v>410003.11350378854</v>
      </c>
      <c r="F8" s="718"/>
      <c r="G8" s="718"/>
      <c r="H8" s="721">
        <f t="shared" si="0"/>
        <v>105421336.79881638</v>
      </c>
    </row>
    <row r="9" spans="1:8">
      <c r="A9" s="431">
        <v>3</v>
      </c>
      <c r="B9" s="449" t="s">
        <v>431</v>
      </c>
      <c r="C9" s="718"/>
      <c r="D9" s="718"/>
      <c r="E9" s="718"/>
      <c r="F9" s="718"/>
      <c r="G9" s="718"/>
      <c r="H9" s="721">
        <f t="shared" si="0"/>
        <v>0</v>
      </c>
    </row>
    <row r="10" spans="1:8" ht="25.5">
      <c r="A10" s="431">
        <v>4</v>
      </c>
      <c r="B10" s="449" t="s">
        <v>518</v>
      </c>
      <c r="C10" s="718">
        <v>303093.92</v>
      </c>
      <c r="D10" s="718">
        <v>16778276.383978002</v>
      </c>
      <c r="E10" s="718">
        <v>55262.266492966024</v>
      </c>
      <c r="F10" s="718"/>
      <c r="G10" s="718"/>
      <c r="H10" s="721">
        <f t="shared" si="0"/>
        <v>17026108.037485037</v>
      </c>
    </row>
    <row r="11" spans="1:8">
      <c r="A11" s="431">
        <v>5</v>
      </c>
      <c r="B11" s="449" t="s">
        <v>432</v>
      </c>
      <c r="C11" s="718">
        <v>0</v>
      </c>
      <c r="D11" s="718">
        <v>18161540.372060001</v>
      </c>
      <c r="E11" s="718">
        <v>13411.970498204091</v>
      </c>
      <c r="F11" s="718"/>
      <c r="G11" s="718"/>
      <c r="H11" s="721">
        <f t="shared" si="0"/>
        <v>18148128.401561797</v>
      </c>
    </row>
    <row r="12" spans="1:8">
      <c r="A12" s="431">
        <v>6</v>
      </c>
      <c r="B12" s="449" t="s">
        <v>433</v>
      </c>
      <c r="C12" s="718">
        <v>384562.19142400002</v>
      </c>
      <c r="D12" s="718">
        <v>568239.21766400011</v>
      </c>
      <c r="E12" s="718">
        <v>1497.8527754617678</v>
      </c>
      <c r="F12" s="718"/>
      <c r="G12" s="718"/>
      <c r="H12" s="721">
        <f t="shared" si="0"/>
        <v>951303.55631253845</v>
      </c>
    </row>
    <row r="13" spans="1:8">
      <c r="A13" s="431">
        <v>7</v>
      </c>
      <c r="B13" s="449" t="s">
        <v>434</v>
      </c>
      <c r="C13" s="718">
        <v>0</v>
      </c>
      <c r="D13" s="718">
        <v>60490423.500715993</v>
      </c>
      <c r="E13" s="718">
        <v>163170.16392140198</v>
      </c>
      <c r="F13" s="718"/>
      <c r="G13" s="718"/>
      <c r="H13" s="721">
        <f t="shared" si="0"/>
        <v>60327253.336794592</v>
      </c>
    </row>
    <row r="14" spans="1:8">
      <c r="A14" s="431">
        <v>8</v>
      </c>
      <c r="B14" s="449" t="s">
        <v>435</v>
      </c>
      <c r="C14" s="718">
        <v>0</v>
      </c>
      <c r="D14" s="718">
        <v>114727.98</v>
      </c>
      <c r="E14" s="718">
        <v>2.1905706576634495E-15</v>
      </c>
      <c r="F14" s="718"/>
      <c r="G14" s="718"/>
      <c r="H14" s="721">
        <f t="shared" si="0"/>
        <v>114727.98</v>
      </c>
    </row>
    <row r="15" spans="1:8">
      <c r="A15" s="431">
        <v>9</v>
      </c>
      <c r="B15" s="449" t="s">
        <v>436</v>
      </c>
      <c r="C15" s="718">
        <v>0</v>
      </c>
      <c r="D15" s="718">
        <v>4699426.8137360001</v>
      </c>
      <c r="E15" s="718">
        <v>0</v>
      </c>
      <c r="F15" s="718"/>
      <c r="G15" s="718"/>
      <c r="H15" s="721">
        <f t="shared" si="0"/>
        <v>4699426.8137360001</v>
      </c>
    </row>
    <row r="16" spans="1:8">
      <c r="A16" s="431">
        <v>10</v>
      </c>
      <c r="B16" s="449" t="s">
        <v>437</v>
      </c>
      <c r="C16" s="718">
        <v>4171.4399999999996</v>
      </c>
      <c r="D16" s="718">
        <v>15471449.984336002</v>
      </c>
      <c r="E16" s="718">
        <v>69130.74544731823</v>
      </c>
      <c r="F16" s="718"/>
      <c r="G16" s="718"/>
      <c r="H16" s="721">
        <f t="shared" si="0"/>
        <v>15406490.678888682</v>
      </c>
    </row>
    <row r="17" spans="1:9">
      <c r="A17" s="431">
        <v>11</v>
      </c>
      <c r="B17" s="449" t="s">
        <v>438</v>
      </c>
      <c r="C17" s="718">
        <v>6252.99</v>
      </c>
      <c r="D17" s="718">
        <v>30143602.675616</v>
      </c>
      <c r="E17" s="718">
        <v>74783.839221312635</v>
      </c>
      <c r="F17" s="718"/>
      <c r="G17" s="718"/>
      <c r="H17" s="721">
        <f t="shared" si="0"/>
        <v>30075071.826394685</v>
      </c>
    </row>
    <row r="18" spans="1:9">
      <c r="A18" s="431">
        <v>12</v>
      </c>
      <c r="B18" s="449" t="s">
        <v>439</v>
      </c>
      <c r="C18" s="718">
        <v>78174.930523999996</v>
      </c>
      <c r="D18" s="718">
        <v>22824474.258788332</v>
      </c>
      <c r="E18" s="718">
        <v>154773.7495982261</v>
      </c>
      <c r="F18" s="718"/>
      <c r="G18" s="718"/>
      <c r="H18" s="721">
        <f t="shared" si="0"/>
        <v>22747875.439714104</v>
      </c>
    </row>
    <row r="19" spans="1:9">
      <c r="A19" s="431">
        <v>13</v>
      </c>
      <c r="B19" s="449" t="s">
        <v>440</v>
      </c>
      <c r="C19" s="718">
        <v>26968.25</v>
      </c>
      <c r="D19" s="718">
        <v>704340.64</v>
      </c>
      <c r="E19" s="718">
        <v>18543.200032218767</v>
      </c>
      <c r="F19" s="718"/>
      <c r="G19" s="718"/>
      <c r="H19" s="721">
        <f t="shared" si="0"/>
        <v>712765.68996778131</v>
      </c>
    </row>
    <row r="20" spans="1:9">
      <c r="A20" s="431">
        <v>14</v>
      </c>
      <c r="B20" s="449" t="s">
        <v>441</v>
      </c>
      <c r="C20" s="718">
        <v>48000.01442</v>
      </c>
      <c r="D20" s="718">
        <v>1387463.9158439999</v>
      </c>
      <c r="E20" s="718">
        <v>46732.311041492743</v>
      </c>
      <c r="F20" s="718"/>
      <c r="G20" s="718"/>
      <c r="H20" s="721">
        <f t="shared" si="0"/>
        <v>1388731.6192225071</v>
      </c>
    </row>
    <row r="21" spans="1:9">
      <c r="A21" s="431">
        <v>15</v>
      </c>
      <c r="B21" s="449" t="s">
        <v>442</v>
      </c>
      <c r="C21" s="718">
        <v>0</v>
      </c>
      <c r="D21" s="718">
        <v>10016295.350000001</v>
      </c>
      <c r="E21" s="718">
        <v>56544.118877701381</v>
      </c>
      <c r="F21" s="718"/>
      <c r="G21" s="718"/>
      <c r="H21" s="721">
        <f t="shared" si="0"/>
        <v>9959751.2311223</v>
      </c>
    </row>
    <row r="22" spans="1:9">
      <c r="A22" s="431">
        <v>16</v>
      </c>
      <c r="B22" s="449" t="s">
        <v>443</v>
      </c>
      <c r="C22" s="718">
        <v>0</v>
      </c>
      <c r="D22" s="718">
        <v>0</v>
      </c>
      <c r="E22" s="718">
        <v>0</v>
      </c>
      <c r="F22" s="718"/>
      <c r="G22" s="718"/>
      <c r="H22" s="721">
        <f t="shared" si="0"/>
        <v>0</v>
      </c>
    </row>
    <row r="23" spans="1:9">
      <c r="A23" s="431">
        <v>17</v>
      </c>
      <c r="B23" s="449" t="s">
        <v>521</v>
      </c>
      <c r="C23" s="718">
        <v>0</v>
      </c>
      <c r="D23" s="718">
        <v>0</v>
      </c>
      <c r="E23" s="718">
        <v>0</v>
      </c>
      <c r="F23" s="718"/>
      <c r="G23" s="718"/>
      <c r="H23" s="721">
        <f t="shared" si="0"/>
        <v>0</v>
      </c>
    </row>
    <row r="24" spans="1:9">
      <c r="A24" s="431">
        <v>18</v>
      </c>
      <c r="B24" s="449" t="s">
        <v>444</v>
      </c>
      <c r="C24" s="718">
        <v>0</v>
      </c>
      <c r="D24" s="718">
        <v>66072973.220576003</v>
      </c>
      <c r="E24" s="718">
        <v>475720.25870634563</v>
      </c>
      <c r="F24" s="718"/>
      <c r="G24" s="718"/>
      <c r="H24" s="721">
        <f t="shared" si="0"/>
        <v>65597252.961869657</v>
      </c>
    </row>
    <row r="25" spans="1:9">
      <c r="A25" s="431">
        <v>19</v>
      </c>
      <c r="B25" s="449" t="s">
        <v>445</v>
      </c>
      <c r="C25" s="718">
        <v>0</v>
      </c>
      <c r="D25" s="718">
        <v>14444390.800420003</v>
      </c>
      <c r="E25" s="718">
        <v>88325.890460908035</v>
      </c>
      <c r="F25" s="718"/>
      <c r="G25" s="718"/>
      <c r="H25" s="721">
        <f t="shared" si="0"/>
        <v>14356064.909959095</v>
      </c>
    </row>
    <row r="26" spans="1:9">
      <c r="A26" s="431">
        <v>20</v>
      </c>
      <c r="B26" s="449" t="s">
        <v>520</v>
      </c>
      <c r="C26" s="718">
        <v>26519.3</v>
      </c>
      <c r="D26" s="718">
        <v>23181907.91</v>
      </c>
      <c r="E26" s="718">
        <v>152253.14915699998</v>
      </c>
      <c r="F26" s="718"/>
      <c r="G26" s="718"/>
      <c r="H26" s="721">
        <f t="shared" si="0"/>
        <v>23056174.060843002</v>
      </c>
      <c r="I26" s="446"/>
    </row>
    <row r="27" spans="1:9">
      <c r="A27" s="431">
        <v>21</v>
      </c>
      <c r="B27" s="449" t="s">
        <v>446</v>
      </c>
      <c r="C27" s="718">
        <v>84937.13</v>
      </c>
      <c r="D27" s="718">
        <v>0</v>
      </c>
      <c r="E27" s="718">
        <v>27613.143558272433</v>
      </c>
      <c r="F27" s="718"/>
      <c r="G27" s="718"/>
      <c r="H27" s="721">
        <f t="shared" si="0"/>
        <v>57323.986441727568</v>
      </c>
      <c r="I27" s="446"/>
    </row>
    <row r="28" spans="1:9">
      <c r="A28" s="431">
        <v>22</v>
      </c>
      <c r="B28" s="449" t="s">
        <v>447</v>
      </c>
      <c r="C28" s="718">
        <v>0</v>
      </c>
      <c r="D28" s="718">
        <v>0</v>
      </c>
      <c r="E28" s="718">
        <v>0</v>
      </c>
      <c r="F28" s="718"/>
      <c r="G28" s="718"/>
      <c r="H28" s="721">
        <f t="shared" si="0"/>
        <v>0</v>
      </c>
      <c r="I28" s="446"/>
    </row>
    <row r="29" spans="1:9">
      <c r="A29" s="431">
        <v>23</v>
      </c>
      <c r="B29" s="449" t="s">
        <v>448</v>
      </c>
      <c r="C29" s="718">
        <v>22698.74</v>
      </c>
      <c r="D29" s="718">
        <v>16180639.869812341</v>
      </c>
      <c r="E29" s="718">
        <v>53689.361446369949</v>
      </c>
      <c r="F29" s="718"/>
      <c r="G29" s="718"/>
      <c r="H29" s="721">
        <f t="shared" si="0"/>
        <v>16149649.248365972</v>
      </c>
      <c r="I29" s="446"/>
    </row>
    <row r="30" spans="1:9">
      <c r="A30" s="431">
        <v>24</v>
      </c>
      <c r="B30" s="449" t="s">
        <v>519</v>
      </c>
      <c r="C30" s="718">
        <v>0</v>
      </c>
      <c r="D30" s="718">
        <v>8251814.301492</v>
      </c>
      <c r="E30" s="718">
        <v>1355.687431262847</v>
      </c>
      <c r="F30" s="718"/>
      <c r="G30" s="718"/>
      <c r="H30" s="721">
        <f t="shared" si="0"/>
        <v>8250458.6140607372</v>
      </c>
      <c r="I30" s="446"/>
    </row>
    <row r="31" spans="1:9">
      <c r="A31" s="431">
        <v>25</v>
      </c>
      <c r="B31" s="449" t="s">
        <v>449</v>
      </c>
      <c r="C31" s="718">
        <v>60524.577867999993</v>
      </c>
      <c r="D31" s="718">
        <v>36208.100000000006</v>
      </c>
      <c r="E31" s="718">
        <v>60224.577871263813</v>
      </c>
      <c r="F31" s="718"/>
      <c r="G31" s="718"/>
      <c r="H31" s="721">
        <f t="shared" si="0"/>
        <v>36508.099996736186</v>
      </c>
      <c r="I31" s="446"/>
    </row>
    <row r="32" spans="1:9">
      <c r="A32" s="431">
        <v>26</v>
      </c>
      <c r="B32" s="449" t="s">
        <v>516</v>
      </c>
      <c r="C32" s="718">
        <v>0</v>
      </c>
      <c r="D32" s="718">
        <v>0</v>
      </c>
      <c r="E32" s="718">
        <v>0</v>
      </c>
      <c r="F32" s="718"/>
      <c r="G32" s="718"/>
      <c r="H32" s="721">
        <f t="shared" si="0"/>
        <v>0</v>
      </c>
      <c r="I32" s="446"/>
    </row>
    <row r="33" spans="1:9">
      <c r="A33" s="431">
        <v>27</v>
      </c>
      <c r="B33" s="432" t="s">
        <v>450</v>
      </c>
      <c r="C33" s="718">
        <v>1349093.18</v>
      </c>
      <c r="D33" s="718">
        <v>22497663.345634326</v>
      </c>
      <c r="E33" s="718"/>
      <c r="F33" s="718"/>
      <c r="G33" s="718"/>
      <c r="H33" s="721">
        <f t="shared" si="0"/>
        <v>23846756.525634326</v>
      </c>
      <c r="I33" s="446"/>
    </row>
    <row r="34" spans="1:9">
      <c r="A34" s="431">
        <v>28</v>
      </c>
      <c r="B34" s="448" t="s">
        <v>64</v>
      </c>
      <c r="C34" s="720">
        <f>SUM(C7:C33)</f>
        <v>2398321.6242359998</v>
      </c>
      <c r="D34" s="720">
        <f>SUM(D7:D33)</f>
        <v>489620907.12750083</v>
      </c>
      <c r="E34" s="720">
        <f>SUM(E7:E33)</f>
        <v>2072354.1796905017</v>
      </c>
      <c r="F34" s="720">
        <f>SUM(F7:F33)</f>
        <v>0</v>
      </c>
      <c r="G34" s="720">
        <f>SUM(G7:G33)</f>
        <v>0</v>
      </c>
      <c r="H34" s="721">
        <f t="shared" si="0"/>
        <v>489946874.57204634</v>
      </c>
      <c r="I34" s="446"/>
    </row>
    <row r="35" spans="1:9">
      <c r="A35" s="446"/>
      <c r="B35" s="446"/>
      <c r="C35" s="446"/>
      <c r="D35" s="446"/>
      <c r="E35" s="446"/>
      <c r="F35" s="446"/>
      <c r="G35" s="446"/>
      <c r="H35" s="446"/>
      <c r="I35" s="446"/>
    </row>
    <row r="36" spans="1:9">
      <c r="A36" s="446"/>
      <c r="B36" s="447"/>
      <c r="C36" s="446"/>
      <c r="D36" s="446"/>
      <c r="E36" s="446"/>
      <c r="F36" s="446"/>
      <c r="G36" s="446"/>
      <c r="H36" s="446"/>
      <c r="I36" s="446"/>
    </row>
  </sheetData>
  <mergeCells count="5">
    <mergeCell ref="G5:G6"/>
    <mergeCell ref="A5:B6"/>
    <mergeCell ref="C5:D5"/>
    <mergeCell ref="E5:E6"/>
    <mergeCell ref="F5:F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sheetPr>
  <dimension ref="A1:D15"/>
  <sheetViews>
    <sheetView showGridLines="0" zoomScaleNormal="100" workbookViewId="0">
      <selection activeCell="A5" sqref="A5:B5"/>
    </sheetView>
  </sheetViews>
  <sheetFormatPr defaultColWidth="9.140625" defaultRowHeight="12.75"/>
  <cols>
    <col min="1" max="1" width="11.85546875" style="421" bestFit="1" customWidth="1"/>
    <col min="2" max="2" width="72" style="421" bestFit="1" customWidth="1"/>
    <col min="3" max="3" width="10.42578125" style="421" bestFit="1" customWidth="1"/>
    <col min="4" max="4" width="21.28515625" style="366" bestFit="1" customWidth="1"/>
    <col min="5" max="16384" width="9.140625" style="421"/>
  </cols>
  <sheetData>
    <row r="1" spans="1:4" ht="13.5">
      <c r="A1" s="363" t="s">
        <v>30</v>
      </c>
      <c r="B1" s="536" t="str">
        <f>'1. key ratios '!B1</f>
        <v>JSC Isbank Georgia</v>
      </c>
      <c r="D1" s="421"/>
    </row>
    <row r="2" spans="1:4" ht="13.5">
      <c r="A2" s="364" t="s">
        <v>31</v>
      </c>
      <c r="B2" s="537">
        <f>'1. key ratios '!B2</f>
        <v>45657</v>
      </c>
      <c r="D2" s="421"/>
    </row>
    <row r="3" spans="1:4">
      <c r="A3" s="365" t="s">
        <v>451</v>
      </c>
      <c r="D3" s="421"/>
    </row>
    <row r="5" spans="1:4" ht="25.5">
      <c r="A5" s="872" t="s">
        <v>665</v>
      </c>
      <c r="B5" s="872"/>
      <c r="C5" s="429" t="s">
        <v>468</v>
      </c>
      <c r="D5" s="429" t="s">
        <v>509</v>
      </c>
    </row>
    <row r="6" spans="1:4">
      <c r="A6" s="456">
        <v>1</v>
      </c>
      <c r="B6" s="450" t="s">
        <v>664</v>
      </c>
      <c r="C6" s="723">
        <v>1743631.8794659737</v>
      </c>
      <c r="D6" s="723">
        <v>235847.01315777045</v>
      </c>
    </row>
    <row r="7" spans="1:4">
      <c r="A7" s="453">
        <v>2</v>
      </c>
      <c r="B7" s="450" t="s">
        <v>663</v>
      </c>
      <c r="C7" s="723">
        <f>SUM(C8:C9)</f>
        <v>650934.77115232497</v>
      </c>
      <c r="D7" s="723">
        <f>SUM(D8:D9)</f>
        <v>3783.7478284425924</v>
      </c>
    </row>
    <row r="8" spans="1:4">
      <c r="A8" s="455">
        <v>2.1</v>
      </c>
      <c r="B8" s="454" t="s">
        <v>524</v>
      </c>
      <c r="C8" s="722">
        <v>650934.77115232497</v>
      </c>
      <c r="D8" s="722">
        <v>3783.7478284425924</v>
      </c>
    </row>
    <row r="9" spans="1:4">
      <c r="A9" s="455">
        <v>2.2000000000000002</v>
      </c>
      <c r="B9" s="454" t="s">
        <v>522</v>
      </c>
      <c r="C9" s="722">
        <v>0</v>
      </c>
      <c r="D9" s="722">
        <v>0</v>
      </c>
    </row>
    <row r="10" spans="1:4">
      <c r="A10" s="456">
        <v>3</v>
      </c>
      <c r="B10" s="450" t="s">
        <v>662</v>
      </c>
      <c r="C10" s="723">
        <f>SUM(C11:C13)</f>
        <v>766863.64265097678</v>
      </c>
      <c r="D10" s="723">
        <f>SUM(D11:D13)</f>
        <v>20004.028913694197</v>
      </c>
    </row>
    <row r="11" spans="1:4">
      <c r="A11" s="455">
        <v>3.1</v>
      </c>
      <c r="B11" s="454" t="s">
        <v>453</v>
      </c>
      <c r="C11" s="722"/>
      <c r="D11" s="722"/>
    </row>
    <row r="12" spans="1:4">
      <c r="A12" s="455">
        <v>3.2</v>
      </c>
      <c r="B12" s="454" t="s">
        <v>661</v>
      </c>
      <c r="C12" s="722">
        <v>766863.64265097678</v>
      </c>
      <c r="D12" s="722">
        <v>20004.028913694197</v>
      </c>
    </row>
    <row r="13" spans="1:4">
      <c r="A13" s="455">
        <v>3.3</v>
      </c>
      <c r="B13" s="454" t="s">
        <v>523</v>
      </c>
      <c r="C13" s="722">
        <v>0</v>
      </c>
      <c r="D13" s="722">
        <v>0</v>
      </c>
    </row>
    <row r="14" spans="1:4">
      <c r="A14" s="453">
        <v>4</v>
      </c>
      <c r="B14" s="452" t="s">
        <v>660</v>
      </c>
      <c r="C14" s="722">
        <v>-828.25055197793904</v>
      </c>
      <c r="D14" s="722">
        <v>-1340.01069305749</v>
      </c>
    </row>
    <row r="15" spans="1:4">
      <c r="A15" s="451">
        <v>5</v>
      </c>
      <c r="B15" s="450" t="s">
        <v>659</v>
      </c>
      <c r="C15" s="717">
        <f>C6+C7-C10+C14</f>
        <v>1626874.7574153442</v>
      </c>
      <c r="D15" s="717">
        <f>D6+D7-D10+D14</f>
        <v>218286.72137946135</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2D050"/>
  </sheetPr>
  <dimension ref="A1:D23"/>
  <sheetViews>
    <sheetView showGridLines="0" zoomScaleNormal="100" workbookViewId="0">
      <selection activeCell="A5" sqref="A5:B6"/>
    </sheetView>
  </sheetViews>
  <sheetFormatPr defaultColWidth="9.140625" defaultRowHeight="12.75"/>
  <cols>
    <col min="1" max="1" width="11.85546875" style="421" bestFit="1" customWidth="1"/>
    <col min="2" max="2" width="64.42578125" style="421" bestFit="1" customWidth="1"/>
    <col min="3" max="3" width="26.42578125" style="421" customWidth="1"/>
    <col min="4" max="4" width="35.28515625" style="421" customWidth="1"/>
    <col min="5" max="16384" width="9.140625" style="421"/>
  </cols>
  <sheetData>
    <row r="1" spans="1:4" ht="13.5">
      <c r="A1" s="363" t="s">
        <v>30</v>
      </c>
      <c r="B1" s="536" t="str">
        <f>'1. key ratios '!B1</f>
        <v>JSC Isbank Georgia</v>
      </c>
    </row>
    <row r="2" spans="1:4" ht="13.5">
      <c r="A2" s="364" t="s">
        <v>31</v>
      </c>
      <c r="B2" s="537">
        <f>'1. key ratios '!B2</f>
        <v>45657</v>
      </c>
    </row>
    <row r="3" spans="1:4">
      <c r="A3" s="365" t="s">
        <v>455</v>
      </c>
    </row>
    <row r="4" spans="1:4">
      <c r="A4" s="365"/>
    </row>
    <row r="5" spans="1:4" ht="15" customHeight="1">
      <c r="A5" s="873" t="s">
        <v>525</v>
      </c>
      <c r="B5" s="874"/>
      <c r="C5" s="877" t="s">
        <v>456</v>
      </c>
      <c r="D5" s="877" t="s">
        <v>457</v>
      </c>
    </row>
    <row r="6" spans="1:4">
      <c r="A6" s="875"/>
      <c r="B6" s="876"/>
      <c r="C6" s="877"/>
      <c r="D6" s="877"/>
    </row>
    <row r="7" spans="1:4">
      <c r="A7" s="459">
        <v>1</v>
      </c>
      <c r="B7" s="422" t="s">
        <v>452</v>
      </c>
      <c r="C7" s="723">
        <v>1278981.9099999997</v>
      </c>
      <c r="D7" s="457"/>
    </row>
    <row r="8" spans="1:4">
      <c r="A8" s="461">
        <v>2</v>
      </c>
      <c r="B8" s="461" t="s">
        <v>458</v>
      </c>
      <c r="C8" s="723">
        <v>10143.732330779585</v>
      </c>
      <c r="D8" s="457"/>
    </row>
    <row r="9" spans="1:4">
      <c r="A9" s="461">
        <v>3</v>
      </c>
      <c r="B9" s="462" t="s">
        <v>668</v>
      </c>
      <c r="C9" s="723">
        <v>4898.5934234531378</v>
      </c>
      <c r="D9" s="457"/>
    </row>
    <row r="10" spans="1:4">
      <c r="A10" s="461">
        <v>4</v>
      </c>
      <c r="B10" s="461" t="s">
        <v>459</v>
      </c>
      <c r="C10" s="723">
        <f>SUM(C11:C17)</f>
        <v>254688.72594023217</v>
      </c>
      <c r="D10" s="457"/>
    </row>
    <row r="11" spans="1:4">
      <c r="A11" s="461">
        <v>5</v>
      </c>
      <c r="B11" s="460" t="s">
        <v>667</v>
      </c>
      <c r="C11" s="722">
        <v>0</v>
      </c>
      <c r="D11" s="457"/>
    </row>
    <row r="12" spans="1:4">
      <c r="A12" s="461">
        <v>6</v>
      </c>
      <c r="B12" s="460" t="s">
        <v>460</v>
      </c>
      <c r="C12" s="722">
        <v>254688.72594023217</v>
      </c>
      <c r="D12" s="457"/>
    </row>
    <row r="13" spans="1:4">
      <c r="A13" s="461">
        <v>7</v>
      </c>
      <c r="B13" s="460" t="s">
        <v>463</v>
      </c>
      <c r="C13" s="722">
        <v>0</v>
      </c>
      <c r="D13" s="457"/>
    </row>
    <row r="14" spans="1:4">
      <c r="A14" s="461">
        <v>8</v>
      </c>
      <c r="B14" s="460" t="s">
        <v>461</v>
      </c>
      <c r="C14" s="722">
        <v>0</v>
      </c>
      <c r="D14" s="461"/>
    </row>
    <row r="15" spans="1:4">
      <c r="A15" s="461">
        <v>9</v>
      </c>
      <c r="B15" s="460" t="s">
        <v>462</v>
      </c>
      <c r="C15" s="722">
        <v>0</v>
      </c>
      <c r="D15" s="461"/>
    </row>
    <row r="16" spans="1:4">
      <c r="A16" s="461">
        <v>10</v>
      </c>
      <c r="B16" s="460" t="s">
        <v>464</v>
      </c>
      <c r="C16" s="722">
        <v>0</v>
      </c>
      <c r="D16" s="461"/>
    </row>
    <row r="17" spans="1:4">
      <c r="A17" s="461">
        <v>11</v>
      </c>
      <c r="B17" s="460" t="s">
        <v>666</v>
      </c>
      <c r="C17" s="722">
        <v>0</v>
      </c>
      <c r="D17" s="457"/>
    </row>
    <row r="18" spans="1:4">
      <c r="A18" s="459">
        <v>12</v>
      </c>
      <c r="B18" s="458" t="s">
        <v>454</v>
      </c>
      <c r="C18" s="717">
        <f>C7+C8+C9-C10</f>
        <v>1039335.5098140002</v>
      </c>
      <c r="D18" s="457"/>
    </row>
    <row r="21" spans="1:4">
      <c r="B21" s="363"/>
    </row>
    <row r="22" spans="1:4">
      <c r="B22" s="364"/>
    </row>
    <row r="23" spans="1:4">
      <c r="B23" s="365"/>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2D050"/>
  </sheetPr>
  <dimension ref="A1:AB28"/>
  <sheetViews>
    <sheetView showGridLines="0" zoomScaleNormal="100" workbookViewId="0">
      <selection activeCell="A5" sqref="A5:B7"/>
    </sheetView>
  </sheetViews>
  <sheetFormatPr defaultColWidth="9.140625" defaultRowHeight="12.75"/>
  <cols>
    <col min="1" max="1" width="11.85546875" style="443" bestFit="1" customWidth="1"/>
    <col min="2" max="2" width="21.28515625" style="443" bestFit="1" customWidth="1"/>
    <col min="3" max="4" width="12.42578125" style="443" bestFit="1" customWidth="1"/>
    <col min="5" max="5" width="14" style="443" bestFit="1" customWidth="1"/>
    <col min="6" max="6" width="21.85546875" style="443" bestFit="1" customWidth="1"/>
    <col min="7" max="7" width="14.85546875" style="443" bestFit="1" customWidth="1"/>
    <col min="8" max="8" width="10.5703125" style="443" bestFit="1" customWidth="1"/>
    <col min="9" max="9" width="14" style="443" bestFit="1" customWidth="1"/>
    <col min="10" max="10" width="21.85546875" style="443" bestFit="1" customWidth="1"/>
    <col min="11" max="11" width="14.85546875" style="443" bestFit="1" customWidth="1"/>
    <col min="12" max="12" width="10.42578125" style="443" bestFit="1" customWidth="1"/>
    <col min="13" max="13" width="14" style="443" bestFit="1" customWidth="1"/>
    <col min="14" max="14" width="21.85546875" style="443" bestFit="1" customWidth="1"/>
    <col min="15" max="15" width="19" style="443" bestFit="1" customWidth="1"/>
    <col min="16" max="16" width="21.7109375" style="443" bestFit="1" customWidth="1"/>
    <col min="17" max="18" width="19.7109375" style="443" bestFit="1" customWidth="1"/>
    <col min="19" max="19" width="13.28515625" style="443" bestFit="1" customWidth="1"/>
    <col min="20" max="26" width="22.28515625" style="443" customWidth="1"/>
    <col min="27" max="27" width="23.28515625" style="443" bestFit="1" customWidth="1"/>
    <col min="28" max="28" width="20" style="443" customWidth="1"/>
    <col min="29" max="16384" width="9.140625" style="443"/>
  </cols>
  <sheetData>
    <row r="1" spans="1:28" ht="13.5">
      <c r="A1" s="363" t="s">
        <v>30</v>
      </c>
      <c r="B1" s="536" t="str">
        <f>'1. key ratios '!B1</f>
        <v>JSC Isbank Georgia</v>
      </c>
    </row>
    <row r="2" spans="1:28" ht="13.5">
      <c r="A2" s="364" t="s">
        <v>31</v>
      </c>
      <c r="B2" s="537">
        <f>'1. key ratios '!B2</f>
        <v>45657</v>
      </c>
      <c r="C2" s="444"/>
    </row>
    <row r="3" spans="1:28">
      <c r="A3" s="365" t="s">
        <v>465</v>
      </c>
    </row>
    <row r="5" spans="1:28" ht="15" customHeight="1">
      <c r="A5" s="879" t="s">
        <v>680</v>
      </c>
      <c r="B5" s="880"/>
      <c r="C5" s="885" t="s">
        <v>466</v>
      </c>
      <c r="D5" s="886"/>
      <c r="E5" s="886"/>
      <c r="F5" s="886"/>
      <c r="G5" s="886"/>
      <c r="H5" s="886"/>
      <c r="I5" s="886"/>
      <c r="J5" s="886"/>
      <c r="K5" s="886"/>
      <c r="L5" s="886"/>
      <c r="M5" s="886"/>
      <c r="N5" s="886"/>
      <c r="O5" s="886"/>
      <c r="P5" s="886"/>
      <c r="Q5" s="886"/>
      <c r="R5" s="886"/>
      <c r="S5" s="886"/>
      <c r="T5" s="475"/>
      <c r="U5" s="475"/>
      <c r="V5" s="475"/>
      <c r="W5" s="475"/>
      <c r="X5" s="475"/>
      <c r="Y5" s="475"/>
      <c r="Z5" s="475"/>
      <c r="AA5" s="474"/>
      <c r="AB5" s="467"/>
    </row>
    <row r="6" spans="1:28" ht="12" customHeight="1">
      <c r="A6" s="881"/>
      <c r="B6" s="882"/>
      <c r="C6" s="887" t="s">
        <v>64</v>
      </c>
      <c r="D6" s="889" t="s">
        <v>679</v>
      </c>
      <c r="E6" s="889"/>
      <c r="F6" s="889"/>
      <c r="G6" s="889"/>
      <c r="H6" s="889" t="s">
        <v>678</v>
      </c>
      <c r="I6" s="889"/>
      <c r="J6" s="889"/>
      <c r="K6" s="889"/>
      <c r="L6" s="473"/>
      <c r="M6" s="890" t="s">
        <v>677</v>
      </c>
      <c r="N6" s="890"/>
      <c r="O6" s="890"/>
      <c r="P6" s="890"/>
      <c r="Q6" s="890"/>
      <c r="R6" s="890"/>
      <c r="S6" s="870"/>
      <c r="T6" s="472"/>
      <c r="U6" s="878" t="s">
        <v>676</v>
      </c>
      <c r="V6" s="878"/>
      <c r="W6" s="878"/>
      <c r="X6" s="878"/>
      <c r="Y6" s="878"/>
      <c r="Z6" s="878"/>
      <c r="AA6" s="871"/>
      <c r="AB6" s="471"/>
    </row>
    <row r="7" spans="1:28" ht="25.5">
      <c r="A7" s="883"/>
      <c r="B7" s="884"/>
      <c r="C7" s="888"/>
      <c r="D7" s="470"/>
      <c r="E7" s="468" t="s">
        <v>467</v>
      </c>
      <c r="F7" s="440" t="s">
        <v>674</v>
      </c>
      <c r="G7" s="442" t="s">
        <v>675</v>
      </c>
      <c r="H7" s="444"/>
      <c r="I7" s="468" t="s">
        <v>467</v>
      </c>
      <c r="J7" s="440" t="s">
        <v>674</v>
      </c>
      <c r="K7" s="442" t="s">
        <v>675</v>
      </c>
      <c r="L7" s="469"/>
      <c r="M7" s="468" t="s">
        <v>467</v>
      </c>
      <c r="N7" s="468" t="s">
        <v>674</v>
      </c>
      <c r="O7" s="468" t="s">
        <v>673</v>
      </c>
      <c r="P7" s="468" t="s">
        <v>672</v>
      </c>
      <c r="Q7" s="468" t="s">
        <v>671</v>
      </c>
      <c r="R7" s="440" t="s">
        <v>670</v>
      </c>
      <c r="S7" s="468" t="s">
        <v>669</v>
      </c>
      <c r="T7" s="469"/>
      <c r="U7" s="468" t="s">
        <v>467</v>
      </c>
      <c r="V7" s="468" t="s">
        <v>674</v>
      </c>
      <c r="W7" s="468" t="s">
        <v>673</v>
      </c>
      <c r="X7" s="468" t="s">
        <v>672</v>
      </c>
      <c r="Y7" s="468" t="s">
        <v>671</v>
      </c>
      <c r="Z7" s="440" t="s">
        <v>670</v>
      </c>
      <c r="AA7" s="468" t="s">
        <v>669</v>
      </c>
      <c r="AB7" s="467"/>
    </row>
    <row r="8" spans="1:28">
      <c r="A8" s="466">
        <v>1</v>
      </c>
      <c r="B8" s="436" t="s">
        <v>468</v>
      </c>
      <c r="C8" s="727">
        <f>SUM(C9:C14)</f>
        <v>325227910.29250395</v>
      </c>
      <c r="D8" s="727">
        <f t="shared" ref="D8:S8" si="0">SUM(D9:D14)</f>
        <v>324142473.74826795</v>
      </c>
      <c r="E8" s="727">
        <f t="shared" si="0"/>
        <v>876027.40827200003</v>
      </c>
      <c r="F8" s="727">
        <f t="shared" si="0"/>
        <v>0</v>
      </c>
      <c r="G8" s="727">
        <f t="shared" si="0"/>
        <v>1499.19</v>
      </c>
      <c r="H8" s="727">
        <f t="shared" si="0"/>
        <v>36208.100000000006</v>
      </c>
      <c r="I8" s="727">
        <f t="shared" si="0"/>
        <v>0</v>
      </c>
      <c r="J8" s="727">
        <f t="shared" si="0"/>
        <v>36208.100000000006</v>
      </c>
      <c r="K8" s="727">
        <f t="shared" si="0"/>
        <v>0</v>
      </c>
      <c r="L8" s="727">
        <f t="shared" si="0"/>
        <v>1049228.4442359998</v>
      </c>
      <c r="M8" s="727">
        <f t="shared" si="0"/>
        <v>405732.13194799999</v>
      </c>
      <c r="N8" s="727">
        <f t="shared" si="0"/>
        <v>217055.07441999999</v>
      </c>
      <c r="O8" s="727">
        <f t="shared" si="0"/>
        <v>0</v>
      </c>
      <c r="P8" s="727">
        <f t="shared" si="0"/>
        <v>0</v>
      </c>
      <c r="Q8" s="727">
        <f t="shared" si="0"/>
        <v>0</v>
      </c>
      <c r="R8" s="727">
        <f t="shared" si="0"/>
        <v>6899.27</v>
      </c>
      <c r="S8" s="727">
        <f t="shared" si="0"/>
        <v>7690</v>
      </c>
      <c r="T8" s="431"/>
      <c r="U8" s="431"/>
      <c r="V8" s="431"/>
      <c r="W8" s="431"/>
      <c r="X8" s="431"/>
      <c r="Y8" s="431"/>
      <c r="Z8" s="431"/>
      <c r="AA8" s="431"/>
      <c r="AB8" s="463"/>
    </row>
    <row r="9" spans="1:28">
      <c r="A9" s="431">
        <v>1.1000000000000001</v>
      </c>
      <c r="B9" s="465" t="s">
        <v>469</v>
      </c>
      <c r="C9" s="724"/>
      <c r="D9" s="718"/>
      <c r="E9" s="718"/>
      <c r="F9" s="718"/>
      <c r="G9" s="718"/>
      <c r="H9" s="718"/>
      <c r="I9" s="718"/>
      <c r="J9" s="718"/>
      <c r="K9" s="718"/>
      <c r="L9" s="718"/>
      <c r="M9" s="718"/>
      <c r="N9" s="718"/>
      <c r="O9" s="718"/>
      <c r="P9" s="718"/>
      <c r="Q9" s="718"/>
      <c r="R9" s="718"/>
      <c r="S9" s="718"/>
      <c r="T9" s="431"/>
      <c r="U9" s="431"/>
      <c r="V9" s="431"/>
      <c r="W9" s="431"/>
      <c r="X9" s="431"/>
      <c r="Y9" s="431"/>
      <c r="Z9" s="431"/>
      <c r="AA9" s="431"/>
      <c r="AB9" s="463"/>
    </row>
    <row r="10" spans="1:28">
      <c r="A10" s="431">
        <v>1.2</v>
      </c>
      <c r="B10" s="465" t="s">
        <v>470</v>
      </c>
      <c r="C10" s="724"/>
      <c r="D10" s="718"/>
      <c r="E10" s="718"/>
      <c r="F10" s="718"/>
      <c r="G10" s="718"/>
      <c r="H10" s="718"/>
      <c r="I10" s="718"/>
      <c r="J10" s="718"/>
      <c r="K10" s="718"/>
      <c r="L10" s="718"/>
      <c r="M10" s="718"/>
      <c r="N10" s="718"/>
      <c r="O10" s="718"/>
      <c r="P10" s="718"/>
      <c r="Q10" s="718"/>
      <c r="R10" s="718"/>
      <c r="S10" s="718"/>
      <c r="T10" s="431"/>
      <c r="U10" s="431"/>
      <c r="V10" s="431"/>
      <c r="W10" s="431"/>
      <c r="X10" s="431"/>
      <c r="Y10" s="431"/>
      <c r="Z10" s="431"/>
      <c r="AA10" s="431"/>
      <c r="AB10" s="463"/>
    </row>
    <row r="11" spans="1:28">
      <c r="A11" s="431">
        <v>1.3</v>
      </c>
      <c r="B11" s="465" t="s">
        <v>471</v>
      </c>
      <c r="C11" s="724">
        <v>0</v>
      </c>
      <c r="D11" s="718">
        <v>0</v>
      </c>
      <c r="E11" s="718">
        <v>0</v>
      </c>
      <c r="F11" s="718">
        <v>0</v>
      </c>
      <c r="G11" s="718">
        <v>0</v>
      </c>
      <c r="H11" s="718">
        <v>0</v>
      </c>
      <c r="I11" s="718">
        <v>0</v>
      </c>
      <c r="J11" s="718">
        <v>0</v>
      </c>
      <c r="K11" s="718">
        <v>0</v>
      </c>
      <c r="L11" s="718">
        <v>0</v>
      </c>
      <c r="M11" s="718">
        <v>0</v>
      </c>
      <c r="N11" s="718">
        <v>0</v>
      </c>
      <c r="O11" s="718">
        <v>0</v>
      </c>
      <c r="P11" s="718">
        <v>0</v>
      </c>
      <c r="Q11" s="718">
        <v>0</v>
      </c>
      <c r="R11" s="718">
        <v>0</v>
      </c>
      <c r="S11" s="718">
        <v>0</v>
      </c>
      <c r="T11" s="431"/>
      <c r="U11" s="431"/>
      <c r="V11" s="431"/>
      <c r="W11" s="431"/>
      <c r="X11" s="431"/>
      <c r="Y11" s="431"/>
      <c r="Z11" s="431"/>
      <c r="AA11" s="431"/>
      <c r="AB11" s="463"/>
    </row>
    <row r="12" spans="1:28">
      <c r="A12" s="431">
        <v>1.4</v>
      </c>
      <c r="B12" s="465" t="s">
        <v>472</v>
      </c>
      <c r="C12" s="724">
        <v>25226088.316528004</v>
      </c>
      <c r="D12" s="718">
        <v>25226088.316528004</v>
      </c>
      <c r="E12" s="718">
        <v>0</v>
      </c>
      <c r="F12" s="718">
        <v>0</v>
      </c>
      <c r="G12" s="718">
        <v>0</v>
      </c>
      <c r="H12" s="718">
        <v>0</v>
      </c>
      <c r="I12" s="718">
        <v>0</v>
      </c>
      <c r="J12" s="718">
        <v>0</v>
      </c>
      <c r="K12" s="718">
        <v>0</v>
      </c>
      <c r="L12" s="718">
        <v>0</v>
      </c>
      <c r="M12" s="718">
        <v>0</v>
      </c>
      <c r="N12" s="718">
        <v>0</v>
      </c>
      <c r="O12" s="718">
        <v>0</v>
      </c>
      <c r="P12" s="718">
        <v>0</v>
      </c>
      <c r="Q12" s="718">
        <v>0</v>
      </c>
      <c r="R12" s="718">
        <v>0</v>
      </c>
      <c r="S12" s="718">
        <v>0</v>
      </c>
      <c r="T12" s="431"/>
      <c r="U12" s="431"/>
      <c r="V12" s="431"/>
      <c r="W12" s="431"/>
      <c r="X12" s="431"/>
      <c r="Y12" s="431"/>
      <c r="Z12" s="431"/>
      <c r="AA12" s="431"/>
      <c r="AB12" s="463"/>
    </row>
    <row r="13" spans="1:28">
      <c r="A13" s="431">
        <v>1.5</v>
      </c>
      <c r="B13" s="465" t="s">
        <v>473</v>
      </c>
      <c r="C13" s="724">
        <v>294749148.01005596</v>
      </c>
      <c r="D13" s="718">
        <v>294343415.87810791</v>
      </c>
      <c r="E13" s="718">
        <v>779925.628272</v>
      </c>
      <c r="F13" s="718">
        <v>0</v>
      </c>
      <c r="G13" s="718">
        <v>0</v>
      </c>
      <c r="H13" s="718">
        <v>0</v>
      </c>
      <c r="I13" s="718">
        <v>0</v>
      </c>
      <c r="J13" s="718">
        <v>0</v>
      </c>
      <c r="K13" s="718">
        <v>0</v>
      </c>
      <c r="L13" s="718">
        <v>405732.13194799999</v>
      </c>
      <c r="M13" s="718">
        <v>405732.13194799999</v>
      </c>
      <c r="N13" s="718">
        <v>0</v>
      </c>
      <c r="O13" s="718">
        <v>0</v>
      </c>
      <c r="P13" s="718">
        <v>0</v>
      </c>
      <c r="Q13" s="718">
        <v>0</v>
      </c>
      <c r="R13" s="718">
        <v>0</v>
      </c>
      <c r="S13" s="718">
        <v>0</v>
      </c>
      <c r="T13" s="431"/>
      <c r="U13" s="431"/>
      <c r="V13" s="431"/>
      <c r="W13" s="431"/>
      <c r="X13" s="431"/>
      <c r="Y13" s="431"/>
      <c r="Z13" s="431"/>
      <c r="AA13" s="431"/>
      <c r="AB13" s="463"/>
    </row>
    <row r="14" spans="1:28">
      <c r="A14" s="431">
        <v>1.6</v>
      </c>
      <c r="B14" s="465" t="s">
        <v>474</v>
      </c>
      <c r="C14" s="724">
        <v>5252673.9659200013</v>
      </c>
      <c r="D14" s="718">
        <v>4572969.5536320005</v>
      </c>
      <c r="E14" s="718">
        <v>96101.78</v>
      </c>
      <c r="F14" s="718">
        <v>0</v>
      </c>
      <c r="G14" s="718">
        <v>1499.19</v>
      </c>
      <c r="H14" s="718">
        <v>36208.100000000006</v>
      </c>
      <c r="I14" s="718">
        <v>0</v>
      </c>
      <c r="J14" s="718">
        <v>36208.100000000006</v>
      </c>
      <c r="K14" s="718">
        <v>0</v>
      </c>
      <c r="L14" s="718">
        <v>643496.3122879999</v>
      </c>
      <c r="M14" s="718">
        <v>0</v>
      </c>
      <c r="N14" s="718">
        <v>217055.07441999999</v>
      </c>
      <c r="O14" s="718">
        <v>0</v>
      </c>
      <c r="P14" s="718">
        <v>0</v>
      </c>
      <c r="Q14" s="718">
        <v>0</v>
      </c>
      <c r="R14" s="718">
        <v>6899.27</v>
      </c>
      <c r="S14" s="718">
        <v>7690</v>
      </c>
      <c r="T14" s="431"/>
      <c r="U14" s="431"/>
      <c r="V14" s="431"/>
      <c r="W14" s="431"/>
      <c r="X14" s="431"/>
      <c r="Y14" s="431"/>
      <c r="Z14" s="431"/>
      <c r="AA14" s="431"/>
      <c r="AB14" s="463"/>
    </row>
    <row r="15" spans="1:28">
      <c r="A15" s="466">
        <v>2</v>
      </c>
      <c r="B15" s="448" t="s">
        <v>475</v>
      </c>
      <c r="C15" s="727">
        <f>SUM(C16:C21)</f>
        <v>56432630.281282753</v>
      </c>
      <c r="D15" s="727">
        <f t="shared" ref="D15:S15" si="1">SUM(D16:D21)</f>
        <v>56432630.281282753</v>
      </c>
      <c r="E15" s="727">
        <f t="shared" si="1"/>
        <v>0</v>
      </c>
      <c r="F15" s="727">
        <f t="shared" si="1"/>
        <v>0</v>
      </c>
      <c r="G15" s="727">
        <f t="shared" si="1"/>
        <v>0</v>
      </c>
      <c r="H15" s="727">
        <f t="shared" si="1"/>
        <v>0</v>
      </c>
      <c r="I15" s="727">
        <f t="shared" si="1"/>
        <v>0</v>
      </c>
      <c r="J15" s="727">
        <f t="shared" si="1"/>
        <v>0</v>
      </c>
      <c r="K15" s="727">
        <f t="shared" si="1"/>
        <v>0</v>
      </c>
      <c r="L15" s="727">
        <f t="shared" si="1"/>
        <v>0</v>
      </c>
      <c r="M15" s="727">
        <f t="shared" si="1"/>
        <v>0</v>
      </c>
      <c r="N15" s="727">
        <f t="shared" si="1"/>
        <v>0</v>
      </c>
      <c r="O15" s="727">
        <f t="shared" si="1"/>
        <v>0</v>
      </c>
      <c r="P15" s="727">
        <f t="shared" si="1"/>
        <v>0</v>
      </c>
      <c r="Q15" s="727">
        <f t="shared" si="1"/>
        <v>0</v>
      </c>
      <c r="R15" s="727">
        <f t="shared" si="1"/>
        <v>0</v>
      </c>
      <c r="S15" s="727">
        <f t="shared" si="1"/>
        <v>0</v>
      </c>
      <c r="T15" s="431"/>
      <c r="U15" s="431"/>
      <c r="V15" s="431"/>
      <c r="W15" s="431"/>
      <c r="X15" s="431"/>
      <c r="Y15" s="431"/>
      <c r="Z15" s="431"/>
      <c r="AA15" s="431"/>
      <c r="AB15" s="463"/>
    </row>
    <row r="16" spans="1:28">
      <c r="A16" s="431">
        <v>2.1</v>
      </c>
      <c r="B16" s="465" t="s">
        <v>469</v>
      </c>
      <c r="C16" s="724">
        <v>0</v>
      </c>
      <c r="D16" s="718">
        <v>0</v>
      </c>
      <c r="E16" s="718"/>
      <c r="F16" s="718"/>
      <c r="G16" s="718"/>
      <c r="H16" s="718">
        <v>0</v>
      </c>
      <c r="I16" s="718"/>
      <c r="J16" s="718"/>
      <c r="K16" s="718"/>
      <c r="L16" s="718">
        <v>0</v>
      </c>
      <c r="M16" s="718"/>
      <c r="N16" s="718"/>
      <c r="O16" s="718"/>
      <c r="P16" s="718"/>
      <c r="Q16" s="718"/>
      <c r="R16" s="718"/>
      <c r="S16" s="718"/>
      <c r="T16" s="431"/>
      <c r="U16" s="431"/>
      <c r="V16" s="431"/>
      <c r="W16" s="431"/>
      <c r="X16" s="431"/>
      <c r="Y16" s="431"/>
      <c r="Z16" s="431"/>
      <c r="AA16" s="431"/>
      <c r="AB16" s="463"/>
    </row>
    <row r="17" spans="1:28">
      <c r="A17" s="431">
        <v>2.2000000000000002</v>
      </c>
      <c r="B17" s="465" t="s">
        <v>470</v>
      </c>
      <c r="C17" s="724">
        <v>2989349.27</v>
      </c>
      <c r="D17" s="718">
        <v>2989349.27</v>
      </c>
      <c r="E17" s="718"/>
      <c r="F17" s="718"/>
      <c r="G17" s="718"/>
      <c r="H17" s="718">
        <v>0</v>
      </c>
      <c r="I17" s="718"/>
      <c r="J17" s="718"/>
      <c r="K17" s="718"/>
      <c r="L17" s="718">
        <v>0</v>
      </c>
      <c r="M17" s="718"/>
      <c r="N17" s="718"/>
      <c r="O17" s="718"/>
      <c r="P17" s="718"/>
      <c r="Q17" s="718"/>
      <c r="R17" s="718"/>
      <c r="S17" s="718"/>
      <c r="T17" s="431"/>
      <c r="U17" s="431"/>
      <c r="V17" s="431"/>
      <c r="W17" s="431"/>
      <c r="X17" s="431"/>
      <c r="Y17" s="431"/>
      <c r="Z17" s="431"/>
      <c r="AA17" s="431"/>
      <c r="AB17" s="463"/>
    </row>
    <row r="18" spans="1:28">
      <c r="A18" s="431">
        <v>2.2999999999999998</v>
      </c>
      <c r="B18" s="465" t="s">
        <v>471</v>
      </c>
      <c r="C18" s="724">
        <v>8537437.2274415325</v>
      </c>
      <c r="D18" s="718">
        <v>8537437.2274415325</v>
      </c>
      <c r="E18" s="718"/>
      <c r="F18" s="718"/>
      <c r="G18" s="718"/>
      <c r="H18" s="718"/>
      <c r="I18" s="718"/>
      <c r="J18" s="718"/>
      <c r="K18" s="718"/>
      <c r="L18" s="718"/>
      <c r="M18" s="718"/>
      <c r="N18" s="718"/>
      <c r="O18" s="718"/>
      <c r="P18" s="718"/>
      <c r="Q18" s="718"/>
      <c r="R18" s="718"/>
      <c r="S18" s="718"/>
      <c r="T18" s="431"/>
      <c r="U18" s="431"/>
      <c r="V18" s="431"/>
      <c r="W18" s="431"/>
      <c r="X18" s="431"/>
      <c r="Y18" s="431"/>
      <c r="Z18" s="431"/>
      <c r="AA18" s="431"/>
      <c r="AB18" s="463"/>
    </row>
    <row r="19" spans="1:28">
      <c r="A19" s="431">
        <v>2.4</v>
      </c>
      <c r="B19" s="465" t="s">
        <v>472</v>
      </c>
      <c r="C19" s="724">
        <v>0</v>
      </c>
      <c r="D19" s="718">
        <v>0</v>
      </c>
      <c r="E19" s="718"/>
      <c r="F19" s="718"/>
      <c r="G19" s="718"/>
      <c r="H19" s="718"/>
      <c r="I19" s="718"/>
      <c r="J19" s="718"/>
      <c r="K19" s="718"/>
      <c r="L19" s="718"/>
      <c r="M19" s="718"/>
      <c r="N19" s="718"/>
      <c r="O19" s="718"/>
      <c r="P19" s="718"/>
      <c r="Q19" s="718"/>
      <c r="R19" s="718"/>
      <c r="S19" s="718"/>
      <c r="T19" s="431"/>
      <c r="U19" s="431"/>
      <c r="V19" s="431"/>
      <c r="W19" s="431"/>
      <c r="X19" s="431"/>
      <c r="Y19" s="431"/>
      <c r="Z19" s="431"/>
      <c r="AA19" s="431"/>
      <c r="AB19" s="463"/>
    </row>
    <row r="20" spans="1:28">
      <c r="A20" s="431">
        <v>2.5</v>
      </c>
      <c r="B20" s="465" t="s">
        <v>473</v>
      </c>
      <c r="C20" s="724">
        <v>44905843.783841223</v>
      </c>
      <c r="D20" s="718">
        <v>44905843.783841223</v>
      </c>
      <c r="E20" s="718"/>
      <c r="F20" s="718"/>
      <c r="G20" s="718"/>
      <c r="H20" s="718">
        <v>0</v>
      </c>
      <c r="I20" s="718"/>
      <c r="J20" s="718"/>
      <c r="K20" s="718"/>
      <c r="L20" s="718">
        <v>0</v>
      </c>
      <c r="M20" s="718"/>
      <c r="N20" s="718"/>
      <c r="O20" s="718"/>
      <c r="P20" s="718"/>
      <c r="Q20" s="718"/>
      <c r="R20" s="718"/>
      <c r="S20" s="718"/>
      <c r="T20" s="431"/>
      <c r="U20" s="431"/>
      <c r="V20" s="431"/>
      <c r="W20" s="431"/>
      <c r="X20" s="431"/>
      <c r="Y20" s="431"/>
      <c r="Z20" s="431"/>
      <c r="AA20" s="431"/>
      <c r="AB20" s="463"/>
    </row>
    <row r="21" spans="1:28">
      <c r="A21" s="431">
        <v>2.6</v>
      </c>
      <c r="B21" s="465" t="s">
        <v>474</v>
      </c>
      <c r="C21" s="724"/>
      <c r="D21" s="718"/>
      <c r="E21" s="718"/>
      <c r="F21" s="718"/>
      <c r="G21" s="718"/>
      <c r="H21" s="718"/>
      <c r="I21" s="718"/>
      <c r="J21" s="718"/>
      <c r="K21" s="718"/>
      <c r="L21" s="718"/>
      <c r="M21" s="718"/>
      <c r="N21" s="718"/>
      <c r="O21" s="718"/>
      <c r="P21" s="718"/>
      <c r="Q21" s="718"/>
      <c r="R21" s="718"/>
      <c r="S21" s="718"/>
      <c r="T21" s="431"/>
      <c r="U21" s="431"/>
      <c r="V21" s="431"/>
      <c r="W21" s="431"/>
      <c r="X21" s="431"/>
      <c r="Y21" s="431"/>
      <c r="Z21" s="431"/>
      <c r="AA21" s="431"/>
      <c r="AB21" s="463"/>
    </row>
    <row r="22" spans="1:28">
      <c r="A22" s="466">
        <v>3</v>
      </c>
      <c r="B22" s="436" t="s">
        <v>515</v>
      </c>
      <c r="C22" s="720">
        <f>SUM(C23:C28)</f>
        <v>160179893.37557799</v>
      </c>
      <c r="D22" s="720">
        <f t="shared" ref="D22:S22" si="2">SUM(D23:D28)</f>
        <v>160179893.37557799</v>
      </c>
      <c r="E22" s="725">
        <f t="shared" si="2"/>
        <v>0</v>
      </c>
      <c r="F22" s="725">
        <f t="shared" si="2"/>
        <v>0</v>
      </c>
      <c r="G22" s="725">
        <f t="shared" si="2"/>
        <v>0</v>
      </c>
      <c r="H22" s="720">
        <f t="shared" si="2"/>
        <v>0</v>
      </c>
      <c r="I22" s="725">
        <f t="shared" si="2"/>
        <v>0</v>
      </c>
      <c r="J22" s="725">
        <f t="shared" si="2"/>
        <v>0</v>
      </c>
      <c r="K22" s="725">
        <f t="shared" si="2"/>
        <v>0</v>
      </c>
      <c r="L22" s="720">
        <f t="shared" si="2"/>
        <v>0</v>
      </c>
      <c r="M22" s="725">
        <f t="shared" si="2"/>
        <v>0</v>
      </c>
      <c r="N22" s="725">
        <f t="shared" si="2"/>
        <v>0</v>
      </c>
      <c r="O22" s="725">
        <f t="shared" si="2"/>
        <v>0</v>
      </c>
      <c r="P22" s="725">
        <f t="shared" si="2"/>
        <v>0</v>
      </c>
      <c r="Q22" s="725">
        <f t="shared" si="2"/>
        <v>0</v>
      </c>
      <c r="R22" s="725">
        <f t="shared" si="2"/>
        <v>0</v>
      </c>
      <c r="S22" s="725">
        <f t="shared" si="2"/>
        <v>0</v>
      </c>
      <c r="T22" s="436"/>
      <c r="U22" s="464"/>
      <c r="V22" s="464"/>
      <c r="W22" s="464"/>
      <c r="X22" s="464"/>
      <c r="Y22" s="464"/>
      <c r="Z22" s="464"/>
      <c r="AA22" s="464"/>
      <c r="AB22" s="463"/>
    </row>
    <row r="23" spans="1:28">
      <c r="A23" s="431">
        <v>3.1</v>
      </c>
      <c r="B23" s="465" t="s">
        <v>469</v>
      </c>
      <c r="C23" s="724"/>
      <c r="D23" s="720"/>
      <c r="E23" s="725"/>
      <c r="F23" s="725"/>
      <c r="G23" s="725"/>
      <c r="H23" s="720"/>
      <c r="I23" s="725"/>
      <c r="J23" s="725"/>
      <c r="K23" s="725"/>
      <c r="L23" s="720"/>
      <c r="M23" s="725"/>
      <c r="N23" s="725"/>
      <c r="O23" s="725"/>
      <c r="P23" s="725"/>
      <c r="Q23" s="725"/>
      <c r="R23" s="725"/>
      <c r="S23" s="725"/>
      <c r="T23" s="436"/>
      <c r="U23" s="464"/>
      <c r="V23" s="464"/>
      <c r="W23" s="464"/>
      <c r="X23" s="464"/>
      <c r="Y23" s="464"/>
      <c r="Z23" s="464"/>
      <c r="AA23" s="464"/>
      <c r="AB23" s="463"/>
    </row>
    <row r="24" spans="1:28">
      <c r="A24" s="431">
        <v>3.2</v>
      </c>
      <c r="B24" s="465" t="s">
        <v>470</v>
      </c>
      <c r="C24" s="724"/>
      <c r="D24" s="720"/>
      <c r="E24" s="725"/>
      <c r="F24" s="725"/>
      <c r="G24" s="725"/>
      <c r="H24" s="720"/>
      <c r="I24" s="725"/>
      <c r="J24" s="725"/>
      <c r="K24" s="725"/>
      <c r="L24" s="720"/>
      <c r="M24" s="725"/>
      <c r="N24" s="725"/>
      <c r="O24" s="725"/>
      <c r="P24" s="725"/>
      <c r="Q24" s="725"/>
      <c r="R24" s="725"/>
      <c r="S24" s="725"/>
      <c r="T24" s="436"/>
      <c r="U24" s="464"/>
      <c r="V24" s="464"/>
      <c r="W24" s="464"/>
      <c r="X24" s="464"/>
      <c r="Y24" s="464"/>
      <c r="Z24" s="464"/>
      <c r="AA24" s="464"/>
      <c r="AB24" s="463"/>
    </row>
    <row r="25" spans="1:28">
      <c r="A25" s="431">
        <v>3.3</v>
      </c>
      <c r="B25" s="465" t="s">
        <v>471</v>
      </c>
      <c r="C25" s="724">
        <v>137447787.61203799</v>
      </c>
      <c r="D25" s="726">
        <v>137447787.61203799</v>
      </c>
      <c r="E25" s="725"/>
      <c r="F25" s="725"/>
      <c r="G25" s="725"/>
      <c r="H25" s="720">
        <v>0</v>
      </c>
      <c r="I25" s="725"/>
      <c r="J25" s="725"/>
      <c r="K25" s="725"/>
      <c r="L25" s="720">
        <v>0</v>
      </c>
      <c r="M25" s="725"/>
      <c r="N25" s="725"/>
      <c r="O25" s="725"/>
      <c r="P25" s="725"/>
      <c r="Q25" s="725"/>
      <c r="R25" s="725"/>
      <c r="S25" s="725"/>
      <c r="T25" s="436"/>
      <c r="U25" s="464"/>
      <c r="V25" s="464"/>
      <c r="W25" s="464"/>
      <c r="X25" s="464"/>
      <c r="Y25" s="464"/>
      <c r="Z25" s="464"/>
      <c r="AA25" s="464"/>
      <c r="AB25" s="463"/>
    </row>
    <row r="26" spans="1:28">
      <c r="A26" s="431">
        <v>3.4</v>
      </c>
      <c r="B26" s="465" t="s">
        <v>472</v>
      </c>
      <c r="C26" s="724">
        <v>0</v>
      </c>
      <c r="D26" s="726">
        <v>0</v>
      </c>
      <c r="E26" s="725"/>
      <c r="F26" s="725"/>
      <c r="G26" s="725"/>
      <c r="H26" s="720">
        <v>0</v>
      </c>
      <c r="I26" s="725"/>
      <c r="J26" s="725"/>
      <c r="K26" s="725"/>
      <c r="L26" s="720">
        <v>0</v>
      </c>
      <c r="M26" s="725"/>
      <c r="N26" s="725"/>
      <c r="O26" s="725"/>
      <c r="P26" s="725"/>
      <c r="Q26" s="725"/>
      <c r="R26" s="725"/>
      <c r="S26" s="725"/>
      <c r="T26" s="436"/>
      <c r="U26" s="464"/>
      <c r="V26" s="464"/>
      <c r="W26" s="464"/>
      <c r="X26" s="464"/>
      <c r="Y26" s="464"/>
      <c r="Z26" s="464"/>
      <c r="AA26" s="464"/>
      <c r="AB26" s="463"/>
    </row>
    <row r="27" spans="1:28">
      <c r="A27" s="431">
        <v>3.5</v>
      </c>
      <c r="B27" s="465" t="s">
        <v>473</v>
      </c>
      <c r="C27" s="724">
        <v>22732105.76354</v>
      </c>
      <c r="D27" s="726">
        <v>22732105.76354</v>
      </c>
      <c r="E27" s="725"/>
      <c r="F27" s="725"/>
      <c r="G27" s="725"/>
      <c r="H27" s="720">
        <v>0</v>
      </c>
      <c r="I27" s="725"/>
      <c r="J27" s="725"/>
      <c r="K27" s="725"/>
      <c r="L27" s="720">
        <v>0</v>
      </c>
      <c r="M27" s="725"/>
      <c r="N27" s="725"/>
      <c r="O27" s="725"/>
      <c r="P27" s="725"/>
      <c r="Q27" s="725"/>
      <c r="R27" s="725"/>
      <c r="S27" s="725"/>
      <c r="T27" s="436"/>
      <c r="U27" s="464"/>
      <c r="V27" s="464"/>
      <c r="W27" s="464"/>
      <c r="X27" s="464"/>
      <c r="Y27" s="464"/>
      <c r="Z27" s="464"/>
      <c r="AA27" s="464"/>
      <c r="AB27" s="463"/>
    </row>
    <row r="28" spans="1:28">
      <c r="A28" s="431">
        <v>3.6</v>
      </c>
      <c r="B28" s="465" t="s">
        <v>474</v>
      </c>
      <c r="C28" s="724">
        <v>0</v>
      </c>
      <c r="D28" s="726">
        <v>0</v>
      </c>
      <c r="E28" s="725"/>
      <c r="F28" s="725"/>
      <c r="G28" s="725"/>
      <c r="H28" s="720">
        <v>0</v>
      </c>
      <c r="I28" s="725"/>
      <c r="J28" s="725"/>
      <c r="K28" s="725"/>
      <c r="L28" s="720">
        <v>0</v>
      </c>
      <c r="M28" s="725"/>
      <c r="N28" s="725"/>
      <c r="O28" s="725"/>
      <c r="P28" s="725"/>
      <c r="Q28" s="725"/>
      <c r="R28" s="725"/>
      <c r="S28" s="725"/>
      <c r="T28" s="436"/>
      <c r="U28" s="464"/>
      <c r="V28" s="464"/>
      <c r="W28" s="464"/>
      <c r="X28" s="464"/>
      <c r="Y28" s="464"/>
      <c r="Z28" s="464"/>
      <c r="AA28" s="464"/>
      <c r="AB28" s="463"/>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2D050"/>
  </sheetPr>
  <dimension ref="A1:AA23"/>
  <sheetViews>
    <sheetView showGridLines="0" zoomScaleNormal="100" workbookViewId="0">
      <selection activeCell="A5" sqref="A5:B7"/>
    </sheetView>
  </sheetViews>
  <sheetFormatPr defaultColWidth="9.140625" defaultRowHeight="12.75"/>
  <cols>
    <col min="1" max="1" width="11.85546875" style="443" bestFit="1" customWidth="1"/>
    <col min="2" max="2" width="38.5703125" style="443" bestFit="1" customWidth="1"/>
    <col min="3" max="3" width="14.42578125" style="443" bestFit="1" customWidth="1"/>
    <col min="4" max="4" width="12.5703125" style="443" bestFit="1" customWidth="1"/>
    <col min="5" max="5" width="13.85546875" style="443" bestFit="1" customWidth="1"/>
    <col min="6" max="6" width="15.5703125" style="443" bestFit="1" customWidth="1"/>
    <col min="7" max="7" width="17" style="443" customWidth="1"/>
    <col min="8" max="8" width="10.5703125" style="443" bestFit="1" customWidth="1"/>
    <col min="9" max="9" width="13.85546875" style="443" bestFit="1" customWidth="1"/>
    <col min="10" max="10" width="17.140625" style="443" customWidth="1"/>
    <col min="11" max="27" width="22.28515625" style="443" customWidth="1"/>
    <col min="28" max="16384" width="9.140625" style="443"/>
  </cols>
  <sheetData>
    <row r="1" spans="1:27" ht="13.5">
      <c r="A1" s="363" t="s">
        <v>30</v>
      </c>
      <c r="B1" s="536" t="str">
        <f>'1. key ratios '!B1</f>
        <v>JSC Isbank Georgia</v>
      </c>
    </row>
    <row r="2" spans="1:27" ht="13.5">
      <c r="A2" s="364" t="s">
        <v>31</v>
      </c>
      <c r="B2" s="537">
        <f>'1. key ratios '!B2</f>
        <v>45657</v>
      </c>
    </row>
    <row r="3" spans="1:27">
      <c r="A3" s="365" t="s">
        <v>477</v>
      </c>
      <c r="C3" s="445"/>
    </row>
    <row r="4" spans="1:27" ht="13.5" thickBot="1">
      <c r="A4" s="365"/>
      <c r="B4" s="512"/>
      <c r="C4" s="445"/>
    </row>
    <row r="5" spans="1:27" s="476" customFormat="1" ht="13.5" customHeight="1">
      <c r="A5" s="891" t="s">
        <v>683</v>
      </c>
      <c r="B5" s="892"/>
      <c r="C5" s="900" t="s">
        <v>682</v>
      </c>
      <c r="D5" s="901"/>
      <c r="E5" s="901"/>
      <c r="F5" s="901"/>
      <c r="G5" s="901"/>
      <c r="H5" s="901"/>
      <c r="I5" s="901"/>
      <c r="J5" s="901"/>
      <c r="K5" s="901"/>
      <c r="L5" s="901"/>
      <c r="M5" s="901"/>
      <c r="N5" s="901"/>
      <c r="O5" s="901"/>
      <c r="P5" s="901"/>
      <c r="Q5" s="901"/>
      <c r="R5" s="901"/>
      <c r="S5" s="902"/>
      <c r="T5" s="475"/>
      <c r="U5" s="475"/>
      <c r="V5" s="475"/>
      <c r="W5" s="475"/>
      <c r="X5" s="475"/>
      <c r="Y5" s="475"/>
      <c r="Z5" s="475"/>
      <c r="AA5" s="474"/>
    </row>
    <row r="6" spans="1:27" s="476" customFormat="1" ht="12" customHeight="1">
      <c r="A6" s="893"/>
      <c r="B6" s="894"/>
      <c r="C6" s="897" t="s">
        <v>64</v>
      </c>
      <c r="D6" s="889" t="s">
        <v>679</v>
      </c>
      <c r="E6" s="889"/>
      <c r="F6" s="889"/>
      <c r="G6" s="889"/>
      <c r="H6" s="889" t="s">
        <v>678</v>
      </c>
      <c r="I6" s="889"/>
      <c r="J6" s="889"/>
      <c r="K6" s="889"/>
      <c r="L6" s="473"/>
      <c r="M6" s="890" t="s">
        <v>677</v>
      </c>
      <c r="N6" s="890"/>
      <c r="O6" s="890"/>
      <c r="P6" s="890"/>
      <c r="Q6" s="890"/>
      <c r="R6" s="890"/>
      <c r="S6" s="899"/>
      <c r="T6" s="475"/>
      <c r="U6" s="878" t="s">
        <v>676</v>
      </c>
      <c r="V6" s="878"/>
      <c r="W6" s="878"/>
      <c r="X6" s="878"/>
      <c r="Y6" s="878"/>
      <c r="Z6" s="878"/>
      <c r="AA6" s="871"/>
    </row>
    <row r="7" spans="1:27" s="476" customFormat="1" ht="25.5">
      <c r="A7" s="895"/>
      <c r="B7" s="896"/>
      <c r="C7" s="898"/>
      <c r="D7" s="470"/>
      <c r="E7" s="468" t="s">
        <v>467</v>
      </c>
      <c r="F7" s="440" t="s">
        <v>674</v>
      </c>
      <c r="G7" s="442" t="s">
        <v>675</v>
      </c>
      <c r="H7" s="511"/>
      <c r="I7" s="468" t="s">
        <v>467</v>
      </c>
      <c r="J7" s="440" t="s">
        <v>674</v>
      </c>
      <c r="K7" s="442" t="s">
        <v>675</v>
      </c>
      <c r="L7" s="469"/>
      <c r="M7" s="468" t="s">
        <v>467</v>
      </c>
      <c r="N7" s="440" t="s">
        <v>674</v>
      </c>
      <c r="O7" s="440" t="s">
        <v>673</v>
      </c>
      <c r="P7" s="440" t="s">
        <v>672</v>
      </c>
      <c r="Q7" s="440" t="s">
        <v>671</v>
      </c>
      <c r="R7" s="440" t="s">
        <v>670</v>
      </c>
      <c r="S7" s="510" t="s">
        <v>669</v>
      </c>
      <c r="T7" s="509"/>
      <c r="U7" s="468" t="s">
        <v>467</v>
      </c>
      <c r="V7" s="468" t="s">
        <v>674</v>
      </c>
      <c r="W7" s="468" t="s">
        <v>673</v>
      </c>
      <c r="X7" s="468" t="s">
        <v>672</v>
      </c>
      <c r="Y7" s="468" t="s">
        <v>671</v>
      </c>
      <c r="Z7" s="440" t="s">
        <v>670</v>
      </c>
      <c r="AA7" s="468" t="s">
        <v>669</v>
      </c>
    </row>
    <row r="8" spans="1:27">
      <c r="A8" s="508">
        <v>1</v>
      </c>
      <c r="B8" s="507" t="s">
        <v>468</v>
      </c>
      <c r="C8" s="740">
        <v>325227910.29250395</v>
      </c>
      <c r="D8" s="727">
        <v>324142473.74826795</v>
      </c>
      <c r="E8" s="727">
        <v>876027.40827200003</v>
      </c>
      <c r="F8" s="727">
        <v>0</v>
      </c>
      <c r="G8" s="727">
        <v>1499.19</v>
      </c>
      <c r="H8" s="727">
        <v>36208.100000000006</v>
      </c>
      <c r="I8" s="727">
        <v>0</v>
      </c>
      <c r="J8" s="727">
        <v>36208.100000000006</v>
      </c>
      <c r="K8" s="727">
        <v>0</v>
      </c>
      <c r="L8" s="727">
        <v>1049228.4442359998</v>
      </c>
      <c r="M8" s="727">
        <v>405732.13194799999</v>
      </c>
      <c r="N8" s="727">
        <v>217055.07441999999</v>
      </c>
      <c r="O8" s="727">
        <v>0</v>
      </c>
      <c r="P8" s="727">
        <v>0</v>
      </c>
      <c r="Q8" s="727">
        <v>0</v>
      </c>
      <c r="R8" s="727">
        <v>6899.27</v>
      </c>
      <c r="S8" s="741">
        <v>7690</v>
      </c>
      <c r="T8" s="499"/>
      <c r="U8" s="431"/>
      <c r="V8" s="431"/>
      <c r="W8" s="431"/>
      <c r="X8" s="431"/>
      <c r="Y8" s="431"/>
      <c r="Z8" s="431"/>
      <c r="AA8" s="498"/>
    </row>
    <row r="9" spans="1:27">
      <c r="A9" s="505">
        <v>1.1000000000000001</v>
      </c>
      <c r="B9" s="506" t="s">
        <v>478</v>
      </c>
      <c r="C9" s="729">
        <v>270340449.12087822</v>
      </c>
      <c r="D9" s="718">
        <v>269343788.62548411</v>
      </c>
      <c r="E9" s="718">
        <v>416290.03303199995</v>
      </c>
      <c r="F9" s="718">
        <v>0</v>
      </c>
      <c r="G9" s="718">
        <v>0</v>
      </c>
      <c r="H9" s="718">
        <v>35201.350000000006</v>
      </c>
      <c r="I9" s="718">
        <v>0</v>
      </c>
      <c r="J9" s="718">
        <v>35201.350000000006</v>
      </c>
      <c r="K9" s="718">
        <v>0</v>
      </c>
      <c r="L9" s="718">
        <v>961459.14539400011</v>
      </c>
      <c r="M9" s="718">
        <v>402189.417526</v>
      </c>
      <c r="N9" s="718">
        <v>144808.88</v>
      </c>
      <c r="O9" s="718">
        <v>0</v>
      </c>
      <c r="P9" s="718">
        <v>0</v>
      </c>
      <c r="Q9" s="718">
        <v>0</v>
      </c>
      <c r="R9" s="718">
        <v>4393.1400000000003</v>
      </c>
      <c r="S9" s="728">
        <v>300</v>
      </c>
      <c r="T9" s="499"/>
      <c r="U9" s="431"/>
      <c r="V9" s="431"/>
      <c r="W9" s="431"/>
      <c r="X9" s="431"/>
      <c r="Y9" s="431"/>
      <c r="Z9" s="431"/>
      <c r="AA9" s="498"/>
    </row>
    <row r="10" spans="1:27">
      <c r="A10" s="503" t="s">
        <v>14</v>
      </c>
      <c r="B10" s="504" t="s">
        <v>479</v>
      </c>
      <c r="C10" s="730">
        <v>152677681.6944021</v>
      </c>
      <c r="D10" s="718">
        <v>151749418.47900805</v>
      </c>
      <c r="E10" s="718">
        <v>416290.03303199995</v>
      </c>
      <c r="F10" s="718">
        <v>0</v>
      </c>
      <c r="G10" s="718">
        <v>0</v>
      </c>
      <c r="H10" s="718">
        <v>35201.350000000006</v>
      </c>
      <c r="I10" s="718">
        <v>0</v>
      </c>
      <c r="J10" s="718">
        <v>35201.350000000006</v>
      </c>
      <c r="K10" s="718">
        <v>0</v>
      </c>
      <c r="L10" s="718">
        <v>893061.86539400008</v>
      </c>
      <c r="M10" s="718">
        <v>402189.417526</v>
      </c>
      <c r="N10" s="718">
        <v>81104.740000000005</v>
      </c>
      <c r="O10" s="718">
        <v>0</v>
      </c>
      <c r="P10" s="718">
        <v>0</v>
      </c>
      <c r="Q10" s="718">
        <v>0</v>
      </c>
      <c r="R10" s="718">
        <v>0</v>
      </c>
      <c r="S10" s="728">
        <v>0</v>
      </c>
      <c r="T10" s="499"/>
      <c r="U10" s="431"/>
      <c r="V10" s="431"/>
      <c r="W10" s="431"/>
      <c r="X10" s="431"/>
      <c r="Y10" s="431"/>
      <c r="Z10" s="431"/>
      <c r="AA10" s="498"/>
    </row>
    <row r="11" spans="1:27">
      <c r="A11" s="502" t="s">
        <v>480</v>
      </c>
      <c r="B11" s="501" t="s">
        <v>481</v>
      </c>
      <c r="C11" s="731">
        <v>62111591.552602008</v>
      </c>
      <c r="D11" s="718">
        <v>61264433.077208005</v>
      </c>
      <c r="E11" s="718">
        <v>416290.03303199995</v>
      </c>
      <c r="F11" s="718">
        <v>0</v>
      </c>
      <c r="G11" s="718">
        <v>0</v>
      </c>
      <c r="H11" s="718">
        <v>35201.350000000006</v>
      </c>
      <c r="I11" s="718">
        <v>0</v>
      </c>
      <c r="J11" s="718">
        <v>35201.350000000006</v>
      </c>
      <c r="K11" s="718">
        <v>0</v>
      </c>
      <c r="L11" s="718">
        <v>811957.12539400009</v>
      </c>
      <c r="M11" s="718">
        <v>402189.417526</v>
      </c>
      <c r="N11" s="718">
        <v>0</v>
      </c>
      <c r="O11" s="718">
        <v>0</v>
      </c>
      <c r="P11" s="718">
        <v>0</v>
      </c>
      <c r="Q11" s="718">
        <v>0</v>
      </c>
      <c r="R11" s="718">
        <v>0</v>
      </c>
      <c r="S11" s="728">
        <v>0</v>
      </c>
      <c r="T11" s="499"/>
      <c r="U11" s="431"/>
      <c r="V11" s="431"/>
      <c r="W11" s="431"/>
      <c r="X11" s="431"/>
      <c r="Y11" s="431"/>
      <c r="Z11" s="431"/>
      <c r="AA11" s="498"/>
    </row>
    <row r="12" spans="1:27">
      <c r="A12" s="502" t="s">
        <v>482</v>
      </c>
      <c r="B12" s="501" t="s">
        <v>483</v>
      </c>
      <c r="C12" s="731">
        <v>4085276.2217999999</v>
      </c>
      <c r="D12" s="718">
        <v>4004171.4817999997</v>
      </c>
      <c r="E12" s="718">
        <v>0</v>
      </c>
      <c r="F12" s="718">
        <v>0</v>
      </c>
      <c r="G12" s="718">
        <v>0</v>
      </c>
      <c r="H12" s="718">
        <v>0</v>
      </c>
      <c r="I12" s="718">
        <v>0</v>
      </c>
      <c r="J12" s="718">
        <v>0</v>
      </c>
      <c r="K12" s="718">
        <v>0</v>
      </c>
      <c r="L12" s="718">
        <v>81104.740000000005</v>
      </c>
      <c r="M12" s="718">
        <v>0</v>
      </c>
      <c r="N12" s="718">
        <v>81104.740000000005</v>
      </c>
      <c r="O12" s="718">
        <v>0</v>
      </c>
      <c r="P12" s="718">
        <v>0</v>
      </c>
      <c r="Q12" s="718">
        <v>0</v>
      </c>
      <c r="R12" s="718">
        <v>0</v>
      </c>
      <c r="S12" s="728">
        <v>0</v>
      </c>
      <c r="T12" s="499"/>
      <c r="U12" s="431"/>
      <c r="V12" s="431"/>
      <c r="W12" s="431"/>
      <c r="X12" s="431"/>
      <c r="Y12" s="431"/>
      <c r="Z12" s="431"/>
      <c r="AA12" s="498"/>
    </row>
    <row r="13" spans="1:27">
      <c r="A13" s="502" t="s">
        <v>484</v>
      </c>
      <c r="B13" s="501" t="s">
        <v>485</v>
      </c>
      <c r="C13" s="731">
        <v>10699561.889999999</v>
      </c>
      <c r="D13" s="718">
        <v>10699561.889999999</v>
      </c>
      <c r="E13" s="718">
        <v>0</v>
      </c>
      <c r="F13" s="718">
        <v>0</v>
      </c>
      <c r="G13" s="718">
        <v>0</v>
      </c>
      <c r="H13" s="718">
        <v>0</v>
      </c>
      <c r="I13" s="718">
        <v>0</v>
      </c>
      <c r="J13" s="718">
        <v>0</v>
      </c>
      <c r="K13" s="718">
        <v>0</v>
      </c>
      <c r="L13" s="718">
        <v>0</v>
      </c>
      <c r="M13" s="718">
        <v>0</v>
      </c>
      <c r="N13" s="718">
        <v>0</v>
      </c>
      <c r="O13" s="718">
        <v>0</v>
      </c>
      <c r="P13" s="718">
        <v>0</v>
      </c>
      <c r="Q13" s="718">
        <v>0</v>
      </c>
      <c r="R13" s="718">
        <v>0</v>
      </c>
      <c r="S13" s="728">
        <v>0</v>
      </c>
      <c r="T13" s="499"/>
      <c r="U13" s="431"/>
      <c r="V13" s="431"/>
      <c r="W13" s="431"/>
      <c r="X13" s="431"/>
      <c r="Y13" s="431"/>
      <c r="Z13" s="431"/>
      <c r="AA13" s="498"/>
    </row>
    <row r="14" spans="1:27">
      <c r="A14" s="502" t="s">
        <v>486</v>
      </c>
      <c r="B14" s="501" t="s">
        <v>487</v>
      </c>
      <c r="C14" s="731">
        <v>75781252.030000001</v>
      </c>
      <c r="D14" s="718">
        <v>75781252.030000001</v>
      </c>
      <c r="E14" s="718">
        <v>0</v>
      </c>
      <c r="F14" s="718">
        <v>0</v>
      </c>
      <c r="G14" s="718">
        <v>0</v>
      </c>
      <c r="H14" s="718">
        <v>0</v>
      </c>
      <c r="I14" s="718">
        <v>0</v>
      </c>
      <c r="J14" s="718">
        <v>0</v>
      </c>
      <c r="K14" s="718">
        <v>0</v>
      </c>
      <c r="L14" s="718">
        <v>0</v>
      </c>
      <c r="M14" s="718">
        <v>0</v>
      </c>
      <c r="N14" s="718">
        <v>0</v>
      </c>
      <c r="O14" s="718">
        <v>0</v>
      </c>
      <c r="P14" s="718">
        <v>0</v>
      </c>
      <c r="Q14" s="718">
        <v>0</v>
      </c>
      <c r="R14" s="718">
        <v>0</v>
      </c>
      <c r="S14" s="728">
        <v>0</v>
      </c>
      <c r="T14" s="499"/>
      <c r="U14" s="431"/>
      <c r="V14" s="431"/>
      <c r="W14" s="431"/>
      <c r="X14" s="431"/>
      <c r="Y14" s="431"/>
      <c r="Z14" s="431"/>
      <c r="AA14" s="498"/>
    </row>
    <row r="15" spans="1:27">
      <c r="A15" s="500">
        <v>1.2</v>
      </c>
      <c r="B15" s="496" t="s">
        <v>681</v>
      </c>
      <c r="C15" s="732">
        <v>1228654.3160438938</v>
      </c>
      <c r="D15" s="718">
        <v>982978.14560640755</v>
      </c>
      <c r="E15" s="718">
        <v>886.32447322676023</v>
      </c>
      <c r="F15" s="718">
        <v>0</v>
      </c>
      <c r="G15" s="718">
        <v>0</v>
      </c>
      <c r="H15" s="718">
        <v>-1.8638073151977818E-14</v>
      </c>
      <c r="I15" s="718">
        <v>0</v>
      </c>
      <c r="J15" s="718">
        <v>-1.8638073151977818E-14</v>
      </c>
      <c r="K15" s="718">
        <v>0</v>
      </c>
      <c r="L15" s="718">
        <v>245676.17043748661</v>
      </c>
      <c r="M15" s="718">
        <v>25759.210524000002</v>
      </c>
      <c r="N15" s="718">
        <v>83377.510540507821</v>
      </c>
      <c r="O15" s="718">
        <v>0</v>
      </c>
      <c r="P15" s="718">
        <v>0</v>
      </c>
      <c r="Q15" s="718">
        <v>0</v>
      </c>
      <c r="R15" s="718">
        <v>1497.8527630825604</v>
      </c>
      <c r="S15" s="728">
        <v>3.2638148618027708E-6</v>
      </c>
      <c r="T15" s="499"/>
      <c r="U15" s="431"/>
      <c r="V15" s="431"/>
      <c r="W15" s="431"/>
      <c r="X15" s="431"/>
      <c r="Y15" s="431"/>
      <c r="Z15" s="431"/>
      <c r="AA15" s="498"/>
    </row>
    <row r="16" spans="1:27">
      <c r="A16" s="497">
        <v>1.3</v>
      </c>
      <c r="B16" s="496" t="s">
        <v>526</v>
      </c>
      <c r="C16" s="733"/>
      <c r="D16" s="734"/>
      <c r="E16" s="734"/>
      <c r="F16" s="734"/>
      <c r="G16" s="734"/>
      <c r="H16" s="734"/>
      <c r="I16" s="734"/>
      <c r="J16" s="734"/>
      <c r="K16" s="734"/>
      <c r="L16" s="734"/>
      <c r="M16" s="734"/>
      <c r="N16" s="734"/>
      <c r="O16" s="734"/>
      <c r="P16" s="734"/>
      <c r="Q16" s="734"/>
      <c r="R16" s="734"/>
      <c r="S16" s="735"/>
      <c r="T16" s="495"/>
      <c r="U16" s="494"/>
      <c r="V16" s="494"/>
      <c r="W16" s="494"/>
      <c r="X16" s="494"/>
      <c r="Y16" s="494"/>
      <c r="Z16" s="494"/>
      <c r="AA16" s="493"/>
    </row>
    <row r="17" spans="1:27" s="476" customFormat="1">
      <c r="A17" s="491" t="s">
        <v>488</v>
      </c>
      <c r="B17" s="492" t="s">
        <v>489</v>
      </c>
      <c r="C17" s="736">
        <v>262562851.00325057</v>
      </c>
      <c r="D17" s="719">
        <v>261566190.50785652</v>
      </c>
      <c r="E17" s="719">
        <v>416290.03303199995</v>
      </c>
      <c r="F17" s="719">
        <v>0</v>
      </c>
      <c r="G17" s="719">
        <v>0</v>
      </c>
      <c r="H17" s="719">
        <v>35201.350000000006</v>
      </c>
      <c r="I17" s="719">
        <v>0</v>
      </c>
      <c r="J17" s="719">
        <v>35201.350000000006</v>
      </c>
      <c r="K17" s="719">
        <v>0</v>
      </c>
      <c r="L17" s="719">
        <v>961459.14539400011</v>
      </c>
      <c r="M17" s="719">
        <v>402189.417526</v>
      </c>
      <c r="N17" s="719">
        <v>144808.88</v>
      </c>
      <c r="O17" s="719">
        <v>0</v>
      </c>
      <c r="P17" s="719">
        <v>0</v>
      </c>
      <c r="Q17" s="719">
        <v>0</v>
      </c>
      <c r="R17" s="719">
        <v>4393.1400000000003</v>
      </c>
      <c r="S17" s="737">
        <v>300</v>
      </c>
      <c r="T17" s="484"/>
      <c r="U17" s="432"/>
      <c r="V17" s="432"/>
      <c r="W17" s="432"/>
      <c r="X17" s="432"/>
      <c r="Y17" s="432"/>
      <c r="Z17" s="432"/>
      <c r="AA17" s="483"/>
    </row>
    <row r="18" spans="1:27" s="476" customFormat="1">
      <c r="A18" s="488" t="s">
        <v>490</v>
      </c>
      <c r="B18" s="489" t="s">
        <v>491</v>
      </c>
      <c r="C18" s="738">
        <v>109964436.3554021</v>
      </c>
      <c r="D18" s="719">
        <v>109036173.14000812</v>
      </c>
      <c r="E18" s="719">
        <v>416290.03303199995</v>
      </c>
      <c r="F18" s="719">
        <v>0</v>
      </c>
      <c r="G18" s="719">
        <v>0</v>
      </c>
      <c r="H18" s="719">
        <v>35201.350000000006</v>
      </c>
      <c r="I18" s="719">
        <v>0</v>
      </c>
      <c r="J18" s="719">
        <v>35201.350000000006</v>
      </c>
      <c r="K18" s="719">
        <v>0</v>
      </c>
      <c r="L18" s="719">
        <v>893061.86539400008</v>
      </c>
      <c r="M18" s="719">
        <v>402189.417526</v>
      </c>
      <c r="N18" s="719">
        <v>81104.740000000005</v>
      </c>
      <c r="O18" s="719">
        <v>0</v>
      </c>
      <c r="P18" s="719">
        <v>0</v>
      </c>
      <c r="Q18" s="719">
        <v>0</v>
      </c>
      <c r="R18" s="719">
        <v>0</v>
      </c>
      <c r="S18" s="737">
        <v>0</v>
      </c>
      <c r="T18" s="484"/>
      <c r="U18" s="432"/>
      <c r="V18" s="432"/>
      <c r="W18" s="432"/>
      <c r="X18" s="432"/>
      <c r="Y18" s="432"/>
      <c r="Z18" s="432"/>
      <c r="AA18" s="483"/>
    </row>
    <row r="19" spans="1:27" s="476" customFormat="1">
      <c r="A19" s="491" t="s">
        <v>492</v>
      </c>
      <c r="B19" s="490" t="s">
        <v>493</v>
      </c>
      <c r="C19" s="739">
        <v>242685145.54292265</v>
      </c>
      <c r="D19" s="719">
        <v>240195440.91770124</v>
      </c>
      <c r="E19" s="719">
        <v>684735.4800000001</v>
      </c>
      <c r="F19" s="719">
        <v>0</v>
      </c>
      <c r="G19" s="719">
        <v>0</v>
      </c>
      <c r="H19" s="719">
        <v>150163.79999999996</v>
      </c>
      <c r="I19" s="719">
        <v>0</v>
      </c>
      <c r="J19" s="719">
        <v>150163.79999999996</v>
      </c>
      <c r="K19" s="719">
        <v>0</v>
      </c>
      <c r="L19" s="719">
        <v>2339540.8252213504</v>
      </c>
      <c r="M19" s="719">
        <v>1891783.2000000002</v>
      </c>
      <c r="N19" s="719">
        <v>21343.460000000036</v>
      </c>
      <c r="O19" s="719">
        <v>0</v>
      </c>
      <c r="P19" s="719">
        <v>0</v>
      </c>
      <c r="Q19" s="719">
        <v>0</v>
      </c>
      <c r="R19" s="719">
        <v>0</v>
      </c>
      <c r="S19" s="737">
        <v>0</v>
      </c>
      <c r="T19" s="484"/>
      <c r="U19" s="432"/>
      <c r="V19" s="432"/>
      <c r="W19" s="432"/>
      <c r="X19" s="432"/>
      <c r="Y19" s="432"/>
      <c r="Z19" s="432"/>
      <c r="AA19" s="483"/>
    </row>
    <row r="20" spans="1:27" s="476" customFormat="1">
      <c r="A20" s="488" t="s">
        <v>494</v>
      </c>
      <c r="B20" s="489" t="s">
        <v>491</v>
      </c>
      <c r="C20" s="738">
        <v>145526781.56971496</v>
      </c>
      <c r="D20" s="719">
        <v>143474467.71201959</v>
      </c>
      <c r="E20" s="719">
        <v>274182.76696800004</v>
      </c>
      <c r="F20" s="719">
        <v>0</v>
      </c>
      <c r="G20" s="719">
        <v>0</v>
      </c>
      <c r="H20" s="719">
        <v>114962.44999999995</v>
      </c>
      <c r="I20" s="719">
        <v>0</v>
      </c>
      <c r="J20" s="719">
        <v>114962.44999999995</v>
      </c>
      <c r="K20" s="719">
        <v>0</v>
      </c>
      <c r="L20" s="719">
        <v>1937351.4076953509</v>
      </c>
      <c r="M20" s="719">
        <v>1489593.7824740002</v>
      </c>
      <c r="N20" s="719">
        <v>21343.460000000036</v>
      </c>
      <c r="O20" s="719">
        <v>0</v>
      </c>
      <c r="P20" s="719">
        <v>0</v>
      </c>
      <c r="Q20" s="719">
        <v>0</v>
      </c>
      <c r="R20" s="719">
        <v>0</v>
      </c>
      <c r="S20" s="737">
        <v>0</v>
      </c>
      <c r="T20" s="484"/>
      <c r="U20" s="432"/>
      <c r="V20" s="432"/>
      <c r="W20" s="432"/>
      <c r="X20" s="432"/>
      <c r="Y20" s="432"/>
      <c r="Z20" s="432"/>
      <c r="AA20" s="483"/>
    </row>
    <row r="21" spans="1:27" s="476" customFormat="1">
      <c r="A21" s="487">
        <v>1.4</v>
      </c>
      <c r="B21" s="486" t="s">
        <v>495</v>
      </c>
      <c r="C21" s="485"/>
      <c r="D21" s="432"/>
      <c r="E21" s="432"/>
      <c r="F21" s="432"/>
      <c r="G21" s="432"/>
      <c r="H21" s="432"/>
      <c r="I21" s="432"/>
      <c r="J21" s="432"/>
      <c r="K21" s="432"/>
      <c r="L21" s="432"/>
      <c r="M21" s="432"/>
      <c r="N21" s="432"/>
      <c r="O21" s="432"/>
      <c r="P21" s="432"/>
      <c r="Q21" s="432"/>
      <c r="R21" s="432"/>
      <c r="S21" s="483"/>
      <c r="T21" s="484"/>
      <c r="U21" s="432"/>
      <c r="V21" s="432"/>
      <c r="W21" s="432"/>
      <c r="X21" s="432"/>
      <c r="Y21" s="432"/>
      <c r="Z21" s="432"/>
      <c r="AA21" s="483"/>
    </row>
    <row r="22" spans="1:27" s="476" customFormat="1" ht="13.5" thickBot="1">
      <c r="A22" s="482">
        <v>1.5</v>
      </c>
      <c r="B22" s="481" t="s">
        <v>496</v>
      </c>
      <c r="C22" s="480"/>
      <c r="D22" s="478"/>
      <c r="E22" s="478"/>
      <c r="F22" s="478"/>
      <c r="G22" s="478"/>
      <c r="H22" s="478"/>
      <c r="I22" s="478"/>
      <c r="J22" s="478"/>
      <c r="K22" s="478"/>
      <c r="L22" s="478"/>
      <c r="M22" s="478"/>
      <c r="N22" s="478"/>
      <c r="O22" s="478"/>
      <c r="P22" s="478"/>
      <c r="Q22" s="478"/>
      <c r="R22" s="478"/>
      <c r="S22" s="477"/>
      <c r="T22" s="479"/>
      <c r="U22" s="478"/>
      <c r="V22" s="478"/>
      <c r="W22" s="478"/>
      <c r="X22" s="478"/>
      <c r="Y22" s="478"/>
      <c r="Z22" s="478"/>
      <c r="AA22" s="477"/>
    </row>
    <row r="23" spans="1:27">
      <c r="A23" s="463"/>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2D050"/>
  </sheetPr>
  <dimension ref="A1:L35"/>
  <sheetViews>
    <sheetView showGridLines="0" zoomScaleNormal="100" workbookViewId="0">
      <selection activeCell="A5" sqref="A5:B6"/>
    </sheetView>
  </sheetViews>
  <sheetFormatPr defaultColWidth="9.140625" defaultRowHeight="12.75"/>
  <cols>
    <col min="1" max="1" width="11.85546875" style="443" bestFit="1" customWidth="1"/>
    <col min="2" max="2" width="53.42578125" style="443" bestFit="1" customWidth="1"/>
    <col min="3" max="4" width="12.28515625" style="443" bestFit="1" customWidth="1"/>
    <col min="5" max="5" width="10.28515625" style="443" bestFit="1" customWidth="1"/>
    <col min="6" max="6" width="10.28515625" style="513" bestFit="1" customWidth="1"/>
    <col min="7" max="7" width="4.85546875" style="513" bestFit="1" customWidth="1"/>
    <col min="8" max="8" width="10.28515625" style="443" bestFit="1" customWidth="1"/>
    <col min="9" max="9" width="10.28515625" style="513" bestFit="1" customWidth="1"/>
    <col min="10" max="10" width="7.140625" style="513" bestFit="1" customWidth="1"/>
    <col min="11" max="11" width="8.7109375" style="513" bestFit="1" customWidth="1"/>
    <col min="12" max="12" width="4.85546875" style="513" bestFit="1" customWidth="1"/>
    <col min="13" max="16384" width="9.140625" style="443"/>
  </cols>
  <sheetData>
    <row r="1" spans="1:12" ht="13.5">
      <c r="A1" s="363" t="s">
        <v>30</v>
      </c>
      <c r="B1" s="536" t="str">
        <f>'1. key ratios '!B1</f>
        <v>JSC Isbank Georgia</v>
      </c>
      <c r="F1" s="443"/>
      <c r="G1" s="443"/>
      <c r="I1" s="443"/>
      <c r="J1" s="443"/>
      <c r="K1" s="443"/>
      <c r="L1" s="443"/>
    </row>
    <row r="2" spans="1:12" ht="13.5">
      <c r="A2" s="364" t="s">
        <v>31</v>
      </c>
      <c r="B2" s="537">
        <f>'1. key ratios '!B2</f>
        <v>45657</v>
      </c>
      <c r="F2" s="443"/>
      <c r="G2" s="443"/>
      <c r="I2" s="443"/>
      <c r="J2" s="443"/>
      <c r="K2" s="443"/>
      <c r="L2" s="443"/>
    </row>
    <row r="3" spans="1:12">
      <c r="A3" s="365" t="s">
        <v>497</v>
      </c>
      <c r="F3" s="443"/>
      <c r="G3" s="443"/>
      <c r="I3" s="443"/>
      <c r="J3" s="443"/>
      <c r="K3" s="443"/>
      <c r="L3" s="443"/>
    </row>
    <row r="4" spans="1:12">
      <c r="F4" s="443"/>
      <c r="G4" s="443"/>
      <c r="I4" s="443"/>
      <c r="J4" s="443"/>
      <c r="K4" s="443"/>
      <c r="L4" s="443"/>
    </row>
    <row r="5" spans="1:12" ht="37.5" customHeight="1">
      <c r="A5" s="857" t="s">
        <v>514</v>
      </c>
      <c r="B5" s="858"/>
      <c r="C5" s="903" t="s">
        <v>498</v>
      </c>
      <c r="D5" s="904"/>
      <c r="E5" s="904"/>
      <c r="F5" s="904"/>
      <c r="G5" s="904"/>
      <c r="H5" s="905" t="s">
        <v>658</v>
      </c>
      <c r="I5" s="906"/>
      <c r="J5" s="906"/>
      <c r="K5" s="906"/>
      <c r="L5" s="907"/>
    </row>
    <row r="6" spans="1:12" ht="39.6" customHeight="1">
      <c r="A6" s="861"/>
      <c r="B6" s="862"/>
      <c r="C6" s="367"/>
      <c r="D6" s="441" t="s">
        <v>679</v>
      </c>
      <c r="E6" s="441" t="s">
        <v>678</v>
      </c>
      <c r="F6" s="441" t="s">
        <v>677</v>
      </c>
      <c r="G6" s="441" t="s">
        <v>676</v>
      </c>
      <c r="H6" s="516"/>
      <c r="I6" s="441" t="s">
        <v>679</v>
      </c>
      <c r="J6" s="441" t="s">
        <v>678</v>
      </c>
      <c r="K6" s="441" t="s">
        <v>677</v>
      </c>
      <c r="L6" s="441" t="s">
        <v>676</v>
      </c>
    </row>
    <row r="7" spans="1:12">
      <c r="A7" s="432">
        <v>1</v>
      </c>
      <c r="B7" s="449" t="s">
        <v>517</v>
      </c>
      <c r="C7" s="742">
        <v>2042385.5875240001</v>
      </c>
      <c r="D7" s="742">
        <v>2039060.6275240001</v>
      </c>
      <c r="E7" s="742">
        <v>0</v>
      </c>
      <c r="F7" s="742">
        <v>3324.96</v>
      </c>
      <c r="G7" s="742">
        <v>0</v>
      </c>
      <c r="H7" s="742">
        <v>13289.814930970475</v>
      </c>
      <c r="I7" s="742">
        <v>12204.609544680499</v>
      </c>
      <c r="J7" s="742">
        <v>0</v>
      </c>
      <c r="K7" s="742">
        <v>1085.2053862899741</v>
      </c>
      <c r="L7" s="742">
        <v>0</v>
      </c>
    </row>
    <row r="8" spans="1:12">
      <c r="A8" s="432">
        <v>2</v>
      </c>
      <c r="B8" s="449" t="s">
        <v>430</v>
      </c>
      <c r="C8" s="742">
        <v>26393697.753436003</v>
      </c>
      <c r="D8" s="718">
        <v>26393697.753436003</v>
      </c>
      <c r="E8" s="718">
        <v>0</v>
      </c>
      <c r="F8" s="743">
        <v>0</v>
      </c>
      <c r="G8" s="743">
        <v>0</v>
      </c>
      <c r="H8" s="718">
        <v>158373.78962626896</v>
      </c>
      <c r="I8" s="743">
        <v>158373.78962626896</v>
      </c>
      <c r="J8" s="743">
        <v>0</v>
      </c>
      <c r="K8" s="743">
        <v>0</v>
      </c>
      <c r="L8" s="743">
        <v>0</v>
      </c>
    </row>
    <row r="9" spans="1:12">
      <c r="A9" s="432">
        <v>3</v>
      </c>
      <c r="B9" s="449" t="s">
        <v>431</v>
      </c>
      <c r="C9" s="742">
        <v>0</v>
      </c>
      <c r="D9" s="718">
        <v>0</v>
      </c>
      <c r="E9" s="718">
        <v>0</v>
      </c>
      <c r="F9" s="744">
        <v>0</v>
      </c>
      <c r="G9" s="744">
        <v>0</v>
      </c>
      <c r="H9" s="718">
        <v>0</v>
      </c>
      <c r="I9" s="744">
        <v>0</v>
      </c>
      <c r="J9" s="744">
        <v>0</v>
      </c>
      <c r="K9" s="744">
        <v>0</v>
      </c>
      <c r="L9" s="744">
        <v>0</v>
      </c>
    </row>
    <row r="10" spans="1:12" ht="25.5">
      <c r="A10" s="432">
        <v>4</v>
      </c>
      <c r="B10" s="449" t="s">
        <v>518</v>
      </c>
      <c r="C10" s="742">
        <v>17081370.303978</v>
      </c>
      <c r="D10" s="718">
        <v>16778276.383978002</v>
      </c>
      <c r="E10" s="718">
        <v>0</v>
      </c>
      <c r="F10" s="744">
        <v>303093.92</v>
      </c>
      <c r="G10" s="744">
        <v>0</v>
      </c>
      <c r="H10" s="718">
        <v>55262.266492966024</v>
      </c>
      <c r="I10" s="744">
        <v>28978.71775433364</v>
      </c>
      <c r="J10" s="744">
        <v>0</v>
      </c>
      <c r="K10" s="744">
        <v>26283.54873863238</v>
      </c>
      <c r="L10" s="744">
        <v>0</v>
      </c>
    </row>
    <row r="11" spans="1:12">
      <c r="A11" s="432">
        <v>5</v>
      </c>
      <c r="B11" s="449" t="s">
        <v>432</v>
      </c>
      <c r="C11" s="742">
        <v>15239120</v>
      </c>
      <c r="D11" s="718">
        <v>15239120</v>
      </c>
      <c r="E11" s="718">
        <v>0</v>
      </c>
      <c r="F11" s="744">
        <v>0</v>
      </c>
      <c r="G11" s="744">
        <v>0</v>
      </c>
      <c r="H11" s="718">
        <v>0</v>
      </c>
      <c r="I11" s="744">
        <v>0</v>
      </c>
      <c r="J11" s="744">
        <v>0</v>
      </c>
      <c r="K11" s="744">
        <v>0</v>
      </c>
      <c r="L11" s="744">
        <v>0</v>
      </c>
    </row>
    <row r="12" spans="1:12">
      <c r="A12" s="432">
        <v>6</v>
      </c>
      <c r="B12" s="449" t="s">
        <v>433</v>
      </c>
      <c r="C12" s="742">
        <v>952801.40908800019</v>
      </c>
      <c r="D12" s="718">
        <v>568239.21766400011</v>
      </c>
      <c r="E12" s="718">
        <v>0</v>
      </c>
      <c r="F12" s="744">
        <v>384562.19142400002</v>
      </c>
      <c r="G12" s="744">
        <v>0</v>
      </c>
      <c r="H12" s="718">
        <v>1497.8527754617678</v>
      </c>
      <c r="I12" s="744">
        <v>1.2379202705127035E-5</v>
      </c>
      <c r="J12" s="744">
        <v>0</v>
      </c>
      <c r="K12" s="744">
        <v>1497.8527630825652</v>
      </c>
      <c r="L12" s="744">
        <v>0</v>
      </c>
    </row>
    <row r="13" spans="1:12">
      <c r="A13" s="432">
        <v>7</v>
      </c>
      <c r="B13" s="449" t="s">
        <v>434</v>
      </c>
      <c r="C13" s="742">
        <v>60490423.500715993</v>
      </c>
      <c r="D13" s="718">
        <v>60490423.500715993</v>
      </c>
      <c r="E13" s="718">
        <v>0</v>
      </c>
      <c r="F13" s="744">
        <v>0</v>
      </c>
      <c r="G13" s="744">
        <v>0</v>
      </c>
      <c r="H13" s="718">
        <v>163170.16392140198</v>
      </c>
      <c r="I13" s="744">
        <v>163170.16392140198</v>
      </c>
      <c r="J13" s="744">
        <v>0</v>
      </c>
      <c r="K13" s="744">
        <v>0</v>
      </c>
      <c r="L13" s="744">
        <v>0</v>
      </c>
    </row>
    <row r="14" spans="1:12">
      <c r="A14" s="432">
        <v>8</v>
      </c>
      <c r="B14" s="449" t="s">
        <v>435</v>
      </c>
      <c r="C14" s="742">
        <v>114727.98</v>
      </c>
      <c r="D14" s="718">
        <v>114727.98</v>
      </c>
      <c r="E14" s="718">
        <v>0</v>
      </c>
      <c r="F14" s="744">
        <v>0</v>
      </c>
      <c r="G14" s="744">
        <v>0</v>
      </c>
      <c r="H14" s="718">
        <v>2.1905706576634495E-15</v>
      </c>
      <c r="I14" s="744">
        <v>2.1905706576634495E-15</v>
      </c>
      <c r="J14" s="744">
        <v>0</v>
      </c>
      <c r="K14" s="744">
        <v>0</v>
      </c>
      <c r="L14" s="744">
        <v>0</v>
      </c>
    </row>
    <row r="15" spans="1:12">
      <c r="A15" s="432">
        <v>9</v>
      </c>
      <c r="B15" s="449" t="s">
        <v>436</v>
      </c>
      <c r="C15" s="742">
        <v>4699426.8137360001</v>
      </c>
      <c r="D15" s="718">
        <v>4699426.8137360001</v>
      </c>
      <c r="E15" s="718">
        <v>0</v>
      </c>
      <c r="F15" s="744">
        <v>0</v>
      </c>
      <c r="G15" s="744">
        <v>0</v>
      </c>
      <c r="H15" s="718">
        <v>0</v>
      </c>
      <c r="I15" s="744">
        <v>0</v>
      </c>
      <c r="J15" s="744">
        <v>0</v>
      </c>
      <c r="K15" s="744">
        <v>0</v>
      </c>
      <c r="L15" s="744">
        <v>0</v>
      </c>
    </row>
    <row r="16" spans="1:12">
      <c r="A16" s="432">
        <v>10</v>
      </c>
      <c r="B16" s="449" t="s">
        <v>437</v>
      </c>
      <c r="C16" s="742">
        <v>15475621.424336001</v>
      </c>
      <c r="D16" s="718">
        <v>15471449.984336002</v>
      </c>
      <c r="E16" s="718">
        <v>0</v>
      </c>
      <c r="F16" s="744">
        <v>4171.4399999999996</v>
      </c>
      <c r="G16" s="744">
        <v>0</v>
      </c>
      <c r="H16" s="718">
        <v>69130.74544731823</v>
      </c>
      <c r="I16" s="744">
        <v>67769.264660606379</v>
      </c>
      <c r="J16" s="744">
        <v>0</v>
      </c>
      <c r="K16" s="744">
        <v>1361.4807867118548</v>
      </c>
      <c r="L16" s="744">
        <v>0</v>
      </c>
    </row>
    <row r="17" spans="1:12">
      <c r="A17" s="432">
        <v>11</v>
      </c>
      <c r="B17" s="449" t="s">
        <v>438</v>
      </c>
      <c r="C17" s="742">
        <v>30149855.665615998</v>
      </c>
      <c r="D17" s="718">
        <v>30143602.675615996</v>
      </c>
      <c r="E17" s="718">
        <v>0</v>
      </c>
      <c r="F17" s="744">
        <v>6252.99</v>
      </c>
      <c r="G17" s="744">
        <v>0</v>
      </c>
      <c r="H17" s="718">
        <v>74783.839221312635</v>
      </c>
      <c r="I17" s="744">
        <v>73069.360534958687</v>
      </c>
      <c r="J17" s="744">
        <v>0</v>
      </c>
      <c r="K17" s="744">
        <v>1714.4786863539487</v>
      </c>
      <c r="L17" s="744">
        <v>0</v>
      </c>
    </row>
    <row r="18" spans="1:12">
      <c r="A18" s="432">
        <v>12</v>
      </c>
      <c r="B18" s="449" t="s">
        <v>439</v>
      </c>
      <c r="C18" s="742">
        <v>14813347.549281999</v>
      </c>
      <c r="D18" s="718">
        <v>14735172.618758</v>
      </c>
      <c r="E18" s="718">
        <v>0</v>
      </c>
      <c r="F18" s="744">
        <v>78174.930523999996</v>
      </c>
      <c r="G18" s="744">
        <v>0</v>
      </c>
      <c r="H18" s="718">
        <v>117649.22227682493</v>
      </c>
      <c r="I18" s="744">
        <v>39474.291752824953</v>
      </c>
      <c r="J18" s="744">
        <v>0</v>
      </c>
      <c r="K18" s="744">
        <v>78174.930523999996</v>
      </c>
      <c r="L18" s="744">
        <v>0</v>
      </c>
    </row>
    <row r="19" spans="1:12">
      <c r="A19" s="432">
        <v>13</v>
      </c>
      <c r="B19" s="449" t="s">
        <v>440</v>
      </c>
      <c r="C19" s="742">
        <v>731308.89</v>
      </c>
      <c r="D19" s="718">
        <v>704340.64</v>
      </c>
      <c r="E19" s="718">
        <v>0</v>
      </c>
      <c r="F19" s="744">
        <v>26968.25</v>
      </c>
      <c r="G19" s="744">
        <v>0</v>
      </c>
      <c r="H19" s="718">
        <v>18543.200032218767</v>
      </c>
      <c r="I19" s="744">
        <v>986.26963816312639</v>
      </c>
      <c r="J19" s="744">
        <v>0</v>
      </c>
      <c r="K19" s="744">
        <v>17556.930394055642</v>
      </c>
      <c r="L19" s="744">
        <v>0</v>
      </c>
    </row>
    <row r="20" spans="1:12">
      <c r="A20" s="432">
        <v>14</v>
      </c>
      <c r="B20" s="449" t="s">
        <v>441</v>
      </c>
      <c r="C20" s="742">
        <v>1435463.9302639998</v>
      </c>
      <c r="D20" s="718">
        <v>1387463.9158439999</v>
      </c>
      <c r="E20" s="718">
        <v>0</v>
      </c>
      <c r="F20" s="744">
        <v>48000.01442</v>
      </c>
      <c r="G20" s="744">
        <v>0</v>
      </c>
      <c r="H20" s="718">
        <v>46732.311041492743</v>
      </c>
      <c r="I20" s="744">
        <v>172.2966149651152</v>
      </c>
      <c r="J20" s="744">
        <v>0</v>
      </c>
      <c r="K20" s="744">
        <v>46560.014426527625</v>
      </c>
      <c r="L20" s="744">
        <v>0</v>
      </c>
    </row>
    <row r="21" spans="1:12">
      <c r="A21" s="432">
        <v>15</v>
      </c>
      <c r="B21" s="449" t="s">
        <v>442</v>
      </c>
      <c r="C21" s="742">
        <v>10016295.35</v>
      </c>
      <c r="D21" s="718">
        <v>10016295.35</v>
      </c>
      <c r="E21" s="718">
        <v>0</v>
      </c>
      <c r="F21" s="744">
        <v>0</v>
      </c>
      <c r="G21" s="744">
        <v>0</v>
      </c>
      <c r="H21" s="718">
        <v>56544.118877701381</v>
      </c>
      <c r="I21" s="744">
        <v>56544.118877701381</v>
      </c>
      <c r="J21" s="744">
        <v>0</v>
      </c>
      <c r="K21" s="744">
        <v>0</v>
      </c>
      <c r="L21" s="744">
        <v>0</v>
      </c>
    </row>
    <row r="22" spans="1:12">
      <c r="A22" s="432">
        <v>16</v>
      </c>
      <c r="B22" s="449" t="s">
        <v>443</v>
      </c>
      <c r="C22" s="742">
        <v>0</v>
      </c>
      <c r="D22" s="718">
        <v>0</v>
      </c>
      <c r="E22" s="718">
        <v>0</v>
      </c>
      <c r="F22" s="744">
        <v>0</v>
      </c>
      <c r="G22" s="744">
        <v>0</v>
      </c>
      <c r="H22" s="718">
        <v>0</v>
      </c>
      <c r="I22" s="744">
        <v>0</v>
      </c>
      <c r="J22" s="744">
        <v>0</v>
      </c>
      <c r="K22" s="744">
        <v>0</v>
      </c>
      <c r="L22" s="744">
        <v>0</v>
      </c>
    </row>
    <row r="23" spans="1:12">
      <c r="A23" s="432">
        <v>17</v>
      </c>
      <c r="B23" s="449" t="s">
        <v>521</v>
      </c>
      <c r="C23" s="742">
        <v>0</v>
      </c>
      <c r="D23" s="718">
        <v>0</v>
      </c>
      <c r="E23" s="718">
        <v>0</v>
      </c>
      <c r="F23" s="744">
        <v>0</v>
      </c>
      <c r="G23" s="744">
        <v>0</v>
      </c>
      <c r="H23" s="718">
        <v>0</v>
      </c>
      <c r="I23" s="744">
        <v>0</v>
      </c>
      <c r="J23" s="744">
        <v>0</v>
      </c>
      <c r="K23" s="744">
        <v>0</v>
      </c>
      <c r="L23" s="744">
        <v>0</v>
      </c>
    </row>
    <row r="24" spans="1:12">
      <c r="A24" s="432">
        <v>18</v>
      </c>
      <c r="B24" s="449" t="s">
        <v>444</v>
      </c>
      <c r="C24" s="742">
        <v>66072973.220576003</v>
      </c>
      <c r="D24" s="718">
        <v>66072973.220576003</v>
      </c>
      <c r="E24" s="718">
        <v>0</v>
      </c>
      <c r="F24" s="744">
        <v>0</v>
      </c>
      <c r="G24" s="744">
        <v>0</v>
      </c>
      <c r="H24" s="718">
        <v>475720.25870634563</v>
      </c>
      <c r="I24" s="744">
        <v>475720.25870634563</v>
      </c>
      <c r="J24" s="744">
        <v>0</v>
      </c>
      <c r="K24" s="744">
        <v>0</v>
      </c>
      <c r="L24" s="744">
        <v>0</v>
      </c>
    </row>
    <row r="25" spans="1:12">
      <c r="A25" s="432">
        <v>19</v>
      </c>
      <c r="B25" s="449" t="s">
        <v>445</v>
      </c>
      <c r="C25" s="742">
        <v>14444390.800420003</v>
      </c>
      <c r="D25" s="718">
        <v>14444390.800420003</v>
      </c>
      <c r="E25" s="718">
        <v>0</v>
      </c>
      <c r="F25" s="744">
        <v>0</v>
      </c>
      <c r="G25" s="744">
        <v>0</v>
      </c>
      <c r="H25" s="718">
        <v>88325.890460908035</v>
      </c>
      <c r="I25" s="744">
        <v>88325.890460908035</v>
      </c>
      <c r="J25" s="744">
        <v>0</v>
      </c>
      <c r="K25" s="744">
        <v>0</v>
      </c>
      <c r="L25" s="744">
        <v>0</v>
      </c>
    </row>
    <row r="26" spans="1:12">
      <c r="A26" s="432">
        <v>20</v>
      </c>
      <c r="B26" s="449" t="s">
        <v>520</v>
      </c>
      <c r="C26" s="742">
        <v>23208427.210000001</v>
      </c>
      <c r="D26" s="718">
        <v>23181907.91</v>
      </c>
      <c r="E26" s="718">
        <v>0</v>
      </c>
      <c r="F26" s="744">
        <v>26519.3</v>
      </c>
      <c r="G26" s="744">
        <v>0</v>
      </c>
      <c r="H26" s="718">
        <v>152253.14915699998</v>
      </c>
      <c r="I26" s="744">
        <v>137350.06098303068</v>
      </c>
      <c r="J26" s="744">
        <v>0</v>
      </c>
      <c r="K26" s="744">
        <v>14903.088173969301</v>
      </c>
      <c r="L26" s="744">
        <v>0</v>
      </c>
    </row>
    <row r="27" spans="1:12">
      <c r="A27" s="432">
        <v>21</v>
      </c>
      <c r="B27" s="449" t="s">
        <v>446</v>
      </c>
      <c r="C27" s="742">
        <v>84937.13</v>
      </c>
      <c r="D27" s="718">
        <v>0</v>
      </c>
      <c r="E27" s="718">
        <v>0</v>
      </c>
      <c r="F27" s="744">
        <v>84937.13</v>
      </c>
      <c r="G27" s="744">
        <v>0</v>
      </c>
      <c r="H27" s="718">
        <v>27613.143558272433</v>
      </c>
      <c r="I27" s="744">
        <v>0</v>
      </c>
      <c r="J27" s="744">
        <v>0</v>
      </c>
      <c r="K27" s="744">
        <v>27613.143558272433</v>
      </c>
      <c r="L27" s="744">
        <v>0</v>
      </c>
    </row>
    <row r="28" spans="1:12">
      <c r="A28" s="432">
        <v>22</v>
      </c>
      <c r="B28" s="449" t="s">
        <v>447</v>
      </c>
      <c r="C28" s="742">
        <v>0</v>
      </c>
      <c r="D28" s="718">
        <v>0</v>
      </c>
      <c r="E28" s="718">
        <v>0</v>
      </c>
      <c r="F28" s="744">
        <v>0</v>
      </c>
      <c r="G28" s="744">
        <v>0</v>
      </c>
      <c r="H28" s="718">
        <v>0</v>
      </c>
      <c r="I28" s="744">
        <v>0</v>
      </c>
      <c r="J28" s="744">
        <v>0</v>
      </c>
      <c r="K28" s="744">
        <v>0</v>
      </c>
      <c r="L28" s="744">
        <v>0</v>
      </c>
    </row>
    <row r="29" spans="1:12">
      <c r="A29" s="432">
        <v>23</v>
      </c>
      <c r="B29" s="449" t="s">
        <v>448</v>
      </c>
      <c r="C29" s="742">
        <v>13432788.794171996</v>
      </c>
      <c r="D29" s="718">
        <v>13410090.054171996</v>
      </c>
      <c r="E29" s="718">
        <v>0</v>
      </c>
      <c r="F29" s="744">
        <v>22698.74</v>
      </c>
      <c r="G29" s="744">
        <v>0</v>
      </c>
      <c r="H29" s="718">
        <v>46404.734388843004</v>
      </c>
      <c r="I29" s="744">
        <v>24295.994385579186</v>
      </c>
      <c r="J29" s="744">
        <v>0</v>
      </c>
      <c r="K29" s="744">
        <v>22108.740003263818</v>
      </c>
      <c r="L29" s="744">
        <v>0</v>
      </c>
    </row>
    <row r="30" spans="1:12">
      <c r="A30" s="432">
        <v>24</v>
      </c>
      <c r="B30" s="449" t="s">
        <v>519</v>
      </c>
      <c r="C30" s="742">
        <v>8251814.301492</v>
      </c>
      <c r="D30" s="718">
        <v>8251814.301492</v>
      </c>
      <c r="E30" s="718">
        <v>0</v>
      </c>
      <c r="F30" s="744">
        <v>0</v>
      </c>
      <c r="G30" s="744">
        <v>0</v>
      </c>
      <c r="H30" s="718">
        <v>1355.687431262847</v>
      </c>
      <c r="I30" s="744">
        <v>1355.687431262847</v>
      </c>
      <c r="J30" s="744">
        <v>0</v>
      </c>
      <c r="K30" s="744">
        <v>0</v>
      </c>
      <c r="L30" s="744">
        <v>0</v>
      </c>
    </row>
    <row r="31" spans="1:12">
      <c r="A31" s="432">
        <v>25</v>
      </c>
      <c r="B31" s="449" t="s">
        <v>449</v>
      </c>
      <c r="C31" s="742">
        <v>96732.677867999999</v>
      </c>
      <c r="D31" s="718">
        <v>0</v>
      </c>
      <c r="E31" s="718">
        <v>36208.100000000006</v>
      </c>
      <c r="F31" s="744">
        <v>60524.577867999993</v>
      </c>
      <c r="G31" s="744">
        <v>0</v>
      </c>
      <c r="H31" s="718">
        <v>60224.577871263813</v>
      </c>
      <c r="I31" s="744">
        <v>0</v>
      </c>
      <c r="J31" s="744">
        <v>0</v>
      </c>
      <c r="K31" s="744">
        <v>60224.577871263813</v>
      </c>
      <c r="L31" s="744">
        <v>0</v>
      </c>
    </row>
    <row r="32" spans="1:12">
      <c r="A32" s="432">
        <v>26</v>
      </c>
      <c r="B32" s="449" t="s">
        <v>516</v>
      </c>
      <c r="C32" s="742">
        <v>0</v>
      </c>
      <c r="D32" s="718">
        <v>0</v>
      </c>
      <c r="E32" s="718">
        <v>0</v>
      </c>
      <c r="F32" s="744">
        <v>0</v>
      </c>
      <c r="G32" s="744">
        <v>0</v>
      </c>
      <c r="H32" s="718">
        <v>0</v>
      </c>
      <c r="I32" s="744">
        <v>0</v>
      </c>
      <c r="J32" s="744">
        <v>0</v>
      </c>
      <c r="K32" s="744">
        <v>0</v>
      </c>
      <c r="L32" s="744">
        <v>0</v>
      </c>
    </row>
    <row r="33" spans="1:12">
      <c r="A33" s="432">
        <v>27</v>
      </c>
      <c r="B33" s="515" t="s">
        <v>64</v>
      </c>
      <c r="C33" s="745">
        <f>SUM(C7:C32)</f>
        <v>325227910.29250395</v>
      </c>
      <c r="D33" s="745">
        <f t="shared" ref="D33:L33" si="0">SUM(D7:D32)</f>
        <v>324142473.74826795</v>
      </c>
      <c r="E33" s="745">
        <f t="shared" si="0"/>
        <v>36208.100000000006</v>
      </c>
      <c r="F33" s="745">
        <f t="shared" si="0"/>
        <v>1049228.4442359998</v>
      </c>
      <c r="G33" s="745">
        <f t="shared" si="0"/>
        <v>0</v>
      </c>
      <c r="H33" s="745">
        <f t="shared" si="0"/>
        <v>1626874.7662178334</v>
      </c>
      <c r="I33" s="745">
        <f t="shared" si="0"/>
        <v>1327790.7749054099</v>
      </c>
      <c r="J33" s="745">
        <f t="shared" si="0"/>
        <v>0</v>
      </c>
      <c r="K33" s="745">
        <f t="shared" si="0"/>
        <v>299083.99131242337</v>
      </c>
      <c r="L33" s="745">
        <f t="shared" si="0"/>
        <v>0</v>
      </c>
    </row>
    <row r="34" spans="1:12">
      <c r="A34" s="463"/>
      <c r="B34" s="463"/>
      <c r="C34" s="463"/>
      <c r="D34" s="463"/>
      <c r="E34" s="463"/>
      <c r="H34" s="463"/>
    </row>
    <row r="35" spans="1:12">
      <c r="A35" s="463"/>
      <c r="B35" s="514"/>
      <c r="C35" s="514"/>
      <c r="D35" s="463"/>
      <c r="E35" s="463"/>
      <c r="H35" s="463"/>
    </row>
  </sheetData>
  <mergeCells count="3">
    <mergeCell ref="A5:B6"/>
    <mergeCell ref="C5:G5"/>
    <mergeCell ref="H5:L5"/>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2D050"/>
  </sheetPr>
  <dimension ref="A1:K13"/>
  <sheetViews>
    <sheetView showGridLines="0" zoomScaleNormal="100" workbookViewId="0">
      <selection activeCell="A5" sqref="A5:B5"/>
    </sheetView>
  </sheetViews>
  <sheetFormatPr defaultColWidth="8.7109375" defaultRowHeight="12"/>
  <cols>
    <col min="1" max="1" width="11.85546875" style="517" bestFit="1" customWidth="1"/>
    <col min="2" max="2" width="39.140625" style="517" bestFit="1" customWidth="1"/>
    <col min="3" max="3" width="16.140625" style="517" bestFit="1" customWidth="1"/>
    <col min="4" max="4" width="25.28515625" style="517" bestFit="1" customWidth="1"/>
    <col min="5" max="5" width="20.42578125" style="517" bestFit="1" customWidth="1"/>
    <col min="6" max="6" width="25.5703125" style="517" bestFit="1" customWidth="1"/>
    <col min="7" max="7" width="26.7109375" style="517" bestFit="1" customWidth="1"/>
    <col min="8" max="8" width="25.7109375" style="517" bestFit="1" customWidth="1"/>
    <col min="9" max="9" width="24.28515625" style="517" bestFit="1" customWidth="1"/>
    <col min="10" max="10" width="27.5703125" style="517" bestFit="1" customWidth="1"/>
    <col min="11" max="11" width="17" style="517" bestFit="1" customWidth="1"/>
    <col min="12" max="16384" width="8.7109375" style="517"/>
  </cols>
  <sheetData>
    <row r="1" spans="1:11" s="443" customFormat="1" ht="13.5">
      <c r="A1" s="363" t="s">
        <v>30</v>
      </c>
      <c r="B1" s="536" t="str">
        <f>'1. key ratios '!B1</f>
        <v>JSC Isbank Georgia</v>
      </c>
    </row>
    <row r="2" spans="1:11" s="443" customFormat="1" ht="13.5">
      <c r="A2" s="364" t="s">
        <v>31</v>
      </c>
      <c r="B2" s="537">
        <f>'1. key ratios '!B2</f>
        <v>45657</v>
      </c>
    </row>
    <row r="3" spans="1:11" s="443" customFormat="1" ht="12.75">
      <c r="A3" s="365" t="s">
        <v>499</v>
      </c>
    </row>
    <row r="4" spans="1:11">
      <c r="C4" s="521" t="s">
        <v>693</v>
      </c>
      <c r="D4" s="521" t="s">
        <v>692</v>
      </c>
      <c r="E4" s="521" t="s">
        <v>691</v>
      </c>
      <c r="F4" s="521" t="s">
        <v>690</v>
      </c>
      <c r="G4" s="521" t="s">
        <v>689</v>
      </c>
      <c r="H4" s="521" t="s">
        <v>688</v>
      </c>
      <c r="I4" s="521" t="s">
        <v>687</v>
      </c>
      <c r="J4" s="521" t="s">
        <v>686</v>
      </c>
      <c r="K4" s="521" t="s">
        <v>685</v>
      </c>
    </row>
    <row r="5" spans="1:11" ht="104.1" customHeight="1">
      <c r="A5" s="908" t="s">
        <v>684</v>
      </c>
      <c r="B5" s="909"/>
      <c r="C5" s="520" t="s">
        <v>500</v>
      </c>
      <c r="D5" s="520" t="s">
        <v>501</v>
      </c>
      <c r="E5" s="520" t="s">
        <v>502</v>
      </c>
      <c r="F5" s="520" t="s">
        <v>503</v>
      </c>
      <c r="G5" s="520" t="s">
        <v>504</v>
      </c>
      <c r="H5" s="520" t="s">
        <v>505</v>
      </c>
      <c r="I5" s="520" t="s">
        <v>506</v>
      </c>
      <c r="J5" s="520" t="s">
        <v>507</v>
      </c>
      <c r="K5" s="520" t="s">
        <v>508</v>
      </c>
    </row>
    <row r="6" spans="1:11" ht="12.75">
      <c r="A6" s="431">
        <v>1</v>
      </c>
      <c r="B6" s="431" t="s">
        <v>468</v>
      </c>
      <c r="C6" s="718">
        <v>20795397.359999996</v>
      </c>
      <c r="D6" s="718">
        <v>0</v>
      </c>
      <c r="E6" s="718">
        <v>0</v>
      </c>
      <c r="F6" s="718">
        <v>0</v>
      </c>
      <c r="G6" s="718">
        <v>105418033.87033416</v>
      </c>
      <c r="H6" s="718">
        <v>0</v>
      </c>
      <c r="I6" s="718">
        <v>12498668.226929277</v>
      </c>
      <c r="J6" s="718">
        <v>123850751.54598694</v>
      </c>
      <c r="K6" s="718">
        <v>60547336.16407156</v>
      </c>
    </row>
    <row r="7" spans="1:11" ht="12.75">
      <c r="A7" s="431">
        <v>2</v>
      </c>
      <c r="B7" s="432" t="s">
        <v>509</v>
      </c>
      <c r="C7" s="718">
        <v>0</v>
      </c>
      <c r="D7" s="718">
        <v>0</v>
      </c>
      <c r="E7" s="718">
        <v>0</v>
      </c>
      <c r="F7" s="718">
        <v>0</v>
      </c>
      <c r="G7" s="718">
        <v>0</v>
      </c>
      <c r="H7" s="718">
        <v>0</v>
      </c>
      <c r="I7" s="718">
        <v>0</v>
      </c>
      <c r="J7" s="718">
        <v>0</v>
      </c>
      <c r="K7" s="718">
        <v>52919641.8293548</v>
      </c>
    </row>
    <row r="8" spans="1:11" ht="12.75">
      <c r="A8" s="431">
        <v>3</v>
      </c>
      <c r="B8" s="432" t="s">
        <v>476</v>
      </c>
      <c r="C8" s="718">
        <v>3421423.2274000007</v>
      </c>
      <c r="D8" s="718"/>
      <c r="E8" s="718">
        <v>0</v>
      </c>
      <c r="F8" s="718">
        <v>0</v>
      </c>
      <c r="G8" s="718">
        <v>5885812.0171775697</v>
      </c>
      <c r="H8" s="718">
        <v>0</v>
      </c>
      <c r="I8" s="718">
        <v>0</v>
      </c>
      <c r="J8" s="718">
        <v>3585498.6280664303</v>
      </c>
      <c r="K8" s="718">
        <v>147287159.50293401</v>
      </c>
    </row>
    <row r="9" spans="1:11" ht="12.75">
      <c r="A9" s="431">
        <v>4</v>
      </c>
      <c r="B9" s="465" t="s">
        <v>510</v>
      </c>
      <c r="C9" s="746">
        <v>0</v>
      </c>
      <c r="D9" s="746"/>
      <c r="E9" s="746">
        <v>0</v>
      </c>
      <c r="F9" s="746">
        <v>0</v>
      </c>
      <c r="G9" s="746">
        <v>893061.86539400008</v>
      </c>
      <c r="H9" s="746">
        <v>0</v>
      </c>
      <c r="I9" s="746">
        <v>0</v>
      </c>
      <c r="J9" s="746">
        <v>68397.279999999999</v>
      </c>
      <c r="K9" s="746">
        <v>77876.364419999998</v>
      </c>
    </row>
    <row r="10" spans="1:11" ht="12.75">
      <c r="A10" s="431">
        <v>5</v>
      </c>
      <c r="B10" s="453" t="s">
        <v>511</v>
      </c>
      <c r="C10" s="746"/>
      <c r="D10" s="746"/>
      <c r="E10" s="746"/>
      <c r="F10" s="746"/>
      <c r="G10" s="746"/>
      <c r="H10" s="746"/>
      <c r="I10" s="746"/>
      <c r="J10" s="746"/>
      <c r="K10" s="746"/>
    </row>
    <row r="11" spans="1:11" ht="12.75">
      <c r="A11" s="431">
        <v>6</v>
      </c>
      <c r="B11" s="453" t="s">
        <v>512</v>
      </c>
      <c r="C11" s="746"/>
      <c r="D11" s="746"/>
      <c r="E11" s="746"/>
      <c r="F11" s="746"/>
      <c r="G11" s="746"/>
      <c r="H11" s="746"/>
      <c r="I11" s="746"/>
      <c r="J11" s="746"/>
      <c r="K11" s="746"/>
    </row>
    <row r="13" spans="1:11" ht="15">
      <c r="B13" s="518"/>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V20"/>
  <sheetViews>
    <sheetView showGridLines="0" zoomScaleNormal="100" workbookViewId="0">
      <selection activeCell="A5" sqref="A5:B6"/>
    </sheetView>
  </sheetViews>
  <sheetFormatPr defaultColWidth="8.7109375" defaultRowHeight="15"/>
  <cols>
    <col min="1" max="1" width="10" style="522" bestFit="1" customWidth="1"/>
    <col min="2" max="2" width="71.7109375" style="522" customWidth="1"/>
    <col min="3" max="4" width="9" style="522" bestFit="1" customWidth="1"/>
    <col min="5" max="6" width="7.7109375" style="522" bestFit="1" customWidth="1"/>
    <col min="7" max="7" width="4.85546875" style="522" bestFit="1" customWidth="1"/>
    <col min="8" max="9" width="9" style="522" bestFit="1" customWidth="1"/>
    <col min="10" max="11" width="7.7109375" style="522" bestFit="1" customWidth="1"/>
    <col min="12" max="12" width="4.85546875" style="522" bestFit="1" customWidth="1"/>
    <col min="13" max="14" width="7.7109375" style="522" bestFit="1" customWidth="1"/>
    <col min="15" max="15" width="7.140625" style="522" bestFit="1" customWidth="1"/>
    <col min="16" max="16" width="7.7109375" style="522" bestFit="1" customWidth="1"/>
    <col min="17" max="17" width="4.85546875" style="522" bestFit="1" customWidth="1"/>
    <col min="18" max="18" width="9.5703125" style="522" bestFit="1" customWidth="1"/>
    <col min="19" max="19" width="25.5703125" style="522" bestFit="1" customWidth="1"/>
    <col min="20" max="20" width="29.28515625" style="522" bestFit="1" customWidth="1"/>
    <col min="21" max="21" width="28.7109375" style="522" bestFit="1" customWidth="1"/>
    <col min="22" max="22" width="23.7109375" style="522" customWidth="1"/>
    <col min="23" max="16384" width="8.7109375" style="522"/>
  </cols>
  <sheetData>
    <row r="1" spans="1:22">
      <c r="A1" s="363" t="s">
        <v>30</v>
      </c>
      <c r="B1" s="536" t="str">
        <f>'1. key ratios '!B1</f>
        <v>JSC Isbank Georgia</v>
      </c>
    </row>
    <row r="2" spans="1:22">
      <c r="A2" s="364" t="s">
        <v>31</v>
      </c>
      <c r="B2" s="537">
        <f>'1. key ratios '!B2</f>
        <v>45657</v>
      </c>
    </row>
    <row r="3" spans="1:22">
      <c r="A3" s="365" t="s">
        <v>527</v>
      </c>
      <c r="B3" s="443"/>
    </row>
    <row r="4" spans="1:22">
      <c r="A4" s="365"/>
      <c r="B4" s="443"/>
    </row>
    <row r="5" spans="1:22" ht="24" customHeight="1">
      <c r="A5" s="910" t="s">
        <v>528</v>
      </c>
      <c r="B5" s="911"/>
      <c r="C5" s="915" t="s">
        <v>694</v>
      </c>
      <c r="D5" s="915"/>
      <c r="E5" s="915"/>
      <c r="F5" s="915"/>
      <c r="G5" s="915"/>
      <c r="H5" s="915" t="s">
        <v>546</v>
      </c>
      <c r="I5" s="915"/>
      <c r="J5" s="915"/>
      <c r="K5" s="915"/>
      <c r="L5" s="915"/>
      <c r="M5" s="915" t="s">
        <v>658</v>
      </c>
      <c r="N5" s="915"/>
      <c r="O5" s="915"/>
      <c r="P5" s="915"/>
      <c r="Q5" s="915"/>
      <c r="R5" s="914" t="s">
        <v>529</v>
      </c>
      <c r="S5" s="914" t="s">
        <v>543</v>
      </c>
      <c r="T5" s="914" t="s">
        <v>544</v>
      </c>
      <c r="U5" s="914" t="s">
        <v>703</v>
      </c>
      <c r="V5" s="914" t="s">
        <v>704</v>
      </c>
    </row>
    <row r="6" spans="1:22" ht="36" customHeight="1">
      <c r="A6" s="912"/>
      <c r="B6" s="913"/>
      <c r="C6" s="532"/>
      <c r="D6" s="441" t="s">
        <v>679</v>
      </c>
      <c r="E6" s="441" t="s">
        <v>678</v>
      </c>
      <c r="F6" s="441" t="s">
        <v>677</v>
      </c>
      <c r="G6" s="441" t="s">
        <v>676</v>
      </c>
      <c r="H6" s="532"/>
      <c r="I6" s="441" t="s">
        <v>679</v>
      </c>
      <c r="J6" s="441" t="s">
        <v>678</v>
      </c>
      <c r="K6" s="441" t="s">
        <v>677</v>
      </c>
      <c r="L6" s="441" t="s">
        <v>676</v>
      </c>
      <c r="M6" s="532"/>
      <c r="N6" s="441" t="s">
        <v>679</v>
      </c>
      <c r="O6" s="441" t="s">
        <v>678</v>
      </c>
      <c r="P6" s="441" t="s">
        <v>677</v>
      </c>
      <c r="Q6" s="441" t="s">
        <v>676</v>
      </c>
      <c r="R6" s="914"/>
      <c r="S6" s="914"/>
      <c r="T6" s="914"/>
      <c r="U6" s="914"/>
      <c r="V6" s="914"/>
    </row>
    <row r="7" spans="1:22">
      <c r="A7" s="530">
        <v>1</v>
      </c>
      <c r="B7" s="531" t="s">
        <v>537</v>
      </c>
      <c r="C7" s="746">
        <v>0</v>
      </c>
      <c r="D7" s="746">
        <v>0</v>
      </c>
      <c r="E7" s="746">
        <v>0</v>
      </c>
      <c r="F7" s="746">
        <v>0</v>
      </c>
      <c r="G7" s="746">
        <v>0</v>
      </c>
      <c r="H7" s="746">
        <v>0</v>
      </c>
      <c r="I7" s="746">
        <v>0</v>
      </c>
      <c r="J7" s="746">
        <v>0</v>
      </c>
      <c r="K7" s="746">
        <v>0</v>
      </c>
      <c r="L7" s="746">
        <v>0</v>
      </c>
      <c r="M7" s="746">
        <v>0</v>
      </c>
      <c r="N7" s="746">
        <v>0</v>
      </c>
      <c r="O7" s="746">
        <v>0</v>
      </c>
      <c r="P7" s="746">
        <v>0</v>
      </c>
      <c r="Q7" s="746">
        <v>0</v>
      </c>
      <c r="R7" s="746">
        <v>0</v>
      </c>
      <c r="S7" s="749">
        <v>0</v>
      </c>
      <c r="T7" s="749">
        <v>0</v>
      </c>
      <c r="U7" s="749">
        <v>0</v>
      </c>
      <c r="V7" s="746">
        <v>0</v>
      </c>
    </row>
    <row r="8" spans="1:22">
      <c r="A8" s="530">
        <v>2</v>
      </c>
      <c r="B8" s="529" t="s">
        <v>536</v>
      </c>
      <c r="C8" s="746">
        <v>3007656.7626739996</v>
      </c>
      <c r="D8" s="746">
        <v>2836325.4982539997</v>
      </c>
      <c r="E8" s="746">
        <v>35201.350000000006</v>
      </c>
      <c r="F8" s="746">
        <v>136129.91441999999</v>
      </c>
      <c r="G8" s="746">
        <v>0</v>
      </c>
      <c r="H8" s="746">
        <v>3026158.6929359995</v>
      </c>
      <c r="I8" s="746">
        <v>2853387.1085159997</v>
      </c>
      <c r="J8" s="746">
        <v>36208.100000000006</v>
      </c>
      <c r="K8" s="746">
        <v>136563.48441999999</v>
      </c>
      <c r="L8" s="746">
        <v>0</v>
      </c>
      <c r="M8" s="746">
        <v>120590.73237230915</v>
      </c>
      <c r="N8" s="746">
        <v>9967.6030924374536</v>
      </c>
      <c r="O8" s="746">
        <v>-1.8638073151977818E-14</v>
      </c>
      <c r="P8" s="746">
        <v>110623.12927987173</v>
      </c>
      <c r="Q8" s="746">
        <v>0</v>
      </c>
      <c r="R8" s="746">
        <v>92</v>
      </c>
      <c r="S8" s="749">
        <v>0.11477151412083163</v>
      </c>
      <c r="T8" s="749">
        <v>0.12882424200961126</v>
      </c>
      <c r="U8" s="749">
        <v>0.12015067575553429</v>
      </c>
      <c r="V8" s="746">
        <v>22.334598578438634</v>
      </c>
    </row>
    <row r="9" spans="1:22">
      <c r="A9" s="530">
        <v>3</v>
      </c>
      <c r="B9" s="529" t="s">
        <v>535</v>
      </c>
      <c r="C9" s="746">
        <v>0</v>
      </c>
      <c r="D9" s="746">
        <v>0</v>
      </c>
      <c r="E9" s="746">
        <v>0</v>
      </c>
      <c r="F9" s="746">
        <v>0</v>
      </c>
      <c r="G9" s="746">
        <v>0</v>
      </c>
      <c r="H9" s="746">
        <v>0</v>
      </c>
      <c r="I9" s="746">
        <v>0</v>
      </c>
      <c r="J9" s="746">
        <v>0</v>
      </c>
      <c r="K9" s="746">
        <v>0</v>
      </c>
      <c r="L9" s="746">
        <v>0</v>
      </c>
      <c r="M9" s="746">
        <v>0</v>
      </c>
      <c r="N9" s="746">
        <v>0</v>
      </c>
      <c r="O9" s="746">
        <v>0</v>
      </c>
      <c r="P9" s="746">
        <v>0</v>
      </c>
      <c r="Q9" s="746">
        <v>0</v>
      </c>
      <c r="R9" s="746"/>
      <c r="S9" s="749"/>
      <c r="T9" s="749"/>
      <c r="U9" s="749"/>
      <c r="V9" s="746"/>
    </row>
    <row r="10" spans="1:22">
      <c r="A10" s="530">
        <v>4</v>
      </c>
      <c r="B10" s="529" t="s">
        <v>534</v>
      </c>
      <c r="C10" s="746">
        <v>0</v>
      </c>
      <c r="D10" s="746">
        <v>0</v>
      </c>
      <c r="E10" s="746">
        <v>0</v>
      </c>
      <c r="F10" s="746">
        <v>0</v>
      </c>
      <c r="G10" s="746">
        <v>0</v>
      </c>
      <c r="H10" s="746">
        <v>0</v>
      </c>
      <c r="I10" s="746">
        <v>0</v>
      </c>
      <c r="J10" s="746">
        <v>0</v>
      </c>
      <c r="K10" s="746">
        <v>0</v>
      </c>
      <c r="L10" s="746">
        <v>0</v>
      </c>
      <c r="M10" s="746">
        <v>0</v>
      </c>
      <c r="N10" s="746">
        <v>0</v>
      </c>
      <c r="O10" s="746">
        <v>0</v>
      </c>
      <c r="P10" s="746">
        <v>0</v>
      </c>
      <c r="Q10" s="746">
        <v>0</v>
      </c>
      <c r="R10" s="746"/>
      <c r="S10" s="749"/>
      <c r="T10" s="749"/>
      <c r="U10" s="749"/>
      <c r="V10" s="746"/>
    </row>
    <row r="11" spans="1:22">
      <c r="A11" s="530">
        <v>5</v>
      </c>
      <c r="B11" s="529" t="s">
        <v>533</v>
      </c>
      <c r="C11" s="746">
        <v>19369.849999999999</v>
      </c>
      <c r="D11" s="746">
        <v>9226.119999999999</v>
      </c>
      <c r="E11" s="746">
        <v>0</v>
      </c>
      <c r="F11" s="746">
        <v>10143.73</v>
      </c>
      <c r="G11" s="746">
        <v>0</v>
      </c>
      <c r="H11" s="746">
        <v>19403.55</v>
      </c>
      <c r="I11" s="746">
        <v>9259.82</v>
      </c>
      <c r="J11" s="746">
        <v>0</v>
      </c>
      <c r="K11" s="746">
        <v>10143.73</v>
      </c>
      <c r="L11" s="746">
        <v>0</v>
      </c>
      <c r="M11" s="746">
        <v>93.101181542852885</v>
      </c>
      <c r="N11" s="746">
        <v>46.189837896013032</v>
      </c>
      <c r="O11" s="746">
        <v>0</v>
      </c>
      <c r="P11" s="746">
        <v>46.911343646839839</v>
      </c>
      <c r="Q11" s="746">
        <v>0</v>
      </c>
      <c r="R11" s="746">
        <v>24</v>
      </c>
      <c r="S11" s="749">
        <v>0.11000000000000001</v>
      </c>
      <c r="T11" s="749">
        <v>0.1157</v>
      </c>
      <c r="U11" s="749">
        <v>0.11675694330302744</v>
      </c>
      <c r="V11" s="746">
        <v>28.184695731823545</v>
      </c>
    </row>
    <row r="12" spans="1:22">
      <c r="A12" s="530">
        <v>6</v>
      </c>
      <c r="B12" s="529" t="s">
        <v>532</v>
      </c>
      <c r="C12" s="746">
        <v>0</v>
      </c>
      <c r="D12" s="746">
        <v>0</v>
      </c>
      <c r="E12" s="746">
        <v>0</v>
      </c>
      <c r="F12" s="746">
        <v>0</v>
      </c>
      <c r="G12" s="746">
        <v>0</v>
      </c>
      <c r="H12" s="746">
        <v>0</v>
      </c>
      <c r="I12" s="746">
        <v>0</v>
      </c>
      <c r="J12" s="746">
        <v>0</v>
      </c>
      <c r="K12" s="746">
        <v>0</v>
      </c>
      <c r="L12" s="746">
        <v>0</v>
      </c>
      <c r="M12" s="746">
        <v>0</v>
      </c>
      <c r="N12" s="746">
        <v>0</v>
      </c>
      <c r="O12" s="746">
        <v>0</v>
      </c>
      <c r="P12" s="746">
        <v>0</v>
      </c>
      <c r="Q12" s="746">
        <v>0</v>
      </c>
      <c r="R12" s="746"/>
      <c r="S12" s="749"/>
      <c r="T12" s="749"/>
      <c r="U12" s="749"/>
      <c r="V12" s="746"/>
    </row>
    <row r="13" spans="1:22">
      <c r="A13" s="530">
        <v>7</v>
      </c>
      <c r="B13" s="529" t="s">
        <v>531</v>
      </c>
      <c r="C13" s="748">
        <f>SUM(C14:C16)</f>
        <v>2191076.8659799998</v>
      </c>
      <c r="D13" s="748">
        <f t="shared" ref="D13:R13" si="0">SUM(D14:D16)</f>
        <v>1700204.4181119998</v>
      </c>
      <c r="E13" s="748">
        <f t="shared" si="0"/>
        <v>0</v>
      </c>
      <c r="F13" s="748">
        <f t="shared" si="0"/>
        <v>490872.44786800002</v>
      </c>
      <c r="G13" s="748">
        <f t="shared" si="0"/>
        <v>0</v>
      </c>
      <c r="H13" s="748">
        <f t="shared" si="0"/>
        <v>2207111.7229840001</v>
      </c>
      <c r="I13" s="748">
        <f t="shared" si="0"/>
        <v>1710322.6251159997</v>
      </c>
      <c r="J13" s="748">
        <f t="shared" si="0"/>
        <v>0</v>
      </c>
      <c r="K13" s="748">
        <f t="shared" si="0"/>
        <v>496789.09786800004</v>
      </c>
      <c r="L13" s="748">
        <f t="shared" si="0"/>
        <v>0</v>
      </c>
      <c r="M13" s="748">
        <f t="shared" si="0"/>
        <v>164105.60323181824</v>
      </c>
      <c r="N13" s="748">
        <f t="shared" si="0"/>
        <v>1450.8630669134288</v>
      </c>
      <c r="O13" s="748">
        <f t="shared" si="0"/>
        <v>0</v>
      </c>
      <c r="P13" s="748">
        <f t="shared" si="0"/>
        <v>162654.7401649048</v>
      </c>
      <c r="Q13" s="748">
        <f t="shared" si="0"/>
        <v>0</v>
      </c>
      <c r="R13" s="748">
        <f t="shared" si="0"/>
        <v>15</v>
      </c>
      <c r="S13" s="749">
        <v>0.1094906128443212</v>
      </c>
      <c r="T13" s="749">
        <v>0.1323974719614899</v>
      </c>
      <c r="U13" s="749">
        <v>0.11680414687347537</v>
      </c>
      <c r="V13" s="746">
        <v>56.439906453257109</v>
      </c>
    </row>
    <row r="14" spans="1:22">
      <c r="A14" s="524">
        <v>7.1</v>
      </c>
      <c r="B14" s="523" t="s">
        <v>540</v>
      </c>
      <c r="C14" s="746">
        <v>2004692.2027119999</v>
      </c>
      <c r="D14" s="746">
        <v>1570162.0827119998</v>
      </c>
      <c r="E14" s="746">
        <v>0</v>
      </c>
      <c r="F14" s="746">
        <v>434530.12</v>
      </c>
      <c r="G14" s="746">
        <v>0</v>
      </c>
      <c r="H14" s="746">
        <v>2019531.693212</v>
      </c>
      <c r="I14" s="746">
        <v>1579084.9232119997</v>
      </c>
      <c r="J14" s="746">
        <v>0</v>
      </c>
      <c r="K14" s="746">
        <v>440446.77</v>
      </c>
      <c r="L14" s="746">
        <v>0</v>
      </c>
      <c r="M14" s="746">
        <v>107727.90916972165</v>
      </c>
      <c r="N14" s="746">
        <v>1415.4968728168324</v>
      </c>
      <c r="O14" s="746">
        <v>0</v>
      </c>
      <c r="P14" s="746">
        <v>106312.4122969048</v>
      </c>
      <c r="Q14" s="746">
        <v>0</v>
      </c>
      <c r="R14" s="746">
        <v>12</v>
      </c>
      <c r="S14" s="749">
        <v>0.1094906128443212</v>
      </c>
      <c r="T14" s="749">
        <v>0.1323974719614899</v>
      </c>
      <c r="U14" s="749">
        <v>0.1167775406582723</v>
      </c>
      <c r="V14" s="746">
        <v>57.129158019594897</v>
      </c>
    </row>
    <row r="15" spans="1:22">
      <c r="A15" s="524">
        <v>7.2</v>
      </c>
      <c r="B15" s="523" t="s">
        <v>542</v>
      </c>
      <c r="C15" s="746">
        <v>186384.663268</v>
      </c>
      <c r="D15" s="746">
        <v>130042.3354</v>
      </c>
      <c r="E15" s="746">
        <v>0</v>
      </c>
      <c r="F15" s="746">
        <v>56342.327867999993</v>
      </c>
      <c r="G15" s="746">
        <v>0</v>
      </c>
      <c r="H15" s="746">
        <v>187580.02977200001</v>
      </c>
      <c r="I15" s="746">
        <v>131237.70190399999</v>
      </c>
      <c r="J15" s="746">
        <v>0</v>
      </c>
      <c r="K15" s="746">
        <v>56342.327867999993</v>
      </c>
      <c r="L15" s="746">
        <v>0</v>
      </c>
      <c r="M15" s="746">
        <v>56377.694062096598</v>
      </c>
      <c r="N15" s="746">
        <v>35.366194096596523</v>
      </c>
      <c r="O15" s="746">
        <v>0</v>
      </c>
      <c r="P15" s="746">
        <v>56342.327868</v>
      </c>
      <c r="Q15" s="746">
        <v>0</v>
      </c>
      <c r="R15" s="746">
        <v>3</v>
      </c>
      <c r="S15" s="749"/>
      <c r="T15" s="749"/>
      <c r="U15" s="749">
        <v>0.11709031458291069</v>
      </c>
      <c r="V15" s="746">
        <v>49.026543054587165</v>
      </c>
    </row>
    <row r="16" spans="1:22">
      <c r="A16" s="524">
        <v>7.3</v>
      </c>
      <c r="B16" s="523" t="s">
        <v>539</v>
      </c>
      <c r="C16" s="746">
        <v>0</v>
      </c>
      <c r="D16" s="746">
        <v>0</v>
      </c>
      <c r="E16" s="746">
        <v>0</v>
      </c>
      <c r="F16" s="746">
        <v>0</v>
      </c>
      <c r="G16" s="746">
        <v>0</v>
      </c>
      <c r="H16" s="746">
        <v>0</v>
      </c>
      <c r="I16" s="746">
        <v>0</v>
      </c>
      <c r="J16" s="746">
        <v>0</v>
      </c>
      <c r="K16" s="746">
        <v>0</v>
      </c>
      <c r="L16" s="746">
        <v>0</v>
      </c>
      <c r="M16" s="746">
        <v>0</v>
      </c>
      <c r="N16" s="746">
        <v>0</v>
      </c>
      <c r="O16" s="746">
        <v>0</v>
      </c>
      <c r="P16" s="746">
        <v>0</v>
      </c>
      <c r="Q16" s="746">
        <v>0</v>
      </c>
      <c r="R16" s="746"/>
      <c r="S16" s="749"/>
      <c r="T16" s="749"/>
      <c r="U16" s="749"/>
      <c r="V16" s="746"/>
    </row>
    <row r="17" spans="1:22">
      <c r="A17" s="530">
        <v>8</v>
      </c>
      <c r="B17" s="529" t="s">
        <v>538</v>
      </c>
      <c r="C17" s="746">
        <v>0</v>
      </c>
      <c r="D17" s="746">
        <v>0</v>
      </c>
      <c r="E17" s="746">
        <v>0</v>
      </c>
      <c r="F17" s="746">
        <v>0</v>
      </c>
      <c r="G17" s="746">
        <v>0</v>
      </c>
      <c r="H17" s="746">
        <v>0</v>
      </c>
      <c r="I17" s="746">
        <v>0</v>
      </c>
      <c r="J17" s="746">
        <v>0</v>
      </c>
      <c r="K17" s="746">
        <v>0</v>
      </c>
      <c r="L17" s="746">
        <v>0</v>
      </c>
      <c r="M17" s="746">
        <v>0</v>
      </c>
      <c r="N17" s="746">
        <v>0</v>
      </c>
      <c r="O17" s="746">
        <v>0</v>
      </c>
      <c r="P17" s="746">
        <v>0</v>
      </c>
      <c r="Q17" s="746">
        <v>0</v>
      </c>
      <c r="R17" s="746"/>
      <c r="S17" s="749"/>
      <c r="T17" s="749"/>
      <c r="U17" s="749"/>
      <c r="V17" s="746"/>
    </row>
    <row r="18" spans="1:22">
      <c r="A18" s="528">
        <v>9</v>
      </c>
      <c r="B18" s="527" t="s">
        <v>530</v>
      </c>
      <c r="C18" s="747">
        <v>0</v>
      </c>
      <c r="D18" s="747">
        <v>0</v>
      </c>
      <c r="E18" s="747">
        <v>0</v>
      </c>
      <c r="F18" s="747">
        <v>0</v>
      </c>
      <c r="G18" s="747">
        <v>0</v>
      </c>
      <c r="H18" s="747">
        <v>0</v>
      </c>
      <c r="I18" s="747">
        <v>0</v>
      </c>
      <c r="J18" s="747">
        <v>0</v>
      </c>
      <c r="K18" s="747">
        <v>0</v>
      </c>
      <c r="L18" s="747">
        <v>0</v>
      </c>
      <c r="M18" s="747">
        <v>0</v>
      </c>
      <c r="N18" s="747">
        <v>0</v>
      </c>
      <c r="O18" s="747">
        <v>0</v>
      </c>
      <c r="P18" s="747">
        <v>0</v>
      </c>
      <c r="Q18" s="747">
        <v>0</v>
      </c>
      <c r="R18" s="747"/>
      <c r="S18" s="750"/>
      <c r="T18" s="750"/>
      <c r="U18" s="750"/>
      <c r="V18" s="747"/>
    </row>
    <row r="19" spans="1:22">
      <c r="A19" s="526">
        <v>10</v>
      </c>
      <c r="B19" s="525" t="s">
        <v>541</v>
      </c>
      <c r="C19" s="748">
        <f>SUM(C7:C13)</f>
        <v>5218103.478653999</v>
      </c>
      <c r="D19" s="748">
        <f t="shared" ref="D19:R19" si="1">SUM(D7:D13)</f>
        <v>4545756.0363659998</v>
      </c>
      <c r="E19" s="748">
        <f>SUM(E7:E13)</f>
        <v>35201.350000000006</v>
      </c>
      <c r="F19" s="748">
        <f t="shared" si="1"/>
        <v>637146.09228800004</v>
      </c>
      <c r="G19" s="748">
        <f t="shared" si="1"/>
        <v>0</v>
      </c>
      <c r="H19" s="748">
        <f t="shared" si="1"/>
        <v>5252673.9659199994</v>
      </c>
      <c r="I19" s="748">
        <f t="shared" si="1"/>
        <v>4572969.5536319995</v>
      </c>
      <c r="J19" s="748">
        <f>SUM(J7:J13)</f>
        <v>36208.100000000006</v>
      </c>
      <c r="K19" s="748">
        <f t="shared" si="1"/>
        <v>643496.31228800002</v>
      </c>
      <c r="L19" s="748">
        <f t="shared" si="1"/>
        <v>0</v>
      </c>
      <c r="M19" s="748">
        <f t="shared" si="1"/>
        <v>284789.43678567023</v>
      </c>
      <c r="N19" s="748">
        <f t="shared" si="1"/>
        <v>11464.655997246895</v>
      </c>
      <c r="O19" s="748">
        <v>0</v>
      </c>
      <c r="P19" s="748">
        <f t="shared" si="1"/>
        <v>273324.78078842338</v>
      </c>
      <c r="Q19" s="748">
        <f t="shared" si="1"/>
        <v>0</v>
      </c>
      <c r="R19" s="748">
        <f t="shared" si="1"/>
        <v>131</v>
      </c>
      <c r="S19" s="749">
        <v>0.11368220230411261</v>
      </c>
      <c r="T19" s="749">
        <v>0.12953983635480698</v>
      </c>
      <c r="U19" s="749">
        <v>0.11859163392318221</v>
      </c>
      <c r="V19" s="746">
        <v>36.920570178418707</v>
      </c>
    </row>
    <row r="20" spans="1:22" ht="25.5">
      <c r="A20" s="524">
        <v>10.1</v>
      </c>
      <c r="B20" s="523" t="s">
        <v>545</v>
      </c>
      <c r="C20" s="519"/>
      <c r="D20" s="519"/>
      <c r="E20" s="519"/>
      <c r="F20" s="519"/>
      <c r="G20" s="519"/>
      <c r="H20" s="519"/>
      <c r="I20" s="519"/>
      <c r="J20" s="519"/>
      <c r="K20" s="519"/>
      <c r="L20" s="519"/>
      <c r="M20" s="519"/>
      <c r="N20" s="519"/>
      <c r="O20" s="519"/>
      <c r="P20" s="519"/>
      <c r="Q20" s="519"/>
      <c r="R20" s="519"/>
      <c r="S20" s="749"/>
      <c r="T20" s="749"/>
      <c r="U20" s="749"/>
      <c r="V20" s="519"/>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H69"/>
  <sheetViews>
    <sheetView showGridLines="0" zoomScaleNormal="100" workbookViewId="0">
      <selection activeCell="B4" sqref="B4:B5"/>
    </sheetView>
  </sheetViews>
  <sheetFormatPr defaultRowHeight="15"/>
  <cols>
    <col min="1" max="1" width="8.7109375" style="388"/>
    <col min="2" max="2" width="69.28515625" style="389" customWidth="1"/>
    <col min="3" max="3" width="13.5703125" customWidth="1"/>
    <col min="4" max="4" width="14.42578125" customWidth="1"/>
    <col min="5" max="8" width="13.140625" customWidth="1"/>
  </cols>
  <sheetData>
    <row r="1" spans="1:8" s="5" customFormat="1" ht="14.25">
      <c r="A1" s="2" t="s">
        <v>30</v>
      </c>
      <c r="B1" s="536" t="str">
        <f>'1. key ratios '!B1</f>
        <v>JSC Isbank Georgia</v>
      </c>
      <c r="C1" s="3"/>
      <c r="D1" s="4"/>
      <c r="E1" s="4"/>
      <c r="F1" s="4"/>
      <c r="G1" s="4"/>
    </row>
    <row r="2" spans="1:8" s="5" customFormat="1" ht="14.25">
      <c r="A2" s="2" t="s">
        <v>31</v>
      </c>
      <c r="B2" s="537">
        <f>'1. key ratios '!B2</f>
        <v>45657</v>
      </c>
      <c r="C2" s="6"/>
      <c r="D2" s="7"/>
      <c r="E2" s="7"/>
      <c r="F2" s="7"/>
      <c r="G2" s="7"/>
      <c r="H2" s="8"/>
    </row>
    <row r="3" spans="1:8" s="5" customFormat="1" thickBot="1">
      <c r="A3" s="2"/>
      <c r="B3" s="6"/>
      <c r="C3" s="6"/>
      <c r="D3" s="7"/>
      <c r="E3" s="7"/>
      <c r="F3" s="7"/>
      <c r="G3" s="7"/>
      <c r="H3" s="8"/>
    </row>
    <row r="4" spans="1:8" ht="21" customHeight="1">
      <c r="A4" s="799" t="s">
        <v>6</v>
      </c>
      <c r="B4" s="801" t="s">
        <v>552</v>
      </c>
      <c r="C4" s="803" t="s">
        <v>553</v>
      </c>
      <c r="D4" s="804"/>
      <c r="E4" s="804"/>
      <c r="F4" s="804" t="s">
        <v>554</v>
      </c>
      <c r="G4" s="804"/>
      <c r="H4" s="805"/>
    </row>
    <row r="5" spans="1:8" ht="21" customHeight="1">
      <c r="A5" s="800"/>
      <c r="B5" s="802"/>
      <c r="C5" s="586" t="s">
        <v>32</v>
      </c>
      <c r="D5" s="551" t="s">
        <v>33</v>
      </c>
      <c r="E5" s="551" t="s">
        <v>34</v>
      </c>
      <c r="F5" s="551" t="s">
        <v>32</v>
      </c>
      <c r="G5" s="551" t="s">
        <v>33</v>
      </c>
      <c r="H5" s="552" t="s">
        <v>34</v>
      </c>
    </row>
    <row r="6" spans="1:8" ht="26.45" customHeight="1">
      <c r="A6" s="800"/>
      <c r="B6" s="562" t="s">
        <v>555</v>
      </c>
      <c r="C6" s="806"/>
      <c r="D6" s="807"/>
      <c r="E6" s="807"/>
      <c r="F6" s="807"/>
      <c r="G6" s="807"/>
      <c r="H6" s="808"/>
    </row>
    <row r="7" spans="1:8" ht="23.1" customHeight="1">
      <c r="A7" s="553">
        <v>1</v>
      </c>
      <c r="B7" s="563" t="s">
        <v>556</v>
      </c>
      <c r="C7" s="588">
        <f>SUM(C8:C10)</f>
        <v>5643034.2737126127</v>
      </c>
      <c r="D7" s="550">
        <f>SUM(D8:D10)</f>
        <v>82353631.494010046</v>
      </c>
      <c r="E7" s="549">
        <f>C7+D7</f>
        <v>87996665.767722666</v>
      </c>
      <c r="F7" s="781">
        <f>SUM(F8:F10)</f>
        <v>31005326.267321486</v>
      </c>
      <c r="G7" s="550">
        <f>SUM(G8:G10)</f>
        <v>82269021.023203075</v>
      </c>
      <c r="H7" s="785">
        <f>F7+G7</f>
        <v>113274347.29052456</v>
      </c>
    </row>
    <row r="8" spans="1:8">
      <c r="A8" s="553">
        <v>1.1000000000000001</v>
      </c>
      <c r="B8" s="564" t="s">
        <v>557</v>
      </c>
      <c r="C8" s="587">
        <v>425892.95</v>
      </c>
      <c r="D8" s="548">
        <v>1286033.8574999999</v>
      </c>
      <c r="E8" s="549">
        <f t="shared" ref="E8:E36" si="0">C8+D8</f>
        <v>1711926.8074999999</v>
      </c>
      <c r="F8" s="782">
        <v>430464.3</v>
      </c>
      <c r="G8" s="548">
        <v>1416727.0799999998</v>
      </c>
      <c r="H8" s="785">
        <f t="shared" ref="H8:H36" si="1">F8+G8</f>
        <v>1847191.38</v>
      </c>
    </row>
    <row r="9" spans="1:8">
      <c r="A9" s="553">
        <v>1.2</v>
      </c>
      <c r="B9" s="564" t="s">
        <v>558</v>
      </c>
      <c r="C9" s="587">
        <v>5212889.0237908904</v>
      </c>
      <c r="D9" s="548">
        <v>41399528.18780192</v>
      </c>
      <c r="E9" s="549">
        <f t="shared" si="0"/>
        <v>46612417.211592808</v>
      </c>
      <c r="F9" s="782">
        <v>4654026.1187735666</v>
      </c>
      <c r="G9" s="548">
        <v>35987745.741156571</v>
      </c>
      <c r="H9" s="785">
        <f t="shared" si="1"/>
        <v>40641771.859930135</v>
      </c>
    </row>
    <row r="10" spans="1:8">
      <c r="A10" s="553">
        <v>1.3</v>
      </c>
      <c r="B10" s="564" t="s">
        <v>559</v>
      </c>
      <c r="C10" s="587">
        <v>4252.2999217221413</v>
      </c>
      <c r="D10" s="548">
        <v>39668069.448708124</v>
      </c>
      <c r="E10" s="549">
        <f t="shared" si="0"/>
        <v>39672321.748629846</v>
      </c>
      <c r="F10" s="782">
        <v>25920835.848547921</v>
      </c>
      <c r="G10" s="548">
        <v>44864548.202046506</v>
      </c>
      <c r="H10" s="785">
        <f t="shared" si="1"/>
        <v>70785384.050594419</v>
      </c>
    </row>
    <row r="11" spans="1:8">
      <c r="A11" s="553">
        <v>2</v>
      </c>
      <c r="B11" s="565" t="s">
        <v>560</v>
      </c>
      <c r="C11" s="587"/>
      <c r="D11" s="548"/>
      <c r="E11" s="549">
        <f t="shared" si="0"/>
        <v>0</v>
      </c>
      <c r="F11" s="782"/>
      <c r="G11" s="548"/>
      <c r="H11" s="785">
        <f t="shared" si="1"/>
        <v>0</v>
      </c>
    </row>
    <row r="12" spans="1:8">
      <c r="A12" s="553">
        <v>2.1</v>
      </c>
      <c r="B12" s="566" t="s">
        <v>561</v>
      </c>
      <c r="C12" s="587"/>
      <c r="D12" s="548"/>
      <c r="E12" s="549">
        <f t="shared" si="0"/>
        <v>0</v>
      </c>
      <c r="F12" s="782"/>
      <c r="G12" s="548"/>
      <c r="H12" s="785">
        <f t="shared" si="1"/>
        <v>0</v>
      </c>
    </row>
    <row r="13" spans="1:8" ht="26.45" customHeight="1">
      <c r="A13" s="553">
        <v>3</v>
      </c>
      <c r="B13" s="567" t="s">
        <v>562</v>
      </c>
      <c r="C13" s="587"/>
      <c r="D13" s="548"/>
      <c r="E13" s="549">
        <f t="shared" si="0"/>
        <v>0</v>
      </c>
      <c r="F13" s="782"/>
      <c r="G13" s="548"/>
      <c r="H13" s="785">
        <f t="shared" si="1"/>
        <v>0</v>
      </c>
    </row>
    <row r="14" spans="1:8" ht="26.45" customHeight="1">
      <c r="A14" s="553">
        <v>4</v>
      </c>
      <c r="B14" s="568" t="s">
        <v>563</v>
      </c>
      <c r="C14" s="587"/>
      <c r="D14" s="548"/>
      <c r="E14" s="549">
        <f t="shared" si="0"/>
        <v>0</v>
      </c>
      <c r="F14" s="782"/>
      <c r="G14" s="548"/>
      <c r="H14" s="785">
        <f t="shared" si="1"/>
        <v>0</v>
      </c>
    </row>
    <row r="15" spans="1:8" ht="24.6" customHeight="1">
      <c r="A15" s="553">
        <v>5</v>
      </c>
      <c r="B15" s="569" t="s">
        <v>564</v>
      </c>
      <c r="C15" s="776">
        <f>SUM(C16:C18)</f>
        <v>0</v>
      </c>
      <c r="D15" s="777">
        <f>SUM(D16:D18)</f>
        <v>0</v>
      </c>
      <c r="E15" s="555">
        <f t="shared" si="0"/>
        <v>0</v>
      </c>
      <c r="F15" s="783">
        <f>SUM(F16:F18)</f>
        <v>0</v>
      </c>
      <c r="G15" s="777">
        <f>SUM(G16:G18)</f>
        <v>0</v>
      </c>
      <c r="H15" s="786">
        <f t="shared" si="1"/>
        <v>0</v>
      </c>
    </row>
    <row r="16" spans="1:8">
      <c r="A16" s="553">
        <v>5.0999999999999996</v>
      </c>
      <c r="B16" s="570" t="s">
        <v>565</v>
      </c>
      <c r="C16" s="587"/>
      <c r="D16" s="548"/>
      <c r="E16" s="549">
        <f t="shared" si="0"/>
        <v>0</v>
      </c>
      <c r="F16" s="782"/>
      <c r="G16" s="548"/>
      <c r="H16" s="785">
        <f t="shared" si="1"/>
        <v>0</v>
      </c>
    </row>
    <row r="17" spans="1:8">
      <c r="A17" s="553">
        <v>5.2</v>
      </c>
      <c r="B17" s="570" t="s">
        <v>566</v>
      </c>
      <c r="C17" s="587"/>
      <c r="D17" s="548"/>
      <c r="E17" s="549">
        <f t="shared" si="0"/>
        <v>0</v>
      </c>
      <c r="F17" s="782">
        <v>0</v>
      </c>
      <c r="G17" s="548">
        <v>0</v>
      </c>
      <c r="H17" s="785">
        <f t="shared" si="1"/>
        <v>0</v>
      </c>
    </row>
    <row r="18" spans="1:8">
      <c r="A18" s="553">
        <v>5.3</v>
      </c>
      <c r="B18" s="571" t="s">
        <v>567</v>
      </c>
      <c r="C18" s="587"/>
      <c r="D18" s="548"/>
      <c r="E18" s="549">
        <f t="shared" si="0"/>
        <v>0</v>
      </c>
      <c r="F18" s="782"/>
      <c r="G18" s="548"/>
      <c r="H18" s="785">
        <f t="shared" si="1"/>
        <v>0</v>
      </c>
    </row>
    <row r="19" spans="1:8">
      <c r="A19" s="553">
        <v>6</v>
      </c>
      <c r="B19" s="567" t="s">
        <v>568</v>
      </c>
      <c r="C19" s="588">
        <f>SUM(C20:C21)</f>
        <v>191553907.85861251</v>
      </c>
      <c r="D19" s="550">
        <f>SUM(D20:D21)</f>
        <v>188261471.22757697</v>
      </c>
      <c r="E19" s="549">
        <f t="shared" si="0"/>
        <v>379815379.08618951</v>
      </c>
      <c r="F19" s="781">
        <f>SUM(F20:F21)</f>
        <v>149529024.87302142</v>
      </c>
      <c r="G19" s="550">
        <f>SUM(G20:G21)</f>
        <v>190825763.26574636</v>
      </c>
      <c r="H19" s="785">
        <f t="shared" si="1"/>
        <v>340354788.13876778</v>
      </c>
    </row>
    <row r="20" spans="1:8">
      <c r="A20" s="553">
        <v>6.1</v>
      </c>
      <c r="B20" s="570" t="s">
        <v>566</v>
      </c>
      <c r="C20" s="587">
        <v>42032718.790847979</v>
      </c>
      <c r="D20" s="548">
        <v>14181624.769055314</v>
      </c>
      <c r="E20" s="549">
        <f t="shared" si="0"/>
        <v>56214343.559903294</v>
      </c>
      <c r="F20" s="782">
        <v>52293655.767584018</v>
      </c>
      <c r="G20" s="548">
        <v>17574431.251907825</v>
      </c>
      <c r="H20" s="785">
        <f t="shared" si="1"/>
        <v>69868087.019491851</v>
      </c>
    </row>
    <row r="21" spans="1:8">
      <c r="A21" s="553">
        <v>6.2</v>
      </c>
      <c r="B21" s="571" t="s">
        <v>567</v>
      </c>
      <c r="C21" s="587">
        <v>149521189.06776452</v>
      </c>
      <c r="D21" s="548">
        <v>174079846.45852166</v>
      </c>
      <c r="E21" s="549">
        <f t="shared" si="0"/>
        <v>323601035.52628618</v>
      </c>
      <c r="F21" s="782">
        <v>97235369.105437398</v>
      </c>
      <c r="G21" s="548">
        <v>173251332.01383853</v>
      </c>
      <c r="H21" s="785">
        <f t="shared" si="1"/>
        <v>270486701.11927593</v>
      </c>
    </row>
    <row r="22" spans="1:8">
      <c r="A22" s="553">
        <v>7</v>
      </c>
      <c r="B22" s="565" t="s">
        <v>569</v>
      </c>
      <c r="C22" s="587"/>
      <c r="D22" s="548"/>
      <c r="E22" s="549">
        <f t="shared" si="0"/>
        <v>0</v>
      </c>
      <c r="F22" s="782"/>
      <c r="G22" s="548"/>
      <c r="H22" s="785">
        <f t="shared" si="1"/>
        <v>0</v>
      </c>
    </row>
    <row r="23" spans="1:8">
      <c r="A23" s="553">
        <v>8</v>
      </c>
      <c r="B23" s="572" t="s">
        <v>570</v>
      </c>
      <c r="C23" s="587"/>
      <c r="D23" s="548"/>
      <c r="E23" s="549">
        <f t="shared" si="0"/>
        <v>0</v>
      </c>
      <c r="F23" s="782"/>
      <c r="G23" s="548"/>
      <c r="H23" s="785">
        <f t="shared" si="1"/>
        <v>0</v>
      </c>
    </row>
    <row r="24" spans="1:8">
      <c r="A24" s="553">
        <v>9</v>
      </c>
      <c r="B24" s="568" t="s">
        <v>571</v>
      </c>
      <c r="C24" s="588">
        <f>SUM(C25:C26)</f>
        <v>6782728.7300000004</v>
      </c>
      <c r="D24" s="550">
        <f>SUM(D25:D26)</f>
        <v>0</v>
      </c>
      <c r="E24" s="549">
        <f t="shared" si="0"/>
        <v>6782728.7300000004</v>
      </c>
      <c r="F24" s="781">
        <f>SUM(F25:F26)</f>
        <v>7818769.0599999987</v>
      </c>
      <c r="G24" s="550">
        <f>SUM(G25:G26)</f>
        <v>0</v>
      </c>
      <c r="H24" s="785">
        <f t="shared" si="1"/>
        <v>7818769.0599999987</v>
      </c>
    </row>
    <row r="25" spans="1:8">
      <c r="A25" s="553">
        <v>9.1</v>
      </c>
      <c r="B25" s="570" t="s">
        <v>572</v>
      </c>
      <c r="C25" s="587">
        <v>6782728.7300000004</v>
      </c>
      <c r="D25" s="548"/>
      <c r="E25" s="549">
        <f t="shared" si="0"/>
        <v>6782728.7300000004</v>
      </c>
      <c r="F25" s="782">
        <v>7818769.0599999987</v>
      </c>
      <c r="G25" s="548"/>
      <c r="H25" s="785">
        <f t="shared" si="1"/>
        <v>7818769.0599999987</v>
      </c>
    </row>
    <row r="26" spans="1:8">
      <c r="A26" s="553">
        <v>9.1999999999999993</v>
      </c>
      <c r="B26" s="570" t="s">
        <v>573</v>
      </c>
      <c r="C26" s="587"/>
      <c r="D26" s="548"/>
      <c r="E26" s="549">
        <f t="shared" si="0"/>
        <v>0</v>
      </c>
      <c r="F26" s="782"/>
      <c r="G26" s="548"/>
      <c r="H26" s="785">
        <f t="shared" si="1"/>
        <v>0</v>
      </c>
    </row>
    <row r="27" spans="1:8">
      <c r="A27" s="553">
        <v>10</v>
      </c>
      <c r="B27" s="568" t="s">
        <v>574</v>
      </c>
      <c r="C27" s="588">
        <f>SUM(C28:C29)</f>
        <v>2727053.4502263302</v>
      </c>
      <c r="D27" s="550">
        <f>SUM(D28:D29)</f>
        <v>0</v>
      </c>
      <c r="E27" s="549">
        <f t="shared" si="0"/>
        <v>2727053.4502263302</v>
      </c>
      <c r="F27" s="781">
        <f>SUM(F28:F29)</f>
        <v>166203.18946849319</v>
      </c>
      <c r="G27" s="550">
        <f>SUM(G28:G29)</f>
        <v>0</v>
      </c>
      <c r="H27" s="785">
        <f t="shared" si="1"/>
        <v>166203.18946849319</v>
      </c>
    </row>
    <row r="28" spans="1:8">
      <c r="A28" s="553">
        <v>10.1</v>
      </c>
      <c r="B28" s="570" t="s">
        <v>575</v>
      </c>
      <c r="C28" s="587"/>
      <c r="D28" s="548"/>
      <c r="E28" s="549">
        <f t="shared" si="0"/>
        <v>0</v>
      </c>
      <c r="F28" s="782"/>
      <c r="G28" s="548"/>
      <c r="H28" s="785">
        <f t="shared" si="1"/>
        <v>0</v>
      </c>
    </row>
    <row r="29" spans="1:8">
      <c r="A29" s="553">
        <v>10.199999999999999</v>
      </c>
      <c r="B29" s="570" t="s">
        <v>576</v>
      </c>
      <c r="C29" s="587">
        <v>2727053.4502263302</v>
      </c>
      <c r="D29" s="548"/>
      <c r="E29" s="549">
        <f t="shared" si="0"/>
        <v>2727053.4502263302</v>
      </c>
      <c r="F29" s="782">
        <v>166203.18946849319</v>
      </c>
      <c r="G29" s="548"/>
      <c r="H29" s="785">
        <f t="shared" si="1"/>
        <v>166203.18946849319</v>
      </c>
    </row>
    <row r="30" spans="1:8">
      <c r="A30" s="553">
        <v>11</v>
      </c>
      <c r="B30" s="568" t="s">
        <v>577</v>
      </c>
      <c r="C30" s="588">
        <f>SUM(C31:C32)</f>
        <v>6617042.8200000003</v>
      </c>
      <c r="D30" s="550">
        <f>SUM(D31:D32)</f>
        <v>0</v>
      </c>
      <c r="E30" s="549">
        <f t="shared" si="0"/>
        <v>6617042.8200000003</v>
      </c>
      <c r="F30" s="781">
        <f>SUM(F31:F32)</f>
        <v>4919148.09</v>
      </c>
      <c r="G30" s="550">
        <f>SUM(G31:G32)</f>
        <v>0</v>
      </c>
      <c r="H30" s="785">
        <f t="shared" si="1"/>
        <v>4919148.09</v>
      </c>
    </row>
    <row r="31" spans="1:8">
      <c r="A31" s="553">
        <v>11.1</v>
      </c>
      <c r="B31" s="570" t="s">
        <v>578</v>
      </c>
      <c r="C31" s="587">
        <v>6617042.8200000003</v>
      </c>
      <c r="D31" s="548"/>
      <c r="E31" s="549">
        <f t="shared" si="0"/>
        <v>6617042.8200000003</v>
      </c>
      <c r="F31" s="782">
        <v>4919148.09</v>
      </c>
      <c r="G31" s="548"/>
      <c r="H31" s="785">
        <f t="shared" si="1"/>
        <v>4919148.09</v>
      </c>
    </row>
    <row r="32" spans="1:8">
      <c r="A32" s="553">
        <v>11.2</v>
      </c>
      <c r="B32" s="570" t="s">
        <v>579</v>
      </c>
      <c r="C32" s="587"/>
      <c r="D32" s="548"/>
      <c r="E32" s="549">
        <f t="shared" si="0"/>
        <v>0</v>
      </c>
      <c r="F32" s="782"/>
      <c r="G32" s="548"/>
      <c r="H32" s="785">
        <f t="shared" si="1"/>
        <v>0</v>
      </c>
    </row>
    <row r="33" spans="1:8">
      <c r="A33" s="553">
        <v>13</v>
      </c>
      <c r="B33" s="568" t="s">
        <v>580</v>
      </c>
      <c r="C33" s="588">
        <v>4183606.13</v>
      </c>
      <c r="D33" s="550">
        <v>1824398.587908</v>
      </c>
      <c r="E33" s="549">
        <f t="shared" si="0"/>
        <v>6008004.7179079996</v>
      </c>
      <c r="F33" s="781">
        <v>3029195.3600000003</v>
      </c>
      <c r="G33" s="550">
        <v>219406.21</v>
      </c>
      <c r="H33" s="785">
        <f t="shared" si="1"/>
        <v>3248601.5700000003</v>
      </c>
    </row>
    <row r="34" spans="1:8">
      <c r="A34" s="553">
        <v>13.1</v>
      </c>
      <c r="B34" s="573" t="s">
        <v>581</v>
      </c>
      <c r="C34" s="587">
        <v>1349093.18</v>
      </c>
      <c r="D34" s="548"/>
      <c r="E34" s="549">
        <f t="shared" si="0"/>
        <v>1349093.18</v>
      </c>
      <c r="F34" s="782">
        <v>1349093.18</v>
      </c>
      <c r="G34" s="548"/>
      <c r="H34" s="785">
        <f t="shared" si="1"/>
        <v>1349093.18</v>
      </c>
    </row>
    <row r="35" spans="1:8">
      <c r="A35" s="553">
        <v>13.2</v>
      </c>
      <c r="B35" s="573" t="s">
        <v>582</v>
      </c>
      <c r="C35" s="587"/>
      <c r="D35" s="548"/>
      <c r="E35" s="549">
        <f t="shared" si="0"/>
        <v>0</v>
      </c>
      <c r="F35" s="782"/>
      <c r="G35" s="548"/>
      <c r="H35" s="785">
        <f t="shared" si="1"/>
        <v>0</v>
      </c>
    </row>
    <row r="36" spans="1:8">
      <c r="A36" s="553">
        <v>14</v>
      </c>
      <c r="B36" s="574" t="s">
        <v>583</v>
      </c>
      <c r="C36" s="588">
        <f>SUM(C7,C11,C13,C14,C15,C19,C22,C23,C24,C27,C30,C33)</f>
        <v>217507373.26255143</v>
      </c>
      <c r="D36" s="550">
        <f>SUM(D7,D11,D13,D14,D15,D19,D22,D23,D24,D27,D30,D33)</f>
        <v>272439501.30949503</v>
      </c>
      <c r="E36" s="549">
        <f t="shared" si="0"/>
        <v>489946874.57204646</v>
      </c>
      <c r="F36" s="781">
        <f>SUM(F7,F11,F13,F14,F15,F19,F22,F23,F24,F27,F30,F33)</f>
        <v>196467666.83981144</v>
      </c>
      <c r="G36" s="550">
        <f>SUM(G7,G11,G13,G14,G15,G19,G22,G23,G24,G27,G30,G33)</f>
        <v>273314190.49894941</v>
      </c>
      <c r="H36" s="785">
        <f t="shared" si="1"/>
        <v>469781857.33876085</v>
      </c>
    </row>
    <row r="37" spans="1:8" ht="22.5" customHeight="1">
      <c r="A37" s="553"/>
      <c r="B37" s="575" t="s">
        <v>584</v>
      </c>
      <c r="C37" s="796"/>
      <c r="D37" s="797"/>
      <c r="E37" s="797"/>
      <c r="F37" s="797"/>
      <c r="G37" s="797"/>
      <c r="H37" s="798"/>
    </row>
    <row r="38" spans="1:8">
      <c r="A38" s="553">
        <v>15</v>
      </c>
      <c r="B38" s="576" t="s">
        <v>585</v>
      </c>
      <c r="C38" s="587"/>
      <c r="D38" s="548"/>
      <c r="E38" s="549">
        <f>C38+D38</f>
        <v>0</v>
      </c>
      <c r="F38" s="782"/>
      <c r="G38" s="548"/>
      <c r="H38" s="785">
        <f>F38+G38</f>
        <v>0</v>
      </c>
    </row>
    <row r="39" spans="1:8">
      <c r="A39" s="553">
        <v>15.1</v>
      </c>
      <c r="B39" s="566" t="s">
        <v>561</v>
      </c>
      <c r="C39" s="587"/>
      <c r="D39" s="548"/>
      <c r="E39" s="549">
        <f t="shared" ref="E39:E53" si="2">C39+D39</f>
        <v>0</v>
      </c>
      <c r="F39" s="782"/>
      <c r="G39" s="548"/>
      <c r="H39" s="785">
        <f t="shared" ref="H39:H53" si="3">F39+G39</f>
        <v>0</v>
      </c>
    </row>
    <row r="40" spans="1:8" ht="24" customHeight="1">
      <c r="A40" s="553">
        <v>16</v>
      </c>
      <c r="B40" s="565" t="s">
        <v>586</v>
      </c>
      <c r="C40" s="587"/>
      <c r="D40" s="548"/>
      <c r="E40" s="549">
        <f t="shared" si="2"/>
        <v>0</v>
      </c>
      <c r="F40" s="782"/>
      <c r="G40" s="548"/>
      <c r="H40" s="785">
        <f t="shared" si="3"/>
        <v>0</v>
      </c>
    </row>
    <row r="41" spans="1:8">
      <c r="A41" s="553">
        <v>17</v>
      </c>
      <c r="B41" s="565" t="s">
        <v>587</v>
      </c>
      <c r="C41" s="588">
        <f>SUM(C42:C45)</f>
        <v>60925448.509162992</v>
      </c>
      <c r="D41" s="550">
        <f>SUM(D42:D45)</f>
        <v>272974671.01899296</v>
      </c>
      <c r="E41" s="549">
        <f t="shared" si="2"/>
        <v>333900119.52815592</v>
      </c>
      <c r="F41" s="781">
        <f>SUM(F42:F45)</f>
        <v>52276060.459999964</v>
      </c>
      <c r="G41" s="550">
        <f>SUM(G42:G45)</f>
        <v>274993425.57999998</v>
      </c>
      <c r="H41" s="785">
        <f t="shared" si="3"/>
        <v>327269486.03999996</v>
      </c>
    </row>
    <row r="42" spans="1:8">
      <c r="A42" s="553">
        <v>17.100000000000001</v>
      </c>
      <c r="B42" s="577" t="s">
        <v>588</v>
      </c>
      <c r="C42" s="587">
        <v>32889058.098204091</v>
      </c>
      <c r="D42" s="548">
        <v>197837216.36267692</v>
      </c>
      <c r="E42" s="549">
        <f t="shared" si="2"/>
        <v>230726274.46088099</v>
      </c>
      <c r="F42" s="782">
        <v>52276060.459999964</v>
      </c>
      <c r="G42" s="548">
        <v>230677944.40000001</v>
      </c>
      <c r="H42" s="785">
        <f t="shared" si="3"/>
        <v>282954004.85999995</v>
      </c>
    </row>
    <row r="43" spans="1:8">
      <c r="A43" s="553">
        <v>17.2</v>
      </c>
      <c r="B43" s="564" t="s">
        <v>589</v>
      </c>
      <c r="C43" s="587">
        <v>28036390.410958905</v>
      </c>
      <c r="D43" s="548">
        <v>70797737.199960083</v>
      </c>
      <c r="E43" s="549">
        <f t="shared" si="2"/>
        <v>98834127.610918984</v>
      </c>
      <c r="F43" s="782">
        <v>0</v>
      </c>
      <c r="G43" s="548">
        <v>39604039.739999995</v>
      </c>
      <c r="H43" s="785">
        <f t="shared" si="3"/>
        <v>39604039.739999995</v>
      </c>
    </row>
    <row r="44" spans="1:8">
      <c r="A44" s="553">
        <v>17.3</v>
      </c>
      <c r="B44" s="577" t="s">
        <v>590</v>
      </c>
      <c r="C44" s="587"/>
      <c r="D44" s="548"/>
      <c r="E44" s="549">
        <f t="shared" si="2"/>
        <v>0</v>
      </c>
      <c r="F44" s="782"/>
      <c r="G44" s="548"/>
      <c r="H44" s="785">
        <f t="shared" si="3"/>
        <v>0</v>
      </c>
    </row>
    <row r="45" spans="1:8">
      <c r="A45" s="553">
        <v>17.399999999999999</v>
      </c>
      <c r="B45" s="577" t="s">
        <v>591</v>
      </c>
      <c r="C45" s="587">
        <v>0</v>
      </c>
      <c r="D45" s="548">
        <v>4339717.4563560002</v>
      </c>
      <c r="E45" s="549">
        <f t="shared" si="2"/>
        <v>4339717.4563560002</v>
      </c>
      <c r="F45" s="782">
        <v>0</v>
      </c>
      <c r="G45" s="548">
        <v>4711441.4400000004</v>
      </c>
      <c r="H45" s="785">
        <f t="shared" si="3"/>
        <v>4711441.4400000004</v>
      </c>
    </row>
    <row r="46" spans="1:8">
      <c r="A46" s="553">
        <v>18</v>
      </c>
      <c r="B46" s="578" t="s">
        <v>592</v>
      </c>
      <c r="C46" s="588">
        <v>150865.3495425242</v>
      </c>
      <c r="D46" s="550">
        <v>263307.81776915735</v>
      </c>
      <c r="E46" s="549">
        <f t="shared" si="2"/>
        <v>414173.16731168155</v>
      </c>
      <c r="F46" s="781">
        <v>165714.34756523365</v>
      </c>
      <c r="G46" s="550">
        <v>300985.05618865683</v>
      </c>
      <c r="H46" s="785">
        <f t="shared" si="3"/>
        <v>466699.40375389048</v>
      </c>
    </row>
    <row r="47" spans="1:8">
      <c r="A47" s="553">
        <v>19</v>
      </c>
      <c r="B47" s="578" t="s">
        <v>593</v>
      </c>
      <c r="C47" s="588">
        <f>SUM(C48:C49)</f>
        <v>2794477.0510511133</v>
      </c>
      <c r="D47" s="550">
        <f>SUM(D48:D49)</f>
        <v>0</v>
      </c>
      <c r="E47" s="549">
        <f t="shared" si="2"/>
        <v>2794477.0510511133</v>
      </c>
      <c r="F47" s="781">
        <f>SUM(F48:F49)</f>
        <v>4845214.21</v>
      </c>
      <c r="G47" s="550">
        <f>SUM(G48:G49)</f>
        <v>0</v>
      </c>
      <c r="H47" s="785">
        <f t="shared" si="3"/>
        <v>4845214.21</v>
      </c>
    </row>
    <row r="48" spans="1:8">
      <c r="A48" s="553">
        <v>19.100000000000001</v>
      </c>
      <c r="B48" s="579" t="s">
        <v>594</v>
      </c>
      <c r="C48" s="587">
        <v>2794477.0510511133</v>
      </c>
      <c r="D48" s="548">
        <v>0</v>
      </c>
      <c r="E48" s="549">
        <f t="shared" si="2"/>
        <v>2794477.0510511133</v>
      </c>
      <c r="F48" s="782">
        <v>4845214.21</v>
      </c>
      <c r="G48" s="548">
        <v>0</v>
      </c>
      <c r="H48" s="785">
        <f t="shared" si="3"/>
        <v>4845214.21</v>
      </c>
    </row>
    <row r="49" spans="1:8">
      <c r="A49" s="553">
        <v>19.2</v>
      </c>
      <c r="B49" s="580" t="s">
        <v>595</v>
      </c>
      <c r="C49" s="587"/>
      <c r="D49" s="548"/>
      <c r="E49" s="549">
        <f t="shared" si="2"/>
        <v>0</v>
      </c>
      <c r="F49" s="782"/>
      <c r="G49" s="548"/>
      <c r="H49" s="785">
        <f t="shared" si="3"/>
        <v>0</v>
      </c>
    </row>
    <row r="50" spans="1:8">
      <c r="A50" s="553">
        <v>20</v>
      </c>
      <c r="B50" s="581" t="s">
        <v>596</v>
      </c>
      <c r="C50" s="587"/>
      <c r="D50" s="548"/>
      <c r="E50" s="549">
        <f t="shared" si="2"/>
        <v>0</v>
      </c>
      <c r="F50" s="782"/>
      <c r="G50" s="548"/>
      <c r="H50" s="785">
        <f t="shared" si="3"/>
        <v>0</v>
      </c>
    </row>
    <row r="51" spans="1:8">
      <c r="A51" s="553">
        <v>21</v>
      </c>
      <c r="B51" s="572" t="s">
        <v>597</v>
      </c>
      <c r="C51" s="588">
        <v>3770883.823583066</v>
      </c>
      <c r="D51" s="550">
        <v>3041430.8204069999</v>
      </c>
      <c r="E51" s="549">
        <f t="shared" si="2"/>
        <v>6812314.6439900659</v>
      </c>
      <c r="F51" s="781">
        <v>2006384.0953555058</v>
      </c>
      <c r="G51" s="550">
        <v>1301047.44</v>
      </c>
      <c r="H51" s="785">
        <f t="shared" si="3"/>
        <v>3307431.5353555055</v>
      </c>
    </row>
    <row r="52" spans="1:8">
      <c r="A52" s="553">
        <v>21.1</v>
      </c>
      <c r="B52" s="564" t="s">
        <v>598</v>
      </c>
      <c r="C52" s="587"/>
      <c r="D52" s="548"/>
      <c r="E52" s="549">
        <f t="shared" si="2"/>
        <v>0</v>
      </c>
      <c r="F52" s="782"/>
      <c r="G52" s="548"/>
      <c r="H52" s="785">
        <f t="shared" si="3"/>
        <v>0</v>
      </c>
    </row>
    <row r="53" spans="1:8">
      <c r="A53" s="553">
        <v>22</v>
      </c>
      <c r="B53" s="582" t="s">
        <v>599</v>
      </c>
      <c r="C53" s="588">
        <f>SUM(C38,C40,C41,C46,C47,C50,C51)</f>
        <v>67641674.733339682</v>
      </c>
      <c r="D53" s="550">
        <f>SUM(D38,D40,D41,D46,D47,D50,D51)</f>
        <v>276279409.6571691</v>
      </c>
      <c r="E53" s="549">
        <f t="shared" si="2"/>
        <v>343921084.39050877</v>
      </c>
      <c r="F53" s="781">
        <f>SUM(F38,F40,F41,F46,F47,F50,F51)</f>
        <v>59293373.112920702</v>
      </c>
      <c r="G53" s="550">
        <f>SUM(G38,G40,G41,G46,G47,G50,G51)</f>
        <v>276595458.07618862</v>
      </c>
      <c r="H53" s="785">
        <f t="shared" si="3"/>
        <v>335888831.18910933</v>
      </c>
    </row>
    <row r="54" spans="1:8" ht="24" customHeight="1">
      <c r="A54" s="553"/>
      <c r="B54" s="575" t="s">
        <v>600</v>
      </c>
      <c r="C54" s="796"/>
      <c r="D54" s="797"/>
      <c r="E54" s="797"/>
      <c r="F54" s="797"/>
      <c r="G54" s="797"/>
      <c r="H54" s="798"/>
    </row>
    <row r="55" spans="1:8">
      <c r="A55" s="553">
        <v>23</v>
      </c>
      <c r="B55" s="581" t="s">
        <v>601</v>
      </c>
      <c r="C55" s="587">
        <v>69161600</v>
      </c>
      <c r="D55" s="548"/>
      <c r="E55" s="549">
        <f>C55+D55</f>
        <v>69161600</v>
      </c>
      <c r="F55" s="782">
        <v>69161600</v>
      </c>
      <c r="G55" s="548"/>
      <c r="H55" s="785">
        <f>F55+G55</f>
        <v>69161600</v>
      </c>
    </row>
    <row r="56" spans="1:8">
      <c r="A56" s="553">
        <v>24</v>
      </c>
      <c r="B56" s="581" t="s">
        <v>602</v>
      </c>
      <c r="C56" s="587"/>
      <c r="D56" s="548"/>
      <c r="E56" s="549">
        <f t="shared" ref="E56:E69" si="4">C56+D56</f>
        <v>0</v>
      </c>
      <c r="F56" s="782"/>
      <c r="G56" s="548"/>
      <c r="H56" s="785">
        <f t="shared" ref="H56:H69" si="5">F56+G56</f>
        <v>0</v>
      </c>
    </row>
    <row r="57" spans="1:8">
      <c r="A57" s="553">
        <v>25</v>
      </c>
      <c r="B57" s="578" t="s">
        <v>603</v>
      </c>
      <c r="C57" s="587"/>
      <c r="D57" s="548"/>
      <c r="E57" s="549">
        <f t="shared" si="4"/>
        <v>0</v>
      </c>
      <c r="F57" s="782"/>
      <c r="G57" s="548"/>
      <c r="H57" s="785">
        <f t="shared" si="5"/>
        <v>0</v>
      </c>
    </row>
    <row r="58" spans="1:8">
      <c r="A58" s="553">
        <v>26</v>
      </c>
      <c r="B58" s="578" t="s">
        <v>604</v>
      </c>
      <c r="C58" s="587"/>
      <c r="D58" s="548"/>
      <c r="E58" s="549">
        <f t="shared" si="4"/>
        <v>0</v>
      </c>
      <c r="F58" s="782"/>
      <c r="G58" s="548"/>
      <c r="H58" s="785">
        <f t="shared" si="5"/>
        <v>0</v>
      </c>
    </row>
    <row r="59" spans="1:8">
      <c r="A59" s="553">
        <v>27</v>
      </c>
      <c r="B59" s="578" t="s">
        <v>605</v>
      </c>
      <c r="C59" s="587">
        <f>SUM(C60:C61)</f>
        <v>0</v>
      </c>
      <c r="D59" s="548">
        <f>SUM(D60:D61)</f>
        <v>0</v>
      </c>
      <c r="E59" s="549">
        <f t="shared" si="4"/>
        <v>0</v>
      </c>
      <c r="F59" s="782"/>
      <c r="G59" s="548"/>
      <c r="H59" s="785">
        <f t="shared" si="5"/>
        <v>0</v>
      </c>
    </row>
    <row r="60" spans="1:8">
      <c r="A60" s="553">
        <v>27.1</v>
      </c>
      <c r="B60" s="577" t="s">
        <v>606</v>
      </c>
      <c r="C60" s="587"/>
      <c r="D60" s="548"/>
      <c r="E60" s="549">
        <f t="shared" si="4"/>
        <v>0</v>
      </c>
      <c r="F60" s="782"/>
      <c r="G60" s="548"/>
      <c r="H60" s="785">
        <f t="shared" si="5"/>
        <v>0</v>
      </c>
    </row>
    <row r="61" spans="1:8">
      <c r="A61" s="553">
        <v>27.2</v>
      </c>
      <c r="B61" s="577" t="s">
        <v>607</v>
      </c>
      <c r="C61" s="587"/>
      <c r="D61" s="548"/>
      <c r="E61" s="549">
        <f t="shared" si="4"/>
        <v>0</v>
      </c>
      <c r="F61" s="782"/>
      <c r="G61" s="548"/>
      <c r="H61" s="785">
        <f t="shared" si="5"/>
        <v>0</v>
      </c>
    </row>
    <row r="62" spans="1:8">
      <c r="A62" s="553">
        <v>28</v>
      </c>
      <c r="B62" s="583" t="s">
        <v>608</v>
      </c>
      <c r="C62" s="587"/>
      <c r="D62" s="548"/>
      <c r="E62" s="549">
        <f t="shared" si="4"/>
        <v>0</v>
      </c>
      <c r="F62" s="782"/>
      <c r="G62" s="548"/>
      <c r="H62" s="785">
        <f t="shared" si="5"/>
        <v>0</v>
      </c>
    </row>
    <row r="63" spans="1:8">
      <c r="A63" s="553">
        <v>29</v>
      </c>
      <c r="B63" s="578" t="s">
        <v>609</v>
      </c>
      <c r="C63" s="587">
        <f>SUM(C64:C66)</f>
        <v>0</v>
      </c>
      <c r="D63" s="548">
        <f>SUM(D64:D66)</f>
        <v>0</v>
      </c>
      <c r="E63" s="549">
        <f t="shared" si="4"/>
        <v>0</v>
      </c>
      <c r="F63" s="782"/>
      <c r="G63" s="548"/>
      <c r="H63" s="785">
        <f t="shared" si="5"/>
        <v>0</v>
      </c>
    </row>
    <row r="64" spans="1:8">
      <c r="A64" s="553">
        <v>29.1</v>
      </c>
      <c r="B64" s="571" t="s">
        <v>610</v>
      </c>
      <c r="C64" s="587"/>
      <c r="D64" s="548"/>
      <c r="E64" s="549">
        <f t="shared" si="4"/>
        <v>0</v>
      </c>
      <c r="F64" s="782"/>
      <c r="G64" s="548"/>
      <c r="H64" s="785">
        <f t="shared" si="5"/>
        <v>0</v>
      </c>
    </row>
    <row r="65" spans="1:8" ht="24.95" customHeight="1">
      <c r="A65" s="553">
        <v>29.2</v>
      </c>
      <c r="B65" s="584" t="s">
        <v>611</v>
      </c>
      <c r="C65" s="587"/>
      <c r="D65" s="548"/>
      <c r="E65" s="549">
        <f t="shared" si="4"/>
        <v>0</v>
      </c>
      <c r="F65" s="782"/>
      <c r="G65" s="548"/>
      <c r="H65" s="785">
        <f t="shared" si="5"/>
        <v>0</v>
      </c>
    </row>
    <row r="66" spans="1:8" ht="22.5" customHeight="1">
      <c r="A66" s="553">
        <v>29.3</v>
      </c>
      <c r="B66" s="584" t="s">
        <v>612</v>
      </c>
      <c r="C66" s="587"/>
      <c r="D66" s="548"/>
      <c r="E66" s="549">
        <f t="shared" si="4"/>
        <v>0</v>
      </c>
      <c r="F66" s="782"/>
      <c r="G66" s="548"/>
      <c r="H66" s="785">
        <f t="shared" si="5"/>
        <v>0</v>
      </c>
    </row>
    <row r="67" spans="1:8">
      <c r="A67" s="553">
        <v>30</v>
      </c>
      <c r="B67" s="568" t="s">
        <v>613</v>
      </c>
      <c r="C67" s="587">
        <v>76864190.181537807</v>
      </c>
      <c r="D67" s="548"/>
      <c r="E67" s="549">
        <f t="shared" si="4"/>
        <v>76864190.181537807</v>
      </c>
      <c r="F67" s="782">
        <v>64731426.149651363</v>
      </c>
      <c r="G67" s="548"/>
      <c r="H67" s="785">
        <f t="shared" si="5"/>
        <v>64731426.149651363</v>
      </c>
    </row>
    <row r="68" spans="1:8">
      <c r="A68" s="553">
        <v>31</v>
      </c>
      <c r="B68" s="557" t="s">
        <v>614</v>
      </c>
      <c r="C68" s="588">
        <f>SUM(C55,C56,C57,C58,C59,C62,C63,C67)</f>
        <v>146025790.18153781</v>
      </c>
      <c r="D68" s="550">
        <f>SUM(D55,D56,D57,D58,D59,D62,D63,D67)</f>
        <v>0</v>
      </c>
      <c r="E68" s="549">
        <f t="shared" si="4"/>
        <v>146025790.18153781</v>
      </c>
      <c r="F68" s="781">
        <f>SUM(F55,F56,F57,F58,F59,F62,F63,F67)</f>
        <v>133893026.14965136</v>
      </c>
      <c r="G68" s="550">
        <f>SUM(G55,G56,G57,G58,G59,G62,G63,G67)</f>
        <v>0</v>
      </c>
      <c r="H68" s="785">
        <f t="shared" si="5"/>
        <v>133893026.14965136</v>
      </c>
    </row>
    <row r="69" spans="1:8" ht="15.75" thickBot="1">
      <c r="A69" s="558">
        <v>32</v>
      </c>
      <c r="B69" s="585" t="s">
        <v>615</v>
      </c>
      <c r="C69" s="589">
        <f>SUM(C53,C68)</f>
        <v>213667464.91487747</v>
      </c>
      <c r="D69" s="560">
        <f>SUM(D53,D68)</f>
        <v>276279409.6571691</v>
      </c>
      <c r="E69" s="561">
        <f t="shared" si="4"/>
        <v>489946874.57204658</v>
      </c>
      <c r="F69" s="784">
        <f>SUM(F53,F68)</f>
        <v>193186399.26257205</v>
      </c>
      <c r="G69" s="560">
        <f>SUM(G53,G68)</f>
        <v>276595458.07618862</v>
      </c>
      <c r="H69" s="787">
        <f t="shared" si="5"/>
        <v>469781857.33876067</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I49"/>
  <sheetViews>
    <sheetView showGridLines="0" zoomScaleNormal="100" workbookViewId="0">
      <selection activeCell="B4" sqref="B4:B5"/>
    </sheetView>
  </sheetViews>
  <sheetFormatPr defaultRowHeight="15"/>
  <cols>
    <col min="2" max="2" width="66.5703125" customWidth="1"/>
    <col min="3" max="8" width="17.85546875" customWidth="1"/>
    <col min="9" max="9" width="10.5703125" bestFit="1" customWidth="1"/>
  </cols>
  <sheetData>
    <row r="1" spans="1:8" s="5" customFormat="1" ht="14.25">
      <c r="A1" s="2" t="s">
        <v>30</v>
      </c>
      <c r="B1" s="536" t="str">
        <f>'1. key ratios '!B1</f>
        <v>JSC Isbank Georgia</v>
      </c>
      <c r="C1" s="3"/>
      <c r="D1" s="4"/>
      <c r="E1" s="4"/>
      <c r="F1" s="4"/>
      <c r="G1" s="4"/>
    </row>
    <row r="2" spans="1:8" s="5" customFormat="1" ht="14.25">
      <c r="A2" s="2" t="s">
        <v>31</v>
      </c>
      <c r="B2" s="537">
        <f>'1. key ratios '!B2</f>
        <v>45657</v>
      </c>
      <c r="C2" s="6"/>
      <c r="D2" s="7"/>
      <c r="E2" s="7"/>
      <c r="F2" s="7"/>
      <c r="G2" s="7"/>
      <c r="H2" s="8"/>
    </row>
    <row r="4" spans="1:8">
      <c r="A4" s="809" t="s">
        <v>6</v>
      </c>
      <c r="B4" s="811" t="s">
        <v>616</v>
      </c>
      <c r="C4" s="804" t="s">
        <v>553</v>
      </c>
      <c r="D4" s="804"/>
      <c r="E4" s="804"/>
      <c r="F4" s="804" t="s">
        <v>554</v>
      </c>
      <c r="G4" s="804"/>
      <c r="H4" s="805"/>
    </row>
    <row r="5" spans="1:8" ht="15.6" customHeight="1">
      <c r="A5" s="810"/>
      <c r="B5" s="812"/>
      <c r="C5" s="390" t="s">
        <v>32</v>
      </c>
      <c r="D5" s="390" t="s">
        <v>33</v>
      </c>
      <c r="E5" s="390" t="s">
        <v>34</v>
      </c>
      <c r="F5" s="390" t="s">
        <v>32</v>
      </c>
      <c r="G5" s="390" t="s">
        <v>33</v>
      </c>
      <c r="H5" s="390" t="s">
        <v>34</v>
      </c>
    </row>
    <row r="6" spans="1:8">
      <c r="A6" s="391">
        <v>1</v>
      </c>
      <c r="B6" s="392" t="s">
        <v>617</v>
      </c>
      <c r="C6" s="778">
        <f>SUM(C7:C12)</f>
        <v>21735783.529210873</v>
      </c>
      <c r="D6" s="778">
        <f>SUM(D7:D12)</f>
        <v>16529671.005030375</v>
      </c>
      <c r="E6" s="779">
        <f>C6+D6</f>
        <v>38265454.534241244</v>
      </c>
      <c r="F6" s="778">
        <f>SUM(F7:F12)</f>
        <v>21753921.719807532</v>
      </c>
      <c r="G6" s="778">
        <f>SUM(G7:G12)</f>
        <v>14826423.948656773</v>
      </c>
      <c r="H6" s="779">
        <f>F6+G6</f>
        <v>36580345.668464303</v>
      </c>
    </row>
    <row r="7" spans="1:8">
      <c r="A7" s="391">
        <v>1.1000000000000001</v>
      </c>
      <c r="B7" s="393" t="s">
        <v>560</v>
      </c>
      <c r="C7" s="780"/>
      <c r="D7" s="780"/>
      <c r="E7" s="779">
        <f t="shared" ref="E7:E45" si="0">C7+D7</f>
        <v>0</v>
      </c>
      <c r="F7" s="780"/>
      <c r="G7" s="780"/>
      <c r="H7" s="779">
        <f t="shared" ref="H7:H45" si="1">F7+G7</f>
        <v>0</v>
      </c>
    </row>
    <row r="8" spans="1:8">
      <c r="A8" s="391">
        <v>1.2</v>
      </c>
      <c r="B8" s="393" t="s">
        <v>562</v>
      </c>
      <c r="C8" s="780"/>
      <c r="D8" s="780"/>
      <c r="E8" s="779">
        <f t="shared" si="0"/>
        <v>0</v>
      </c>
      <c r="F8" s="780"/>
      <c r="G8" s="780"/>
      <c r="H8" s="779">
        <f t="shared" si="1"/>
        <v>0</v>
      </c>
    </row>
    <row r="9" spans="1:8" ht="21.6" customHeight="1">
      <c r="A9" s="391">
        <v>1.3</v>
      </c>
      <c r="B9" s="393" t="s">
        <v>618</v>
      </c>
      <c r="C9" s="780"/>
      <c r="D9" s="780"/>
      <c r="E9" s="779">
        <f t="shared" si="0"/>
        <v>0</v>
      </c>
      <c r="F9" s="780"/>
      <c r="G9" s="780"/>
      <c r="H9" s="779">
        <f t="shared" si="1"/>
        <v>0</v>
      </c>
    </row>
    <row r="10" spans="1:8">
      <c r="A10" s="391">
        <v>1.4</v>
      </c>
      <c r="B10" s="393" t="s">
        <v>564</v>
      </c>
      <c r="C10" s="780"/>
      <c r="D10" s="780"/>
      <c r="E10" s="779">
        <f t="shared" si="0"/>
        <v>0</v>
      </c>
      <c r="F10" s="780"/>
      <c r="G10" s="780"/>
      <c r="H10" s="779">
        <f t="shared" si="1"/>
        <v>0</v>
      </c>
    </row>
    <row r="11" spans="1:8">
      <c r="A11" s="391">
        <v>1.5</v>
      </c>
      <c r="B11" s="393" t="s">
        <v>568</v>
      </c>
      <c r="C11" s="780">
        <v>21735783.529210873</v>
      </c>
      <c r="D11" s="780">
        <v>16529671.005030375</v>
      </c>
      <c r="E11" s="779">
        <f t="shared" si="0"/>
        <v>38265454.534241244</v>
      </c>
      <c r="F11" s="780">
        <v>21753921.719807532</v>
      </c>
      <c r="G11" s="780">
        <v>14826423.948656773</v>
      </c>
      <c r="H11" s="779">
        <f t="shared" si="1"/>
        <v>36580345.668464303</v>
      </c>
    </row>
    <row r="12" spans="1:8">
      <c r="A12" s="391">
        <v>1.6</v>
      </c>
      <c r="B12" s="394" t="s">
        <v>450</v>
      </c>
      <c r="C12" s="780"/>
      <c r="D12" s="780"/>
      <c r="E12" s="779">
        <f t="shared" si="0"/>
        <v>0</v>
      </c>
      <c r="F12" s="780"/>
      <c r="G12" s="780"/>
      <c r="H12" s="779">
        <f t="shared" si="1"/>
        <v>0</v>
      </c>
    </row>
    <row r="13" spans="1:8">
      <c r="A13" s="391">
        <v>2</v>
      </c>
      <c r="B13" s="395" t="s">
        <v>619</v>
      </c>
      <c r="C13" s="778">
        <f>SUM(C14:C17)</f>
        <v>-4724389.8367154617</v>
      </c>
      <c r="D13" s="778">
        <f>SUM(D14:D17)</f>
        <v>-11606041.749970522</v>
      </c>
      <c r="E13" s="779">
        <f t="shared" si="0"/>
        <v>-16330431.586685983</v>
      </c>
      <c r="F13" s="778">
        <f>SUM(F14:F17)</f>
        <v>-3419239.6755434675</v>
      </c>
      <c r="G13" s="778">
        <f>SUM(G14:G17)</f>
        <v>-8050484.3361212341</v>
      </c>
      <c r="H13" s="779">
        <f t="shared" si="1"/>
        <v>-11469724.011664702</v>
      </c>
    </row>
    <row r="14" spans="1:8">
      <c r="A14" s="391">
        <v>2.1</v>
      </c>
      <c r="B14" s="393" t="s">
        <v>620</v>
      </c>
      <c r="C14" s="780"/>
      <c r="D14" s="780"/>
      <c r="E14" s="779">
        <f t="shared" si="0"/>
        <v>0</v>
      </c>
      <c r="F14" s="780"/>
      <c r="G14" s="780"/>
      <c r="H14" s="779">
        <f t="shared" si="1"/>
        <v>0</v>
      </c>
    </row>
    <row r="15" spans="1:8" ht="24.6" customHeight="1">
      <c r="A15" s="391">
        <v>2.2000000000000002</v>
      </c>
      <c r="B15" s="393" t="s">
        <v>621</v>
      </c>
      <c r="C15" s="780"/>
      <c r="D15" s="780"/>
      <c r="E15" s="779">
        <f t="shared" si="0"/>
        <v>0</v>
      </c>
      <c r="F15" s="780"/>
      <c r="G15" s="780"/>
      <c r="H15" s="779">
        <f t="shared" si="1"/>
        <v>0</v>
      </c>
    </row>
    <row r="16" spans="1:8" ht="20.45" customHeight="1">
      <c r="A16" s="391">
        <v>2.2999999999999998</v>
      </c>
      <c r="B16" s="393" t="s">
        <v>622</v>
      </c>
      <c r="C16" s="780">
        <v>-4724389.8367154617</v>
      </c>
      <c r="D16" s="780">
        <v>-11606041.749970522</v>
      </c>
      <c r="E16" s="779">
        <f t="shared" si="0"/>
        <v>-16330431.586685983</v>
      </c>
      <c r="F16" s="780">
        <v>-3419239.6755434675</v>
      </c>
      <c r="G16" s="780">
        <v>-8050484.3361212341</v>
      </c>
      <c r="H16" s="779">
        <f t="shared" si="1"/>
        <v>-11469724.011664702</v>
      </c>
    </row>
    <row r="17" spans="1:9">
      <c r="A17" s="391">
        <v>2.4</v>
      </c>
      <c r="B17" s="393" t="s">
        <v>623</v>
      </c>
      <c r="C17" s="780"/>
      <c r="D17" s="780"/>
      <c r="E17" s="779">
        <f t="shared" si="0"/>
        <v>0</v>
      </c>
      <c r="F17" s="780"/>
      <c r="G17" s="780"/>
      <c r="H17" s="779">
        <f t="shared" si="1"/>
        <v>0</v>
      </c>
    </row>
    <row r="18" spans="1:9">
      <c r="A18" s="391">
        <v>3</v>
      </c>
      <c r="B18" s="395" t="s">
        <v>624</v>
      </c>
      <c r="C18" s="780"/>
      <c r="D18" s="780"/>
      <c r="E18" s="779">
        <f t="shared" si="0"/>
        <v>0</v>
      </c>
      <c r="F18" s="780"/>
      <c r="G18" s="780"/>
      <c r="H18" s="779">
        <f t="shared" si="1"/>
        <v>0</v>
      </c>
    </row>
    <row r="19" spans="1:9">
      <c r="A19" s="391">
        <v>4</v>
      </c>
      <c r="B19" s="395" t="s">
        <v>625</v>
      </c>
      <c r="C19" s="780">
        <v>1629206.4700000002</v>
      </c>
      <c r="D19" s="780">
        <v>1515743.2230934172</v>
      </c>
      <c r="E19" s="779">
        <f t="shared" si="0"/>
        <v>3144949.6930934172</v>
      </c>
      <c r="F19" s="780">
        <v>1798089.9700000002</v>
      </c>
      <c r="G19" s="780">
        <v>1714753.5701380002</v>
      </c>
      <c r="H19" s="779">
        <f t="shared" si="1"/>
        <v>3512843.5401380006</v>
      </c>
    </row>
    <row r="20" spans="1:9">
      <c r="A20" s="391">
        <v>5</v>
      </c>
      <c r="B20" s="395" t="s">
        <v>626</v>
      </c>
      <c r="C20" s="780">
        <v>-415755.14999999997</v>
      </c>
      <c r="D20" s="780">
        <v>-607323.03020000004</v>
      </c>
      <c r="E20" s="779">
        <f t="shared" si="0"/>
        <v>-1023078.1802000001</v>
      </c>
      <c r="F20" s="780">
        <v>-405198.42000000004</v>
      </c>
      <c r="G20" s="780">
        <v>-532204.80935999996</v>
      </c>
      <c r="H20" s="779">
        <f t="shared" si="1"/>
        <v>-937403.22936</v>
      </c>
    </row>
    <row r="21" spans="1:9" ht="24" customHeight="1">
      <c r="A21" s="391">
        <v>6</v>
      </c>
      <c r="B21" s="395" t="s">
        <v>627</v>
      </c>
      <c r="C21" s="780"/>
      <c r="D21" s="780"/>
      <c r="E21" s="779">
        <f t="shared" si="0"/>
        <v>0</v>
      </c>
      <c r="F21" s="780"/>
      <c r="G21" s="780"/>
      <c r="H21" s="779">
        <f t="shared" si="1"/>
        <v>0</v>
      </c>
    </row>
    <row r="22" spans="1:9" ht="18.600000000000001" customHeight="1">
      <c r="A22" s="391">
        <v>7</v>
      </c>
      <c r="B22" s="395" t="s">
        <v>628</v>
      </c>
      <c r="C22" s="780"/>
      <c r="D22" s="780"/>
      <c r="E22" s="779">
        <f t="shared" si="0"/>
        <v>0</v>
      </c>
      <c r="F22" s="780"/>
      <c r="G22" s="780"/>
      <c r="H22" s="779">
        <f t="shared" si="1"/>
        <v>0</v>
      </c>
    </row>
    <row r="23" spans="1:9" ht="25.5" customHeight="1">
      <c r="A23" s="391">
        <v>8</v>
      </c>
      <c r="B23" s="396" t="s">
        <v>629</v>
      </c>
      <c r="C23" s="780"/>
      <c r="D23" s="780"/>
      <c r="E23" s="779">
        <f t="shared" si="0"/>
        <v>0</v>
      </c>
      <c r="F23" s="780"/>
      <c r="G23" s="780"/>
      <c r="H23" s="779">
        <f t="shared" si="1"/>
        <v>0</v>
      </c>
    </row>
    <row r="24" spans="1:9" ht="34.5" customHeight="1">
      <c r="A24" s="391">
        <v>9</v>
      </c>
      <c r="B24" s="396" t="s">
        <v>630</v>
      </c>
      <c r="C24" s="780"/>
      <c r="D24" s="780"/>
      <c r="E24" s="779">
        <f t="shared" si="0"/>
        <v>0</v>
      </c>
      <c r="F24" s="780"/>
      <c r="G24" s="780"/>
      <c r="H24" s="779">
        <f t="shared" si="1"/>
        <v>0</v>
      </c>
    </row>
    <row r="25" spans="1:9">
      <c r="A25" s="391">
        <v>10</v>
      </c>
      <c r="B25" s="395" t="s">
        <v>631</v>
      </c>
      <c r="C25" s="780">
        <v>1482294.2300000004</v>
      </c>
      <c r="D25" s="780">
        <v>0</v>
      </c>
      <c r="E25" s="779">
        <f t="shared" si="0"/>
        <v>1482294.2300000004</v>
      </c>
      <c r="F25" s="780">
        <v>3236661.4999999823</v>
      </c>
      <c r="G25" s="780"/>
      <c r="H25" s="779">
        <f t="shared" si="1"/>
        <v>3236661.4999999823</v>
      </c>
    </row>
    <row r="26" spans="1:9">
      <c r="A26" s="391">
        <v>11</v>
      </c>
      <c r="B26" s="397" t="s">
        <v>632</v>
      </c>
      <c r="C26" s="780"/>
      <c r="D26" s="780"/>
      <c r="E26" s="779">
        <f t="shared" si="0"/>
        <v>0</v>
      </c>
      <c r="F26" s="780"/>
      <c r="G26" s="780">
        <v>-69282.481836494146</v>
      </c>
      <c r="H26" s="779">
        <f t="shared" si="1"/>
        <v>-69282.481836494146</v>
      </c>
    </row>
    <row r="27" spans="1:9">
      <c r="A27" s="391">
        <v>12</v>
      </c>
      <c r="B27" s="395" t="s">
        <v>633</v>
      </c>
      <c r="C27" s="780"/>
      <c r="D27" s="780"/>
      <c r="E27" s="779">
        <f t="shared" si="0"/>
        <v>0</v>
      </c>
      <c r="F27" s="780"/>
      <c r="G27" s="780"/>
      <c r="H27" s="779">
        <f t="shared" si="1"/>
        <v>0</v>
      </c>
    </row>
    <row r="28" spans="1:9">
      <c r="A28" s="391">
        <v>13</v>
      </c>
      <c r="B28" s="398" t="s">
        <v>634</v>
      </c>
      <c r="C28" s="780"/>
      <c r="D28" s="780"/>
      <c r="E28" s="779">
        <f t="shared" si="0"/>
        <v>0</v>
      </c>
      <c r="F28" s="780"/>
      <c r="G28" s="780"/>
      <c r="H28" s="779">
        <f t="shared" si="1"/>
        <v>0</v>
      </c>
    </row>
    <row r="29" spans="1:9">
      <c r="A29" s="391">
        <v>14</v>
      </c>
      <c r="B29" s="399" t="s">
        <v>635</v>
      </c>
      <c r="C29" s="778">
        <f>SUM(C30:C31)</f>
        <v>-7480840.8168095071</v>
      </c>
      <c r="D29" s="778">
        <f>SUM(D30:D31)</f>
        <v>-2465972.466259188</v>
      </c>
      <c r="E29" s="779">
        <f t="shared" si="0"/>
        <v>-9946813.2830686942</v>
      </c>
      <c r="F29" s="778">
        <f>SUM(F30:F31)</f>
        <v>-7148136.1928648986</v>
      </c>
      <c r="G29" s="778">
        <f>SUM(G30:G31)</f>
        <v>-1734779.4658543942</v>
      </c>
      <c r="H29" s="779">
        <f t="shared" si="1"/>
        <v>-8882915.6587192938</v>
      </c>
    </row>
    <row r="30" spans="1:9">
      <c r="A30" s="391">
        <v>14.1</v>
      </c>
      <c r="B30" s="375" t="s">
        <v>636</v>
      </c>
      <c r="C30" s="780">
        <v>-4135108.6718662647</v>
      </c>
      <c r="D30" s="780">
        <v>-2351014.3062591879</v>
      </c>
      <c r="E30" s="779">
        <f t="shared" si="0"/>
        <v>-6486122.978125453</v>
      </c>
      <c r="F30" s="780">
        <v>-3999769.5328648984</v>
      </c>
      <c r="G30" s="780">
        <v>-1548360.9058543942</v>
      </c>
      <c r="H30" s="779">
        <f t="shared" si="1"/>
        <v>-5548130.4387192931</v>
      </c>
    </row>
    <row r="31" spans="1:9">
      <c r="A31" s="391">
        <v>14.2</v>
      </c>
      <c r="B31" s="375" t="s">
        <v>637</v>
      </c>
      <c r="C31" s="780">
        <v>-3345732.144943242</v>
      </c>
      <c r="D31" s="780">
        <v>-114958.16</v>
      </c>
      <c r="E31" s="779">
        <f t="shared" si="0"/>
        <v>-3460690.3049432421</v>
      </c>
      <c r="F31" s="780">
        <v>-3148366.6599999997</v>
      </c>
      <c r="G31" s="780">
        <v>-186418.56</v>
      </c>
      <c r="H31" s="779">
        <f t="shared" si="1"/>
        <v>-3334785.2199999997</v>
      </c>
      <c r="I31" s="760"/>
    </row>
    <row r="32" spans="1:9">
      <c r="A32" s="391">
        <v>15</v>
      </c>
      <c r="B32" s="395" t="s">
        <v>638</v>
      </c>
      <c r="C32" s="780">
        <v>-1321410.2714304281</v>
      </c>
      <c r="D32" s="780">
        <v>0</v>
      </c>
      <c r="E32" s="779">
        <f t="shared" si="0"/>
        <v>-1321410.2714304281</v>
      </c>
      <c r="F32" s="780">
        <v>-1145681.1384999999</v>
      </c>
      <c r="G32" s="780">
        <v>0</v>
      </c>
      <c r="H32" s="779">
        <f t="shared" si="1"/>
        <v>-1145681.1384999999</v>
      </c>
      <c r="I32" s="760"/>
    </row>
    <row r="33" spans="1:8" ht="22.5" customHeight="1">
      <c r="A33" s="391">
        <v>16</v>
      </c>
      <c r="B33" s="373" t="s">
        <v>639</v>
      </c>
      <c r="C33" s="780"/>
      <c r="D33" s="780"/>
      <c r="E33" s="779">
        <f t="shared" si="0"/>
        <v>0</v>
      </c>
      <c r="F33" s="780"/>
      <c r="G33" s="780"/>
      <c r="H33" s="779">
        <f t="shared" si="1"/>
        <v>0</v>
      </c>
    </row>
    <row r="34" spans="1:8">
      <c r="A34" s="391">
        <v>17</v>
      </c>
      <c r="B34" s="395" t="s">
        <v>640</v>
      </c>
      <c r="C34" s="778">
        <f>SUM(C35:C36)</f>
        <v>110353.13463569259</v>
      </c>
      <c r="D34" s="778">
        <f>SUM(D35:D36)</f>
        <v>4213.9652432427738</v>
      </c>
      <c r="E34" s="779">
        <f t="shared" si="0"/>
        <v>114567.09987893536</v>
      </c>
      <c r="F34" s="778">
        <f>SUM(F35:F36)</f>
        <v>-134094.64336697693</v>
      </c>
      <c r="G34" s="778">
        <f>SUM(G35:G36)</f>
        <v>-238292.01965685241</v>
      </c>
      <c r="H34" s="779">
        <f t="shared" si="1"/>
        <v>-372386.66302382934</v>
      </c>
    </row>
    <row r="35" spans="1:8">
      <c r="A35" s="391">
        <v>17.100000000000001</v>
      </c>
      <c r="B35" s="375" t="s">
        <v>641</v>
      </c>
      <c r="C35" s="780">
        <v>8838.4526281277213</v>
      </c>
      <c r="D35" s="780">
        <v>14540.83040457897</v>
      </c>
      <c r="E35" s="779">
        <f t="shared" si="0"/>
        <v>23379.283032706691</v>
      </c>
      <c r="F35" s="780">
        <v>-18910.533861996089</v>
      </c>
      <c r="G35" s="780">
        <v>-35775.830705039029</v>
      </c>
      <c r="H35" s="779">
        <f t="shared" si="1"/>
        <v>-54686.364567035118</v>
      </c>
    </row>
    <row r="36" spans="1:8">
      <c r="A36" s="391">
        <v>17.2</v>
      </c>
      <c r="B36" s="375" t="s">
        <v>642</v>
      </c>
      <c r="C36" s="780">
        <v>101514.68200756487</v>
      </c>
      <c r="D36" s="780">
        <v>-10326.865161336196</v>
      </c>
      <c r="E36" s="779">
        <f t="shared" si="0"/>
        <v>91187.81684622867</v>
      </c>
      <c r="F36" s="780">
        <v>-115184.10950498085</v>
      </c>
      <c r="G36" s="780">
        <v>-202516.18895181338</v>
      </c>
      <c r="H36" s="779">
        <f t="shared" si="1"/>
        <v>-317700.29845679423</v>
      </c>
    </row>
    <row r="37" spans="1:8" ht="41.45" customHeight="1">
      <c r="A37" s="391">
        <v>18</v>
      </c>
      <c r="B37" s="400" t="s">
        <v>643</v>
      </c>
      <c r="C37" s="778">
        <f>SUM(C38:C39)</f>
        <v>147191.86229814723</v>
      </c>
      <c r="D37" s="778">
        <f>SUM(D38:D39)</f>
        <v>240478.23496078438</v>
      </c>
      <c r="E37" s="779">
        <f t="shared" si="0"/>
        <v>387670.09725893161</v>
      </c>
      <c r="F37" s="778">
        <f>SUM(F38:F39)</f>
        <v>574356.78677559423</v>
      </c>
      <c r="G37" s="778">
        <f>SUM(G38:G39)</f>
        <v>-352169.73277207464</v>
      </c>
      <c r="H37" s="779">
        <f t="shared" si="1"/>
        <v>222187.05400351959</v>
      </c>
    </row>
    <row r="38" spans="1:8">
      <c r="A38" s="391">
        <v>18.100000000000001</v>
      </c>
      <c r="B38" s="401" t="s">
        <v>644</v>
      </c>
      <c r="C38" s="780">
        <v>0</v>
      </c>
      <c r="D38" s="780">
        <v>0</v>
      </c>
      <c r="E38" s="779">
        <f t="shared" si="0"/>
        <v>0</v>
      </c>
      <c r="F38" s="780"/>
      <c r="G38" s="780"/>
      <c r="H38" s="779">
        <f t="shared" si="1"/>
        <v>0</v>
      </c>
    </row>
    <row r="39" spans="1:8">
      <c r="A39" s="391">
        <v>18.2</v>
      </c>
      <c r="B39" s="401" t="s">
        <v>645</v>
      </c>
      <c r="C39" s="780">
        <v>147191.86229814723</v>
      </c>
      <c r="D39" s="780">
        <v>240478.23496078438</v>
      </c>
      <c r="E39" s="779">
        <f t="shared" si="0"/>
        <v>387670.09725893161</v>
      </c>
      <c r="F39" s="780">
        <v>574356.78677559423</v>
      </c>
      <c r="G39" s="780">
        <v>-352169.73277207464</v>
      </c>
      <c r="H39" s="779">
        <f t="shared" si="1"/>
        <v>222187.05400351959</v>
      </c>
    </row>
    <row r="40" spans="1:8" ht="24.6" customHeight="1">
      <c r="A40" s="391">
        <v>19</v>
      </c>
      <c r="B40" s="400" t="s">
        <v>646</v>
      </c>
      <c r="C40" s="780"/>
      <c r="D40" s="780"/>
      <c r="E40" s="779">
        <f t="shared" si="0"/>
        <v>0</v>
      </c>
      <c r="F40" s="780"/>
      <c r="G40" s="780"/>
      <c r="H40" s="779">
        <f t="shared" si="1"/>
        <v>0</v>
      </c>
    </row>
    <row r="41" spans="1:8" ht="17.45" customHeight="1">
      <c r="A41" s="391">
        <v>20</v>
      </c>
      <c r="B41" s="400" t="s">
        <v>647</v>
      </c>
      <c r="C41" s="780"/>
      <c r="D41" s="780"/>
      <c r="E41" s="779">
        <f t="shared" si="0"/>
        <v>0</v>
      </c>
      <c r="F41" s="780"/>
      <c r="G41" s="780"/>
      <c r="H41" s="779">
        <f t="shared" si="1"/>
        <v>0</v>
      </c>
    </row>
    <row r="42" spans="1:8" ht="26.45" customHeight="1">
      <c r="A42" s="391">
        <v>21</v>
      </c>
      <c r="B42" s="400" t="s">
        <v>648</v>
      </c>
      <c r="C42" s="780"/>
      <c r="D42" s="780"/>
      <c r="E42" s="779">
        <f t="shared" si="0"/>
        <v>0</v>
      </c>
      <c r="F42" s="780"/>
      <c r="G42" s="780"/>
      <c r="H42" s="779">
        <f t="shared" si="1"/>
        <v>0</v>
      </c>
    </row>
    <row r="43" spans="1:8">
      <c r="A43" s="391">
        <v>22</v>
      </c>
      <c r="B43" s="402" t="s">
        <v>649</v>
      </c>
      <c r="C43" s="778">
        <f>SUM(C6,C13,C18,C19,C20,C21,C22,C23,C24,C25,C26,C27,C28,C29,C32,C33,C34,C37,C40,C41,C42)</f>
        <v>11162433.15118932</v>
      </c>
      <c r="D43" s="778">
        <f>SUM(D6,D13,D18,D19,D20,D21,D22,D23,D24,D25,D26,D27,D28,D29,D32,D33,D34,D37,D40,D41,D42)</f>
        <v>3610769.1818981096</v>
      </c>
      <c r="E43" s="779">
        <f t="shared" si="0"/>
        <v>14773202.333087429</v>
      </c>
      <c r="F43" s="778">
        <f>SUM(F6,F13,F18,F19,F20,F21,F22,F23,F24,F25,F26,F27,F28,F29,F32,F33,F34,F37,F40,F41,F42)</f>
        <v>15110679.906307761</v>
      </c>
      <c r="G43" s="778">
        <f>SUM(G6,G13,G18,G19,G20,G21,G22,G23,G24,G25,G26,G27,G28,G29,G32,G33,G34,G37,G40,G41,G42)</f>
        <v>5563964.6731937239</v>
      </c>
      <c r="H43" s="779">
        <f t="shared" si="1"/>
        <v>20674644.579501484</v>
      </c>
    </row>
    <row r="44" spans="1:8">
      <c r="A44" s="391">
        <v>23</v>
      </c>
      <c r="B44" s="402" t="s">
        <v>650</v>
      </c>
      <c r="C44" s="780">
        <v>2794477.05105111</v>
      </c>
      <c r="D44" s="780">
        <v>0</v>
      </c>
      <c r="E44" s="779">
        <f t="shared" si="0"/>
        <v>2794477.05105111</v>
      </c>
      <c r="F44" s="780">
        <v>3974179.82</v>
      </c>
      <c r="G44" s="780"/>
      <c r="H44" s="779">
        <f t="shared" si="1"/>
        <v>3974179.82</v>
      </c>
    </row>
    <row r="45" spans="1:8">
      <c r="A45" s="391">
        <v>24</v>
      </c>
      <c r="B45" s="790" t="s">
        <v>651</v>
      </c>
      <c r="C45" s="778">
        <f>C43-C44</f>
        <v>8367956.1001382098</v>
      </c>
      <c r="D45" s="778">
        <f>D43-D44</f>
        <v>3610769.1818981096</v>
      </c>
      <c r="E45" s="779">
        <f t="shared" si="0"/>
        <v>11978725.282036319</v>
      </c>
      <c r="F45" s="778">
        <f>F43-F44</f>
        <v>11136500.08630776</v>
      </c>
      <c r="G45" s="778">
        <f>G43-G44</f>
        <v>5563964.6731937239</v>
      </c>
      <c r="H45" s="779">
        <f t="shared" si="1"/>
        <v>16700464.759501483</v>
      </c>
    </row>
    <row r="48" spans="1:8">
      <c r="E48" s="760"/>
    </row>
    <row r="49" spans="5:5">
      <c r="E49" s="761"/>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H47"/>
  <sheetViews>
    <sheetView showGridLines="0" zoomScaleNormal="100" workbookViewId="0">
      <selection activeCell="B4" sqref="B4:B5"/>
    </sheetView>
  </sheetViews>
  <sheetFormatPr defaultRowHeight="15"/>
  <cols>
    <col min="1" max="1" width="8.7109375" style="388"/>
    <col min="2" max="2" width="83.85546875" bestFit="1" customWidth="1"/>
    <col min="3" max="8" width="15.42578125" customWidth="1"/>
  </cols>
  <sheetData>
    <row r="1" spans="1:8" s="5" customFormat="1" ht="14.25">
      <c r="A1" s="2" t="s">
        <v>30</v>
      </c>
      <c r="B1" s="536" t="str">
        <f>'1. key ratios '!B1</f>
        <v>JSC Isbank Georgia</v>
      </c>
      <c r="C1" s="3"/>
      <c r="D1" s="4"/>
      <c r="E1" s="4"/>
      <c r="F1" s="4"/>
      <c r="G1" s="4"/>
    </row>
    <row r="2" spans="1:8" s="5" customFormat="1" ht="14.25">
      <c r="A2" s="2" t="s">
        <v>31</v>
      </c>
      <c r="B2" s="537">
        <f>'1. key ratios '!B2</f>
        <v>45657</v>
      </c>
      <c r="C2" s="6"/>
      <c r="D2" s="7"/>
      <c r="E2" s="7"/>
      <c r="F2" s="7"/>
      <c r="G2" s="7"/>
      <c r="H2" s="8"/>
    </row>
    <row r="3" spans="1:8" ht="15.75" thickBot="1">
      <c r="A3"/>
    </row>
    <row r="4" spans="1:8">
      <c r="A4" s="813" t="s">
        <v>6</v>
      </c>
      <c r="B4" s="815" t="s">
        <v>94</v>
      </c>
      <c r="C4" s="803" t="s">
        <v>553</v>
      </c>
      <c r="D4" s="804"/>
      <c r="E4" s="804"/>
      <c r="F4" s="804" t="s">
        <v>554</v>
      </c>
      <c r="G4" s="804"/>
      <c r="H4" s="805"/>
    </row>
    <row r="5" spans="1:8">
      <c r="A5" s="814"/>
      <c r="B5" s="816"/>
      <c r="C5" s="600" t="s">
        <v>32</v>
      </c>
      <c r="D5" s="390" t="s">
        <v>33</v>
      </c>
      <c r="E5" s="390" t="s">
        <v>34</v>
      </c>
      <c r="F5" s="390" t="s">
        <v>32</v>
      </c>
      <c r="G5" s="390" t="s">
        <v>33</v>
      </c>
      <c r="H5" s="601" t="s">
        <v>34</v>
      </c>
    </row>
    <row r="6" spans="1:8" ht="15.75">
      <c r="A6" s="553">
        <v>1</v>
      </c>
      <c r="B6" s="590" t="s">
        <v>652</v>
      </c>
      <c r="C6" s="602"/>
      <c r="D6" s="603"/>
      <c r="E6" s="606">
        <f t="shared" ref="E6:E43" si="0">C6+D6</f>
        <v>0</v>
      </c>
      <c r="F6" s="603"/>
      <c r="G6" s="603"/>
      <c r="H6" s="788">
        <f t="shared" ref="H6:H43" si="1">F6+G6</f>
        <v>0</v>
      </c>
    </row>
    <row r="7" spans="1:8" ht="15.75">
      <c r="A7" s="553">
        <v>2</v>
      </c>
      <c r="B7" s="590" t="s">
        <v>196</v>
      </c>
      <c r="C7" s="602"/>
      <c r="D7" s="603"/>
      <c r="E7" s="606">
        <f t="shared" si="0"/>
        <v>0</v>
      </c>
      <c r="F7" s="603"/>
      <c r="G7" s="603"/>
      <c r="H7" s="788">
        <f t="shared" si="1"/>
        <v>0</v>
      </c>
    </row>
    <row r="8" spans="1:8" ht="15.75">
      <c r="A8" s="553">
        <v>3</v>
      </c>
      <c r="B8" s="590" t="s">
        <v>206</v>
      </c>
      <c r="C8" s="762">
        <f>C9+C10</f>
        <v>200146770.3504422</v>
      </c>
      <c r="D8" s="763">
        <f>D9+D10</f>
        <v>154916107.81228399</v>
      </c>
      <c r="E8" s="606">
        <f t="shared" si="0"/>
        <v>355062878.16272616</v>
      </c>
      <c r="F8" s="763">
        <f>F9+F10</f>
        <v>122087773.04911514</v>
      </c>
      <c r="G8" s="763">
        <f>G9+G10</f>
        <v>143757090.08999997</v>
      </c>
      <c r="H8" s="788">
        <f t="shared" si="1"/>
        <v>265844863.1391151</v>
      </c>
    </row>
    <row r="9" spans="1:8" ht="15.75">
      <c r="A9" s="553">
        <v>3.1</v>
      </c>
      <c r="B9" s="591" t="s">
        <v>197</v>
      </c>
      <c r="C9" s="602">
        <v>123228439.12044221</v>
      </c>
      <c r="D9" s="603">
        <v>94386651.430245996</v>
      </c>
      <c r="E9" s="606">
        <f t="shared" si="0"/>
        <v>217615090.55068821</v>
      </c>
      <c r="F9" s="603">
        <v>77938074.13911514</v>
      </c>
      <c r="G9" s="603">
        <v>98833412.399999991</v>
      </c>
      <c r="H9" s="788">
        <f t="shared" si="1"/>
        <v>176771486.53911513</v>
      </c>
    </row>
    <row r="10" spans="1:8" ht="15.75">
      <c r="A10" s="553">
        <v>3.2</v>
      </c>
      <c r="B10" s="591" t="s">
        <v>193</v>
      </c>
      <c r="C10" s="602">
        <v>76918331.229999989</v>
      </c>
      <c r="D10" s="603">
        <v>60529456.382037997</v>
      </c>
      <c r="E10" s="606">
        <f t="shared" si="0"/>
        <v>137447787.61203799</v>
      </c>
      <c r="F10" s="603">
        <v>44149698.909999996</v>
      </c>
      <c r="G10" s="603">
        <v>44923677.689999998</v>
      </c>
      <c r="H10" s="788">
        <f t="shared" si="1"/>
        <v>89073376.599999994</v>
      </c>
    </row>
    <row r="11" spans="1:8" ht="15.75">
      <c r="A11" s="553">
        <v>4</v>
      </c>
      <c r="B11" s="592" t="s">
        <v>195</v>
      </c>
      <c r="C11" s="762">
        <f>C12+C13</f>
        <v>34118000</v>
      </c>
      <c r="D11" s="763">
        <f>D12+D13</f>
        <v>0</v>
      </c>
      <c r="E11" s="606">
        <f t="shared" si="0"/>
        <v>34118000</v>
      </c>
      <c r="F11" s="763">
        <f>F12+F13</f>
        <v>0</v>
      </c>
      <c r="G11" s="763">
        <f>G12+G13</f>
        <v>0</v>
      </c>
      <c r="H11" s="788">
        <f t="shared" si="1"/>
        <v>0</v>
      </c>
    </row>
    <row r="12" spans="1:8" ht="15.75">
      <c r="A12" s="553">
        <v>4.0999999999999996</v>
      </c>
      <c r="B12" s="591" t="s">
        <v>179</v>
      </c>
      <c r="C12" s="602">
        <v>34118000</v>
      </c>
      <c r="D12" s="603"/>
      <c r="E12" s="606">
        <f t="shared" si="0"/>
        <v>34118000</v>
      </c>
      <c r="F12" s="603"/>
      <c r="G12" s="603"/>
      <c r="H12" s="788">
        <f t="shared" si="1"/>
        <v>0</v>
      </c>
    </row>
    <row r="13" spans="1:8" ht="15.75">
      <c r="A13" s="553">
        <v>4.2</v>
      </c>
      <c r="B13" s="591" t="s">
        <v>180</v>
      </c>
      <c r="C13" s="602"/>
      <c r="D13" s="603"/>
      <c r="E13" s="606">
        <f t="shared" si="0"/>
        <v>0</v>
      </c>
      <c r="F13" s="603"/>
      <c r="G13" s="603"/>
      <c r="H13" s="788">
        <f t="shared" si="1"/>
        <v>0</v>
      </c>
    </row>
    <row r="14" spans="1:8" ht="15.75">
      <c r="A14" s="553">
        <v>5</v>
      </c>
      <c r="B14" s="592" t="s">
        <v>205</v>
      </c>
      <c r="C14" s="762">
        <f>C15+C16+C17+C23+C24+C25+C26</f>
        <v>7565968.0651499974</v>
      </c>
      <c r="D14" s="763">
        <f>D15+D16+D17+D23+D24+D25+D26</f>
        <v>318292580.65400529</v>
      </c>
      <c r="E14" s="606">
        <f t="shared" si="0"/>
        <v>325858548.71915531</v>
      </c>
      <c r="F14" s="763">
        <f>F15+F16+F17+F23+F24+F25+F26</f>
        <v>9529762.9166499991</v>
      </c>
      <c r="G14" s="763">
        <f>G15+G16+G17+G23+G24+G25+G26</f>
        <v>253373673.93460473</v>
      </c>
      <c r="H14" s="788">
        <f t="shared" si="1"/>
        <v>262903436.85125473</v>
      </c>
    </row>
    <row r="15" spans="1:8" ht="15.75">
      <c r="A15" s="553">
        <v>5.0999999999999996</v>
      </c>
      <c r="B15" s="593" t="s">
        <v>183</v>
      </c>
      <c r="C15" s="602">
        <v>7565968.0651499974</v>
      </c>
      <c r="D15" s="603">
        <v>17075057.173148289</v>
      </c>
      <c r="E15" s="606">
        <f t="shared" si="0"/>
        <v>24641025.238298286</v>
      </c>
      <c r="F15" s="603">
        <v>9529762.9166499991</v>
      </c>
      <c r="G15" s="603">
        <v>7980115.0444438551</v>
      </c>
      <c r="H15" s="788">
        <f t="shared" si="1"/>
        <v>17509877.961093854</v>
      </c>
    </row>
    <row r="16" spans="1:8" ht="15.75">
      <c r="A16" s="553">
        <v>5.2</v>
      </c>
      <c r="B16" s="593" t="s">
        <v>182</v>
      </c>
      <c r="C16" s="602"/>
      <c r="D16" s="603"/>
      <c r="E16" s="606">
        <f t="shared" si="0"/>
        <v>0</v>
      </c>
      <c r="F16" s="603"/>
      <c r="G16" s="603"/>
      <c r="H16" s="788">
        <f t="shared" si="1"/>
        <v>0</v>
      </c>
    </row>
    <row r="17" spans="1:8" ht="15.75">
      <c r="A17" s="553">
        <v>5.3</v>
      </c>
      <c r="B17" s="593" t="s">
        <v>181</v>
      </c>
      <c r="C17" s="762">
        <f>C18+C19+C20+C21+C22</f>
        <v>0</v>
      </c>
      <c r="D17" s="763">
        <f>D18+D19+D20+D21+D22</f>
        <v>279154234.69604516</v>
      </c>
      <c r="E17" s="606">
        <f t="shared" si="0"/>
        <v>279154234.69604516</v>
      </c>
      <c r="F17" s="762">
        <f>F18+F19+F20+F21+F22</f>
        <v>0</v>
      </c>
      <c r="G17" s="763">
        <f>G18+G19+G20+G21+G22</f>
        <v>223944503.69187421</v>
      </c>
      <c r="H17" s="788">
        <f t="shared" si="1"/>
        <v>223944503.69187421</v>
      </c>
    </row>
    <row r="18" spans="1:8" ht="15.75">
      <c r="A18" s="553" t="s">
        <v>15</v>
      </c>
      <c r="B18" s="594" t="s">
        <v>36</v>
      </c>
      <c r="C18" s="602"/>
      <c r="D18" s="603">
        <v>27270577.187456656</v>
      </c>
      <c r="E18" s="606">
        <f t="shared" si="0"/>
        <v>27270577.187456656</v>
      </c>
      <c r="F18" s="603"/>
      <c r="G18" s="603">
        <v>32686834.482160974</v>
      </c>
      <c r="H18" s="788">
        <f t="shared" si="1"/>
        <v>32686834.482160974</v>
      </c>
    </row>
    <row r="19" spans="1:8" ht="15.75">
      <c r="A19" s="553" t="s">
        <v>16</v>
      </c>
      <c r="B19" s="594" t="s">
        <v>37</v>
      </c>
      <c r="C19" s="602"/>
      <c r="D19" s="603">
        <v>168842877.71157059</v>
      </c>
      <c r="E19" s="606">
        <f t="shared" si="0"/>
        <v>168842877.71157059</v>
      </c>
      <c r="F19" s="603"/>
      <c r="G19" s="603">
        <v>161617069.01070905</v>
      </c>
      <c r="H19" s="788">
        <f t="shared" si="1"/>
        <v>161617069.01070905</v>
      </c>
    </row>
    <row r="20" spans="1:8" ht="15.75">
      <c r="A20" s="553" t="s">
        <v>17</v>
      </c>
      <c r="B20" s="594" t="s">
        <v>38</v>
      </c>
      <c r="C20" s="602"/>
      <c r="D20" s="603">
        <v>167492.54081762713</v>
      </c>
      <c r="E20" s="606">
        <f t="shared" si="0"/>
        <v>167492.54081762713</v>
      </c>
      <c r="F20" s="603"/>
      <c r="G20" s="603">
        <v>161299.23086038901</v>
      </c>
      <c r="H20" s="788">
        <f t="shared" si="1"/>
        <v>161299.23086038901</v>
      </c>
    </row>
    <row r="21" spans="1:8" ht="15.75">
      <c r="A21" s="553" t="s">
        <v>18</v>
      </c>
      <c r="B21" s="594" t="s">
        <v>39</v>
      </c>
      <c r="C21" s="602"/>
      <c r="D21" s="603">
        <v>82873287.256200284</v>
      </c>
      <c r="E21" s="606">
        <f t="shared" si="0"/>
        <v>82873287.256200284</v>
      </c>
      <c r="F21" s="603"/>
      <c r="G21" s="603">
        <v>29479300.968143806</v>
      </c>
      <c r="H21" s="788">
        <f t="shared" si="1"/>
        <v>29479300.968143806</v>
      </c>
    </row>
    <row r="22" spans="1:8" ht="15.75">
      <c r="A22" s="553" t="s">
        <v>19</v>
      </c>
      <c r="B22" s="594" t="s">
        <v>40</v>
      </c>
      <c r="C22" s="602"/>
      <c r="D22" s="603">
        <v>0</v>
      </c>
      <c r="E22" s="606">
        <f t="shared" si="0"/>
        <v>0</v>
      </c>
      <c r="F22" s="603"/>
      <c r="G22" s="603">
        <v>0</v>
      </c>
      <c r="H22" s="788">
        <f t="shared" si="1"/>
        <v>0</v>
      </c>
    </row>
    <row r="23" spans="1:8" ht="15.75">
      <c r="A23" s="553">
        <v>5.4</v>
      </c>
      <c r="B23" s="593" t="s">
        <v>184</v>
      </c>
      <c r="C23" s="602"/>
      <c r="D23" s="603">
        <v>16382663.927371485</v>
      </c>
      <c r="E23" s="606">
        <f t="shared" si="0"/>
        <v>16382663.927371485</v>
      </c>
      <c r="F23" s="603"/>
      <c r="G23" s="603">
        <v>15999321.059883785</v>
      </c>
      <c r="H23" s="788">
        <f t="shared" si="1"/>
        <v>15999321.059883785</v>
      </c>
    </row>
    <row r="24" spans="1:8" ht="15.75">
      <c r="A24" s="553">
        <v>5.5</v>
      </c>
      <c r="B24" s="593" t="s">
        <v>185</v>
      </c>
      <c r="C24" s="602"/>
      <c r="D24" s="603">
        <v>0</v>
      </c>
      <c r="E24" s="606">
        <f t="shared" si="0"/>
        <v>0</v>
      </c>
      <c r="F24" s="603"/>
      <c r="G24" s="603">
        <v>0</v>
      </c>
      <c r="H24" s="788">
        <f t="shared" si="1"/>
        <v>0</v>
      </c>
    </row>
    <row r="25" spans="1:8" ht="15.75">
      <c r="A25" s="553">
        <v>5.6</v>
      </c>
      <c r="B25" s="593" t="s">
        <v>186</v>
      </c>
      <c r="C25" s="602"/>
      <c r="D25" s="603">
        <v>0</v>
      </c>
      <c r="E25" s="606">
        <f t="shared" si="0"/>
        <v>0</v>
      </c>
      <c r="F25" s="603"/>
      <c r="G25" s="603">
        <v>0</v>
      </c>
      <c r="H25" s="788">
        <f t="shared" si="1"/>
        <v>0</v>
      </c>
    </row>
    <row r="26" spans="1:8" ht="15.75">
      <c r="A26" s="553">
        <v>5.7</v>
      </c>
      <c r="B26" s="593" t="s">
        <v>40</v>
      </c>
      <c r="C26" s="602"/>
      <c r="D26" s="603">
        <v>5680624.8574403506</v>
      </c>
      <c r="E26" s="606">
        <f t="shared" si="0"/>
        <v>5680624.8574403506</v>
      </c>
      <c r="F26" s="603"/>
      <c r="G26" s="603">
        <v>5449734.1384029165</v>
      </c>
      <c r="H26" s="788">
        <f t="shared" si="1"/>
        <v>5449734.1384029165</v>
      </c>
    </row>
    <row r="27" spans="1:8" ht="15.75">
      <c r="A27" s="553">
        <v>6</v>
      </c>
      <c r="B27" s="595" t="s">
        <v>653</v>
      </c>
      <c r="C27" s="602">
        <v>0</v>
      </c>
      <c r="D27" s="603">
        <v>0</v>
      </c>
      <c r="E27" s="606">
        <f t="shared" si="0"/>
        <v>0</v>
      </c>
      <c r="F27" s="603">
        <v>48352.639999999999</v>
      </c>
      <c r="G27" s="603">
        <v>0</v>
      </c>
      <c r="H27" s="788">
        <f t="shared" si="1"/>
        <v>48352.639999999999</v>
      </c>
    </row>
    <row r="28" spans="1:8" ht="15.75">
      <c r="A28" s="553">
        <v>7</v>
      </c>
      <c r="B28" s="595" t="s">
        <v>654</v>
      </c>
      <c r="C28" s="602">
        <v>81699575.260000005</v>
      </c>
      <c r="D28" s="603">
        <v>78480318.115577996</v>
      </c>
      <c r="E28" s="606">
        <f t="shared" si="0"/>
        <v>160179893.37557799</v>
      </c>
      <c r="F28" s="603">
        <v>48500097.590000004</v>
      </c>
      <c r="G28" s="603">
        <v>72645790.189999998</v>
      </c>
      <c r="H28" s="788">
        <f t="shared" si="1"/>
        <v>121145887.78</v>
      </c>
    </row>
    <row r="29" spans="1:8" ht="15.75">
      <c r="A29" s="553">
        <v>8</v>
      </c>
      <c r="B29" s="595" t="s">
        <v>194</v>
      </c>
      <c r="C29" s="602">
        <v>0</v>
      </c>
      <c r="D29" s="603">
        <v>0</v>
      </c>
      <c r="E29" s="606">
        <f t="shared" si="0"/>
        <v>0</v>
      </c>
      <c r="F29" s="603"/>
      <c r="G29" s="603"/>
      <c r="H29" s="788">
        <f t="shared" si="1"/>
        <v>0</v>
      </c>
    </row>
    <row r="30" spans="1:8" ht="15.75">
      <c r="A30" s="553">
        <v>9</v>
      </c>
      <c r="B30" s="596" t="s">
        <v>211</v>
      </c>
      <c r="C30" s="602">
        <f>C31+C32+C33+C34+C35+C36+C37</f>
        <v>0</v>
      </c>
      <c r="D30" s="603">
        <f>D31+D32+D33+D34+D35+D36+D37</f>
        <v>0</v>
      </c>
      <c r="E30" s="606">
        <f t="shared" si="0"/>
        <v>0</v>
      </c>
      <c r="F30" s="603">
        <f>F31+F32+F33+F34+F35+F36+F37</f>
        <v>0</v>
      </c>
      <c r="G30" s="603">
        <f>G31+G32+G33+G34+G35+G36+G37</f>
        <v>0</v>
      </c>
      <c r="H30" s="788">
        <f t="shared" si="1"/>
        <v>0</v>
      </c>
    </row>
    <row r="31" spans="1:8" ht="15.75">
      <c r="A31" s="553">
        <v>9.1</v>
      </c>
      <c r="B31" s="597" t="s">
        <v>201</v>
      </c>
      <c r="C31" s="602"/>
      <c r="D31" s="603"/>
      <c r="E31" s="606">
        <f t="shared" si="0"/>
        <v>0</v>
      </c>
      <c r="F31" s="603"/>
      <c r="G31" s="603"/>
      <c r="H31" s="788">
        <f t="shared" si="1"/>
        <v>0</v>
      </c>
    </row>
    <row r="32" spans="1:8" ht="15.75">
      <c r="A32" s="553">
        <v>9.1999999999999993</v>
      </c>
      <c r="B32" s="597" t="s">
        <v>202</v>
      </c>
      <c r="C32" s="602"/>
      <c r="D32" s="603"/>
      <c r="E32" s="606">
        <f t="shared" si="0"/>
        <v>0</v>
      </c>
      <c r="F32" s="603"/>
      <c r="G32" s="603"/>
      <c r="H32" s="788">
        <f t="shared" si="1"/>
        <v>0</v>
      </c>
    </row>
    <row r="33" spans="1:8" ht="15.75">
      <c r="A33" s="553">
        <v>9.3000000000000007</v>
      </c>
      <c r="B33" s="597" t="s">
        <v>198</v>
      </c>
      <c r="C33" s="602"/>
      <c r="D33" s="603"/>
      <c r="E33" s="606">
        <f t="shared" si="0"/>
        <v>0</v>
      </c>
      <c r="F33" s="603"/>
      <c r="G33" s="603"/>
      <c r="H33" s="788">
        <f t="shared" si="1"/>
        <v>0</v>
      </c>
    </row>
    <row r="34" spans="1:8" ht="15.75">
      <c r="A34" s="553">
        <v>9.4</v>
      </c>
      <c r="B34" s="597" t="s">
        <v>199</v>
      </c>
      <c r="C34" s="602"/>
      <c r="D34" s="603"/>
      <c r="E34" s="606">
        <f t="shared" si="0"/>
        <v>0</v>
      </c>
      <c r="F34" s="603"/>
      <c r="G34" s="603"/>
      <c r="H34" s="788">
        <f t="shared" si="1"/>
        <v>0</v>
      </c>
    </row>
    <row r="35" spans="1:8" ht="15.75">
      <c r="A35" s="553">
        <v>9.5</v>
      </c>
      <c r="B35" s="597" t="s">
        <v>200</v>
      </c>
      <c r="C35" s="602"/>
      <c r="D35" s="603"/>
      <c r="E35" s="606">
        <f t="shared" si="0"/>
        <v>0</v>
      </c>
      <c r="F35" s="603"/>
      <c r="G35" s="603"/>
      <c r="H35" s="788">
        <f t="shared" si="1"/>
        <v>0</v>
      </c>
    </row>
    <row r="36" spans="1:8" ht="15.75">
      <c r="A36" s="553">
        <v>9.6</v>
      </c>
      <c r="B36" s="597" t="s">
        <v>203</v>
      </c>
      <c r="C36" s="602"/>
      <c r="D36" s="603"/>
      <c r="E36" s="606">
        <f t="shared" si="0"/>
        <v>0</v>
      </c>
      <c r="F36" s="603"/>
      <c r="G36" s="603"/>
      <c r="H36" s="788">
        <f t="shared" si="1"/>
        <v>0</v>
      </c>
    </row>
    <row r="37" spans="1:8" ht="15.75">
      <c r="A37" s="553">
        <v>9.6999999999999993</v>
      </c>
      <c r="B37" s="597" t="s">
        <v>204</v>
      </c>
      <c r="C37" s="602"/>
      <c r="D37" s="603"/>
      <c r="E37" s="606">
        <f t="shared" si="0"/>
        <v>0</v>
      </c>
      <c r="F37" s="603"/>
      <c r="G37" s="603"/>
      <c r="H37" s="788">
        <f t="shared" si="1"/>
        <v>0</v>
      </c>
    </row>
    <row r="38" spans="1:8" ht="15.75">
      <c r="A38" s="553">
        <v>10</v>
      </c>
      <c r="B38" s="592" t="s">
        <v>207</v>
      </c>
      <c r="C38" s="602">
        <f>C39+C40+C41+C42</f>
        <v>0</v>
      </c>
      <c r="D38" s="603">
        <f>D39+D40+D41+D42</f>
        <v>0</v>
      </c>
      <c r="E38" s="606">
        <f t="shared" si="0"/>
        <v>0</v>
      </c>
      <c r="F38" s="603">
        <f>F39+F40+F41+F42</f>
        <v>0</v>
      </c>
      <c r="G38" s="603">
        <f>G39+G40+G41+G42</f>
        <v>0</v>
      </c>
      <c r="H38" s="788">
        <f t="shared" si="1"/>
        <v>0</v>
      </c>
    </row>
    <row r="39" spans="1:8" ht="15.75">
      <c r="A39" s="553">
        <v>10.1</v>
      </c>
      <c r="B39" s="598" t="s">
        <v>208</v>
      </c>
      <c r="C39" s="602"/>
      <c r="D39" s="603"/>
      <c r="E39" s="606">
        <f t="shared" si="0"/>
        <v>0</v>
      </c>
      <c r="F39" s="603"/>
      <c r="G39" s="603"/>
      <c r="H39" s="788">
        <f t="shared" si="1"/>
        <v>0</v>
      </c>
    </row>
    <row r="40" spans="1:8" ht="25.5">
      <c r="A40" s="553">
        <v>10.199999999999999</v>
      </c>
      <c r="B40" s="598" t="s">
        <v>209</v>
      </c>
      <c r="C40" s="602"/>
      <c r="D40" s="603"/>
      <c r="E40" s="606">
        <f t="shared" si="0"/>
        <v>0</v>
      </c>
      <c r="F40" s="603"/>
      <c r="G40" s="603"/>
      <c r="H40" s="788">
        <f t="shared" si="1"/>
        <v>0</v>
      </c>
    </row>
    <row r="41" spans="1:8" ht="15.75">
      <c r="A41" s="553">
        <v>10.3</v>
      </c>
      <c r="B41" s="598" t="s">
        <v>212</v>
      </c>
      <c r="C41" s="602"/>
      <c r="D41" s="603"/>
      <c r="E41" s="606">
        <f t="shared" si="0"/>
        <v>0</v>
      </c>
      <c r="F41" s="603"/>
      <c r="G41" s="603"/>
      <c r="H41" s="788">
        <f t="shared" si="1"/>
        <v>0</v>
      </c>
    </row>
    <row r="42" spans="1:8" ht="25.5">
      <c r="A42" s="553">
        <v>10.4</v>
      </c>
      <c r="B42" s="598" t="s">
        <v>213</v>
      </c>
      <c r="C42" s="602"/>
      <c r="D42" s="603"/>
      <c r="E42" s="606">
        <f t="shared" si="0"/>
        <v>0</v>
      </c>
      <c r="F42" s="603"/>
      <c r="G42" s="603"/>
      <c r="H42" s="788">
        <f t="shared" si="1"/>
        <v>0</v>
      </c>
    </row>
    <row r="43" spans="1:8" ht="16.5" thickBot="1">
      <c r="A43" s="558">
        <v>11</v>
      </c>
      <c r="B43" s="599" t="s">
        <v>210</v>
      </c>
      <c r="C43" s="604"/>
      <c r="D43" s="605"/>
      <c r="E43" s="607">
        <f t="shared" si="0"/>
        <v>0</v>
      </c>
      <c r="F43" s="605"/>
      <c r="G43" s="605"/>
      <c r="H43" s="789">
        <f t="shared" si="1"/>
        <v>0</v>
      </c>
    </row>
    <row r="44" spans="1:8" ht="15.75">
      <c r="C44" s="403"/>
      <c r="D44" s="403"/>
      <c r="E44" s="403"/>
      <c r="F44" s="403"/>
      <c r="G44" s="403"/>
      <c r="H44" s="403"/>
    </row>
    <row r="45" spans="1:8" ht="15.75">
      <c r="C45" s="403"/>
      <c r="D45" s="403"/>
      <c r="E45" s="403"/>
      <c r="F45" s="403"/>
      <c r="G45" s="403"/>
      <c r="H45" s="403"/>
    </row>
    <row r="46" spans="1:8" ht="15.75">
      <c r="C46" s="403"/>
      <c r="D46" s="403"/>
      <c r="E46" s="403"/>
      <c r="F46" s="403"/>
      <c r="G46" s="403"/>
      <c r="H46" s="403"/>
    </row>
    <row r="47" spans="1:8" ht="15.75">
      <c r="C47" s="403"/>
      <c r="D47" s="403"/>
      <c r="E47" s="403"/>
      <c r="F47" s="403"/>
      <c r="G47" s="403"/>
      <c r="H47" s="403"/>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2.75"/>
  <cols>
    <col min="1" max="1" width="9.5703125" style="4" bestFit="1" customWidth="1"/>
    <col min="2" max="2" width="93.5703125" style="4" customWidth="1"/>
    <col min="3" max="4" width="11.7109375" style="4" bestFit="1" customWidth="1"/>
    <col min="5" max="7" width="11.7109375" style="17" bestFit="1" customWidth="1"/>
    <col min="8" max="11" width="9.7109375" style="17" customWidth="1"/>
    <col min="12" max="16384" width="9.140625" style="17"/>
  </cols>
  <sheetData>
    <row r="1" spans="1:8">
      <c r="A1" s="2" t="s">
        <v>30</v>
      </c>
      <c r="B1" s="536" t="str">
        <f>'1. key ratios '!B1</f>
        <v>JSC Isbank Georgia</v>
      </c>
      <c r="C1" s="3"/>
    </row>
    <row r="2" spans="1:8">
      <c r="A2" s="2" t="s">
        <v>31</v>
      </c>
      <c r="B2" s="537">
        <f>'1. key ratios '!B2</f>
        <v>45657</v>
      </c>
      <c r="C2" s="6"/>
      <c r="D2" s="7"/>
      <c r="E2" s="19"/>
      <c r="F2" s="19"/>
      <c r="G2" s="19"/>
      <c r="H2" s="19"/>
    </row>
    <row r="3" spans="1:8">
      <c r="A3" s="2"/>
      <c r="B3" s="3"/>
      <c r="C3" s="6"/>
      <c r="D3" s="7"/>
      <c r="E3" s="19"/>
      <c r="F3" s="19"/>
      <c r="G3" s="19"/>
      <c r="H3" s="19"/>
    </row>
    <row r="4" spans="1:8" ht="15" customHeight="1" thickBot="1">
      <c r="A4" s="7" t="s">
        <v>96</v>
      </c>
      <c r="B4" s="93" t="s">
        <v>187</v>
      </c>
      <c r="C4" s="20" t="s">
        <v>35</v>
      </c>
    </row>
    <row r="5" spans="1:8" ht="15" customHeight="1">
      <c r="A5" s="165" t="s">
        <v>6</v>
      </c>
      <c r="B5" s="608"/>
      <c r="C5" s="618" t="str">
        <f>INT((MONTH($B$2))/3)&amp;"Q"&amp;"-"&amp;YEAR($B$2)</f>
        <v>4Q-2024</v>
      </c>
      <c r="D5" s="619" t="str">
        <f>IF(INT(MONTH($B$2))=3, "4"&amp;"Q"&amp;"-"&amp;YEAR($B$2)-1, IF(INT(MONTH($B$2))=6, "1"&amp;"Q"&amp;"-"&amp;YEAR($B$2), IF(INT(MONTH($B$2))=9, "2"&amp;"Q"&amp;"-"&amp;YEAR($B$2),IF(INT(MONTH($B$2))=12, "3"&amp;"Q"&amp;"-"&amp;YEAR($B$2), 0))))</f>
        <v>3Q-2024</v>
      </c>
      <c r="E5" s="619" t="str">
        <f>IF(INT(MONTH($B$2))=3, "3"&amp;"Q"&amp;"-"&amp;YEAR($B$2)-1, IF(INT(MONTH($B$2))=6, "4"&amp;"Q"&amp;"-"&amp;YEAR($B$2)-1, IF(INT(MONTH($B$2))=9, "1"&amp;"Q"&amp;"-"&amp;YEAR($B$2),IF(INT(MONTH($B$2))=12, "2"&amp;"Q"&amp;"-"&amp;YEAR($B$2), 0))))</f>
        <v>2Q-2024</v>
      </c>
      <c r="F5" s="619" t="str">
        <f>IF(INT(MONTH($B$2))=3, "2"&amp;"Q"&amp;"-"&amp;YEAR($B$2)-1, IF(INT(MONTH($B$2))=6, "3"&amp;"Q"&amp;"-"&amp;YEAR($B$2)-1, IF(INT(MONTH($B$2))=9, "4"&amp;"Q"&amp;"-"&amp;YEAR($B$2)-1,IF(INT(MONTH($B$2))=12, "1"&amp;"Q"&amp;"-"&amp;YEAR($B$2), 0))))</f>
        <v>1Q-2024</v>
      </c>
      <c r="G5" s="620" t="str">
        <f>IF(INT(MONTH($B$2))=3, "1"&amp;"Q"&amp;"-"&amp;YEAR($B$2)-1, IF(INT(MONTH($B$2))=6, "2"&amp;"Q"&amp;"-"&amp;YEAR($B$2)-1, IF(INT(MONTH($B$2))=9, "3"&amp;"Q"&amp;"-"&amp;YEAR($B$2)-1,IF(INT(MONTH($B$2))=12, "4"&amp;"Q"&amp;"-"&amp;YEAR($B$2)-1, 0))))</f>
        <v>4Q-2023</v>
      </c>
    </row>
    <row r="6" spans="1:8" ht="15" customHeight="1">
      <c r="A6" s="21">
        <v>1</v>
      </c>
      <c r="B6" s="609" t="s">
        <v>191</v>
      </c>
      <c r="C6" s="621">
        <f>C7+C9+C10</f>
        <v>505920620.41776514</v>
      </c>
      <c r="D6" s="622">
        <f>D7+D9+D10</f>
        <v>451023241.76627278</v>
      </c>
      <c r="E6" s="622">
        <f t="shared" ref="E6:G6" si="0">E7+E9+E10</f>
        <v>453465952.97883582</v>
      </c>
      <c r="F6" s="622">
        <f t="shared" si="0"/>
        <v>463663570.65652567</v>
      </c>
      <c r="G6" s="623">
        <f t="shared" si="0"/>
        <v>456390072.67758626</v>
      </c>
    </row>
    <row r="7" spans="1:8" ht="15" customHeight="1">
      <c r="A7" s="21">
        <v>1.1000000000000001</v>
      </c>
      <c r="B7" s="609" t="s">
        <v>355</v>
      </c>
      <c r="C7" s="612">
        <v>436667818.09710544</v>
      </c>
      <c r="D7" s="613">
        <v>392031044.3125686</v>
      </c>
      <c r="E7" s="613">
        <v>400916828.91723734</v>
      </c>
      <c r="F7" s="613">
        <v>402269054.15615577</v>
      </c>
      <c r="G7" s="614">
        <v>395899523.99194574</v>
      </c>
    </row>
    <row r="8" spans="1:8">
      <c r="A8" s="21" t="s">
        <v>14</v>
      </c>
      <c r="B8" s="609" t="s">
        <v>95</v>
      </c>
      <c r="C8" s="612"/>
      <c r="D8" s="613"/>
      <c r="E8" s="613"/>
      <c r="F8" s="613"/>
      <c r="G8" s="614"/>
    </row>
    <row r="9" spans="1:8" ht="15" customHeight="1">
      <c r="A9" s="21">
        <v>1.2</v>
      </c>
      <c r="B9" s="610" t="s">
        <v>94</v>
      </c>
      <c r="C9" s="612">
        <v>69252802.320659697</v>
      </c>
      <c r="D9" s="613">
        <v>58992197.453704193</v>
      </c>
      <c r="E9" s="613">
        <v>52549124.061598495</v>
      </c>
      <c r="F9" s="613">
        <v>61394516.500369921</v>
      </c>
      <c r="G9" s="614">
        <v>60490548.685640536</v>
      </c>
    </row>
    <row r="10" spans="1:8" ht="15" customHeight="1">
      <c r="A10" s="21">
        <v>1.3</v>
      </c>
      <c r="B10" s="609" t="s">
        <v>28</v>
      </c>
      <c r="C10" s="615"/>
      <c r="D10" s="613"/>
      <c r="E10" s="616"/>
      <c r="F10" s="613"/>
      <c r="G10" s="617"/>
    </row>
    <row r="11" spans="1:8" ht="15" customHeight="1">
      <c r="A11" s="21">
        <v>2</v>
      </c>
      <c r="B11" s="609" t="s">
        <v>188</v>
      </c>
      <c r="C11" s="612">
        <v>2918293.1334402016</v>
      </c>
      <c r="D11" s="613">
        <v>683468.83679594751</v>
      </c>
      <c r="E11" s="613">
        <v>1037501.9833303278</v>
      </c>
      <c r="F11" s="613">
        <v>1611426.084706008</v>
      </c>
      <c r="G11" s="614">
        <v>1630160.4093773637</v>
      </c>
    </row>
    <row r="12" spans="1:8" ht="15" customHeight="1">
      <c r="A12" s="21">
        <v>3</v>
      </c>
      <c r="B12" s="609" t="s">
        <v>189</v>
      </c>
      <c r="C12" s="615">
        <v>53560166.794155389</v>
      </c>
      <c r="D12" s="613">
        <v>50929556.451571435</v>
      </c>
      <c r="E12" s="616">
        <v>50929556.451571435</v>
      </c>
      <c r="F12" s="613">
        <v>50929556.451571435</v>
      </c>
      <c r="G12" s="617">
        <v>50929556.451571435</v>
      </c>
    </row>
    <row r="13" spans="1:8" ht="15" customHeight="1" thickBot="1">
      <c r="A13" s="23">
        <v>4</v>
      </c>
      <c r="B13" s="611" t="s">
        <v>190</v>
      </c>
      <c r="C13" s="624">
        <f>C6+C11+C12</f>
        <v>562399080.34536076</v>
      </c>
      <c r="D13" s="625">
        <f>D6+D11+D12</f>
        <v>502636267.05464017</v>
      </c>
      <c r="E13" s="625">
        <f t="shared" ref="E13:G13" si="1">E6+E11+E12</f>
        <v>505433011.41373754</v>
      </c>
      <c r="F13" s="625">
        <f t="shared" si="1"/>
        <v>516204553.19280314</v>
      </c>
      <c r="G13" s="626">
        <f t="shared" si="1"/>
        <v>508949789.538535</v>
      </c>
    </row>
    <row r="14" spans="1:8">
      <c r="B14" s="26"/>
    </row>
    <row r="15" spans="1:8">
      <c r="B15" s="27"/>
    </row>
    <row r="16" spans="1:8">
      <c r="B16" s="27"/>
    </row>
    <row r="17" spans="1:4" ht="11.25">
      <c r="A17" s="17"/>
      <c r="B17" s="17"/>
      <c r="C17" s="17"/>
      <c r="D17" s="17"/>
    </row>
    <row r="18" spans="1:4" ht="11.25">
      <c r="A18" s="17"/>
      <c r="B18" s="17"/>
      <c r="C18" s="17"/>
      <c r="D18" s="17"/>
    </row>
    <row r="19" spans="1:4" ht="11.25">
      <c r="A19" s="17"/>
      <c r="B19" s="17"/>
      <c r="C19" s="17"/>
      <c r="D19" s="17"/>
    </row>
    <row r="20" spans="1:4" ht="11.25">
      <c r="A20" s="17"/>
      <c r="B20" s="17"/>
      <c r="C20" s="17"/>
      <c r="D20" s="17"/>
    </row>
    <row r="21" spans="1:4" ht="11.25">
      <c r="A21" s="17"/>
      <c r="B21" s="17"/>
      <c r="C21" s="17"/>
      <c r="D21" s="17"/>
    </row>
    <row r="22" spans="1:4" ht="11.25">
      <c r="A22" s="17"/>
      <c r="B22" s="17"/>
      <c r="C22" s="17"/>
      <c r="D22" s="17"/>
    </row>
    <row r="23" spans="1:4" ht="11.25">
      <c r="A23" s="17"/>
      <c r="B23" s="17"/>
      <c r="C23" s="17"/>
      <c r="D23" s="17"/>
    </row>
    <row r="24" spans="1:4" ht="11.25">
      <c r="A24" s="17"/>
      <c r="B24" s="17"/>
      <c r="C24" s="17"/>
      <c r="D24" s="17"/>
    </row>
    <row r="25" spans="1:4" ht="11.25">
      <c r="A25" s="17"/>
      <c r="B25" s="17"/>
      <c r="C25" s="17"/>
      <c r="D25" s="17"/>
    </row>
    <row r="26" spans="1:4" ht="11.25">
      <c r="A26" s="17"/>
      <c r="B26" s="17"/>
      <c r="C26" s="17"/>
      <c r="D26" s="17"/>
    </row>
    <row r="27" spans="1:4" ht="11.25">
      <c r="A27" s="17"/>
      <c r="B27" s="17"/>
      <c r="C27" s="17"/>
      <c r="D27" s="17"/>
    </row>
    <row r="28" spans="1:4" ht="11.25">
      <c r="A28" s="17"/>
      <c r="B28" s="17"/>
      <c r="C28" s="17"/>
      <c r="D28" s="17"/>
    </row>
    <row r="29" spans="1:4" ht="11.25">
      <c r="A29" s="17"/>
      <c r="B29" s="17"/>
      <c r="C29" s="17"/>
      <c r="D29"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140625" defaultRowHeight="14.25"/>
  <cols>
    <col min="1" max="1" width="9.5703125" style="4" bestFit="1" customWidth="1"/>
    <col min="2" max="2" width="65.5703125" style="4" customWidth="1"/>
    <col min="3" max="3" width="27.5703125" style="4" customWidth="1"/>
    <col min="4" max="16384" width="9.140625" style="5"/>
  </cols>
  <sheetData>
    <row r="1" spans="1:8">
      <c r="A1" s="649" t="s">
        <v>30</v>
      </c>
      <c r="B1" s="536" t="str">
        <f>'1. key ratios '!B1</f>
        <v>JSC Isbank Georgia</v>
      </c>
    </row>
    <row r="2" spans="1:8">
      <c r="A2" s="649" t="s">
        <v>31</v>
      </c>
      <c r="B2" s="537">
        <f>'1. key ratios '!B2</f>
        <v>45657</v>
      </c>
    </row>
    <row r="4" spans="1:8" ht="27.95" customHeight="1" thickBot="1">
      <c r="A4" s="28" t="s">
        <v>41</v>
      </c>
      <c r="B4" s="29" t="s">
        <v>163</v>
      </c>
      <c r="C4" s="30"/>
    </row>
    <row r="5" spans="1:8">
      <c r="A5" s="31"/>
      <c r="B5" s="310" t="s">
        <v>42</v>
      </c>
      <c r="C5" s="311" t="s">
        <v>366</v>
      </c>
    </row>
    <row r="6" spans="1:8">
      <c r="A6" s="32">
        <v>1</v>
      </c>
      <c r="B6" s="627" t="s">
        <v>707</v>
      </c>
      <c r="C6" s="628" t="s">
        <v>710</v>
      </c>
    </row>
    <row r="7" spans="1:8">
      <c r="A7" s="32">
        <v>2</v>
      </c>
      <c r="B7" s="627" t="s">
        <v>711</v>
      </c>
      <c r="C7" s="628" t="s">
        <v>712</v>
      </c>
    </row>
    <row r="8" spans="1:8">
      <c r="A8" s="32">
        <v>3</v>
      </c>
      <c r="B8" s="627" t="s">
        <v>713</v>
      </c>
      <c r="C8" s="628" t="s">
        <v>712</v>
      </c>
    </row>
    <row r="9" spans="1:8">
      <c r="A9" s="32">
        <v>4</v>
      </c>
      <c r="B9" s="627" t="s">
        <v>728</v>
      </c>
      <c r="C9" s="628" t="s">
        <v>712</v>
      </c>
    </row>
    <row r="10" spans="1:8">
      <c r="A10" s="32">
        <v>5</v>
      </c>
      <c r="B10" s="627" t="s">
        <v>714</v>
      </c>
      <c r="C10" s="628" t="s">
        <v>715</v>
      </c>
    </row>
    <row r="11" spans="1:8">
      <c r="A11" s="32">
        <v>6</v>
      </c>
      <c r="B11" s="627" t="s">
        <v>716</v>
      </c>
      <c r="C11" s="628" t="s">
        <v>715</v>
      </c>
    </row>
    <row r="12" spans="1:8">
      <c r="A12" s="32">
        <v>7</v>
      </c>
      <c r="B12" s="33"/>
      <c r="C12" s="34"/>
      <c r="H12" s="35"/>
    </row>
    <row r="13" spans="1:8">
      <c r="A13" s="32">
        <v>8</v>
      </c>
      <c r="B13" s="33"/>
      <c r="C13" s="34"/>
    </row>
    <row r="14" spans="1:8">
      <c r="A14" s="32">
        <v>9</v>
      </c>
      <c r="B14" s="33"/>
      <c r="C14" s="34"/>
    </row>
    <row r="15" spans="1:8">
      <c r="A15" s="32">
        <v>10</v>
      </c>
      <c r="B15" s="33"/>
      <c r="C15" s="34"/>
    </row>
    <row r="16" spans="1:8">
      <c r="A16" s="32"/>
      <c r="B16" s="312"/>
      <c r="C16" s="313"/>
    </row>
    <row r="17" spans="1:3" ht="25.5">
      <c r="A17" s="32"/>
      <c r="B17" s="314" t="s">
        <v>43</v>
      </c>
      <c r="C17" s="315" t="s">
        <v>367</v>
      </c>
    </row>
    <row r="18" spans="1:3">
      <c r="A18" s="32">
        <v>1</v>
      </c>
      <c r="B18" s="627" t="s">
        <v>708</v>
      </c>
      <c r="C18" s="629" t="s">
        <v>717</v>
      </c>
    </row>
    <row r="19" spans="1:3">
      <c r="A19" s="32">
        <v>2</v>
      </c>
      <c r="B19" s="627" t="s">
        <v>729</v>
      </c>
      <c r="C19" s="629" t="s">
        <v>718</v>
      </c>
    </row>
    <row r="20" spans="1:3">
      <c r="A20" s="32">
        <v>3</v>
      </c>
      <c r="B20" s="627" t="s">
        <v>731</v>
      </c>
      <c r="C20" s="629" t="s">
        <v>718</v>
      </c>
    </row>
    <row r="21" spans="1:3">
      <c r="A21" s="32">
        <v>4</v>
      </c>
      <c r="B21" s="627" t="s">
        <v>719</v>
      </c>
      <c r="C21" s="629" t="s">
        <v>720</v>
      </c>
    </row>
    <row r="22" spans="1:3">
      <c r="A22" s="32">
        <v>5</v>
      </c>
      <c r="B22" s="627" t="s">
        <v>721</v>
      </c>
      <c r="C22" s="629" t="s">
        <v>722</v>
      </c>
    </row>
    <row r="23" spans="1:3">
      <c r="A23" s="32">
        <v>6</v>
      </c>
      <c r="B23" s="33"/>
      <c r="C23" s="36"/>
    </row>
    <row r="24" spans="1:3">
      <c r="A24" s="32">
        <v>7</v>
      </c>
      <c r="B24" s="33"/>
      <c r="C24" s="36"/>
    </row>
    <row r="25" spans="1:3">
      <c r="A25" s="32">
        <v>8</v>
      </c>
      <c r="B25" s="33"/>
      <c r="C25" s="36"/>
    </row>
    <row r="26" spans="1:3">
      <c r="A26" s="32">
        <v>9</v>
      </c>
      <c r="B26" s="33"/>
      <c r="C26" s="36"/>
    </row>
    <row r="27" spans="1:3" ht="15.75" customHeight="1">
      <c r="A27" s="32">
        <v>10</v>
      </c>
      <c r="B27" s="33"/>
      <c r="C27" s="37"/>
    </row>
    <row r="28" spans="1:3" ht="15.75" customHeight="1">
      <c r="A28" s="32"/>
      <c r="B28" s="33"/>
      <c r="C28" s="37"/>
    </row>
    <row r="29" spans="1:3" ht="30" customHeight="1">
      <c r="A29" s="32"/>
      <c r="B29" s="817" t="s">
        <v>44</v>
      </c>
      <c r="C29" s="818"/>
    </row>
    <row r="30" spans="1:3">
      <c r="A30" s="32">
        <v>1</v>
      </c>
      <c r="B30" s="627" t="s">
        <v>723</v>
      </c>
      <c r="C30" s="630">
        <v>1</v>
      </c>
    </row>
    <row r="31" spans="1:3" ht="15.75" customHeight="1">
      <c r="A31" s="32"/>
      <c r="B31" s="33"/>
      <c r="C31" s="34"/>
    </row>
    <row r="32" spans="1:3" ht="29.25" customHeight="1">
      <c r="A32" s="32"/>
      <c r="B32" s="817" t="s">
        <v>45</v>
      </c>
      <c r="C32" s="818"/>
    </row>
    <row r="33" spans="1:3">
      <c r="A33" s="32">
        <v>1</v>
      </c>
      <c r="B33" s="627" t="s">
        <v>724</v>
      </c>
      <c r="C33" s="631">
        <v>0.3866</v>
      </c>
    </row>
    <row r="34" spans="1:3" ht="15" thickBot="1">
      <c r="A34" s="38">
        <v>2</v>
      </c>
      <c r="B34" s="39" t="s">
        <v>725</v>
      </c>
      <c r="C34" s="632">
        <v>0.28089999999999998</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G53"/>
  <sheetViews>
    <sheetView showGridLines="0" zoomScaleNormal="100" workbookViewId="0">
      <pane xSplit="1" ySplit="5" topLeftCell="B6" activePane="bottomRight" state="frozen"/>
      <selection activeCell="B61" sqref="B61"/>
      <selection pane="topRight" activeCell="B61" sqref="B61"/>
      <selection pane="bottomLeft" activeCell="B61" sqref="B61"/>
      <selection pane="bottomRight" activeCell="B6" sqref="B6:B7"/>
    </sheetView>
  </sheetViews>
  <sheetFormatPr defaultColWidth="9.140625" defaultRowHeight="14.25"/>
  <cols>
    <col min="1" max="1" width="9.5703125" style="4" bestFit="1" customWidth="1"/>
    <col min="2" max="2" width="54.285156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201" t="s">
        <v>30</v>
      </c>
      <c r="B1" s="536" t="str">
        <f>'1. key ratios '!B1</f>
        <v>JSC Isbank Georgia</v>
      </c>
      <c r="C1" s="50"/>
      <c r="D1" s="50"/>
      <c r="E1" s="50"/>
      <c r="F1" s="15"/>
    </row>
    <row r="2" spans="1:7" s="40" customFormat="1" ht="15.75" customHeight="1">
      <c r="A2" s="201" t="s">
        <v>31</v>
      </c>
      <c r="B2" s="537">
        <f>'1. key ratios '!B2</f>
        <v>45657</v>
      </c>
    </row>
    <row r="3" spans="1:7" s="40" customFormat="1" ht="15.75" customHeight="1">
      <c r="A3" s="201"/>
    </row>
    <row r="4" spans="1:7" s="40" customFormat="1" ht="15.75" customHeight="1" thickBot="1">
      <c r="A4" s="202" t="s">
        <v>99</v>
      </c>
      <c r="B4" s="823" t="s">
        <v>225</v>
      </c>
      <c r="C4" s="824"/>
      <c r="D4" s="824"/>
      <c r="E4" s="824"/>
    </row>
    <row r="5" spans="1:7" s="44" customFormat="1" ht="17.45" customHeight="1">
      <c r="A5" s="151"/>
      <c r="B5" s="152"/>
      <c r="C5" s="42" t="s">
        <v>0</v>
      </c>
      <c r="D5" s="42" t="s">
        <v>1</v>
      </c>
      <c r="E5" s="43" t="s">
        <v>2</v>
      </c>
    </row>
    <row r="6" spans="1:7" s="15" customFormat="1" ht="14.45" customHeight="1">
      <c r="A6" s="203"/>
      <c r="B6" s="819" t="s">
        <v>232</v>
      </c>
      <c r="C6" s="819" t="s">
        <v>655</v>
      </c>
      <c r="D6" s="821" t="s">
        <v>98</v>
      </c>
      <c r="E6" s="822"/>
      <c r="G6" s="5"/>
    </row>
    <row r="7" spans="1:7" s="15" customFormat="1" ht="99.6" customHeight="1">
      <c r="A7" s="203"/>
      <c r="B7" s="820"/>
      <c r="C7" s="819"/>
      <c r="D7" s="633" t="s">
        <v>97</v>
      </c>
      <c r="E7" s="237" t="s">
        <v>233</v>
      </c>
      <c r="G7" s="5"/>
    </row>
    <row r="8" spans="1:7" ht="21">
      <c r="A8" s="379">
        <v>1</v>
      </c>
      <c r="B8" s="554" t="s">
        <v>556</v>
      </c>
      <c r="C8" s="636">
        <f>SUM(C9:C11)</f>
        <v>87996665.767722651</v>
      </c>
      <c r="D8" s="404">
        <f>SUM(D9:D11)</f>
        <v>0</v>
      </c>
      <c r="E8" s="637">
        <f>SUM(E9:E11)</f>
        <v>87996665.767722651</v>
      </c>
      <c r="F8" s="15"/>
    </row>
    <row r="9" spans="1:7" ht="15">
      <c r="A9" s="379">
        <v>1.1000000000000001</v>
      </c>
      <c r="B9" s="382" t="s">
        <v>557</v>
      </c>
      <c r="C9" s="404">
        <f>'2. SOFP'!E8</f>
        <v>1711926.8074999999</v>
      </c>
      <c r="D9" s="404"/>
      <c r="E9" s="634">
        <f t="shared" ref="E9:E15" si="0">C9-D9</f>
        <v>1711926.8074999999</v>
      </c>
      <c r="F9" s="15"/>
    </row>
    <row r="10" spans="1:7" ht="15">
      <c r="A10" s="379">
        <v>1.2</v>
      </c>
      <c r="B10" s="382" t="s">
        <v>558</v>
      </c>
      <c r="C10" s="404">
        <f>'2. SOFP'!E9</f>
        <v>46612417.211592808</v>
      </c>
      <c r="D10" s="404"/>
      <c r="E10" s="634">
        <f t="shared" si="0"/>
        <v>46612417.211592808</v>
      </c>
      <c r="F10" s="15"/>
    </row>
    <row r="11" spans="1:7" ht="15">
      <c r="A11" s="379">
        <v>1.3</v>
      </c>
      <c r="B11" s="382" t="s">
        <v>559</v>
      </c>
      <c r="C11" s="404">
        <f>'2. SOFP'!E10</f>
        <v>39672321.748629846</v>
      </c>
      <c r="D11" s="404"/>
      <c r="E11" s="634">
        <f t="shared" si="0"/>
        <v>39672321.748629846</v>
      </c>
      <c r="F11" s="15"/>
    </row>
    <row r="12" spans="1:7" ht="15">
      <c r="A12" s="379">
        <v>2</v>
      </c>
      <c r="B12" s="371" t="s">
        <v>560</v>
      </c>
      <c r="C12" s="636">
        <f>'2. SOFP'!E11</f>
        <v>0</v>
      </c>
      <c r="D12" s="404"/>
      <c r="E12" s="634">
        <f t="shared" si="0"/>
        <v>0</v>
      </c>
      <c r="F12" s="15"/>
    </row>
    <row r="13" spans="1:7" ht="15">
      <c r="A13" s="379">
        <v>2.1</v>
      </c>
      <c r="B13" s="380" t="s">
        <v>561</v>
      </c>
      <c r="C13" s="404">
        <f>'2. SOFP'!E12</f>
        <v>0</v>
      </c>
      <c r="D13" s="404"/>
      <c r="E13" s="634">
        <f t="shared" si="0"/>
        <v>0</v>
      </c>
      <c r="F13" s="15"/>
    </row>
    <row r="14" spans="1:7" ht="21">
      <c r="A14" s="379">
        <v>3</v>
      </c>
      <c r="B14" s="372" t="s">
        <v>562</v>
      </c>
      <c r="C14" s="636">
        <f>'2. SOFP'!E13</f>
        <v>0</v>
      </c>
      <c r="D14" s="404"/>
      <c r="E14" s="634">
        <f t="shared" si="0"/>
        <v>0</v>
      </c>
      <c r="F14" s="15"/>
    </row>
    <row r="15" spans="1:7" ht="21">
      <c r="A15" s="379">
        <v>4</v>
      </c>
      <c r="B15" s="373" t="s">
        <v>563</v>
      </c>
      <c r="C15" s="636">
        <f>'2. SOFP'!E14</f>
        <v>0</v>
      </c>
      <c r="D15" s="404"/>
      <c r="E15" s="634">
        <f t="shared" si="0"/>
        <v>0</v>
      </c>
      <c r="F15" s="15"/>
    </row>
    <row r="16" spans="1:7" ht="21">
      <c r="A16" s="379">
        <v>5</v>
      </c>
      <c r="B16" s="374" t="s">
        <v>564</v>
      </c>
      <c r="C16" s="636">
        <f>SUM(C17:C19)</f>
        <v>0</v>
      </c>
      <c r="D16" s="404">
        <f>SUM(D17:D19)</f>
        <v>0</v>
      </c>
      <c r="E16" s="637">
        <f>SUM(E17:E19)</f>
        <v>0</v>
      </c>
      <c r="F16" s="15"/>
    </row>
    <row r="17" spans="1:6" ht="15">
      <c r="A17" s="379">
        <v>5.0999999999999996</v>
      </c>
      <c r="B17" s="375" t="s">
        <v>565</v>
      </c>
      <c r="C17" s="404">
        <f>'2. SOFP'!E16</f>
        <v>0</v>
      </c>
      <c r="D17" s="404"/>
      <c r="E17" s="634">
        <f>C17-D17</f>
        <v>0</v>
      </c>
      <c r="F17" s="15"/>
    </row>
    <row r="18" spans="1:6" ht="15">
      <c r="A18" s="379">
        <v>5.2</v>
      </c>
      <c r="B18" s="375" t="s">
        <v>566</v>
      </c>
      <c r="C18" s="404">
        <f>'2. SOFP'!E17</f>
        <v>0</v>
      </c>
      <c r="D18" s="404"/>
      <c r="E18" s="634">
        <f>C18-D18</f>
        <v>0</v>
      </c>
      <c r="F18" s="15"/>
    </row>
    <row r="19" spans="1:6" ht="15">
      <c r="A19" s="379">
        <v>5.3</v>
      </c>
      <c r="B19" s="376" t="s">
        <v>567</v>
      </c>
      <c r="C19" s="404">
        <f>'2. SOFP'!E18</f>
        <v>0</v>
      </c>
      <c r="D19" s="404"/>
      <c r="E19" s="634">
        <f>C19-D19</f>
        <v>0</v>
      </c>
      <c r="F19" s="15"/>
    </row>
    <row r="20" spans="1:6" ht="15">
      <c r="A20" s="379">
        <v>6</v>
      </c>
      <c r="B20" s="372" t="s">
        <v>568</v>
      </c>
      <c r="C20" s="636">
        <f>SUM(C21:C22)</f>
        <v>379815379.08618951</v>
      </c>
      <c r="D20" s="404">
        <f>SUM(D21:D22)</f>
        <v>0</v>
      </c>
      <c r="E20" s="637">
        <f>SUM(E21:E22)</f>
        <v>379815379.08618951</v>
      </c>
      <c r="F20" s="15"/>
    </row>
    <row r="21" spans="1:6" ht="15">
      <c r="A21" s="379">
        <v>6.1</v>
      </c>
      <c r="B21" s="375" t="s">
        <v>566</v>
      </c>
      <c r="C21" s="404">
        <f>'2. SOFP'!E20</f>
        <v>56214343.559903294</v>
      </c>
      <c r="D21" s="404"/>
      <c r="E21" s="634">
        <f>C21-D21</f>
        <v>56214343.559903294</v>
      </c>
      <c r="F21" s="15"/>
    </row>
    <row r="22" spans="1:6" ht="15">
      <c r="A22" s="379">
        <v>6.2</v>
      </c>
      <c r="B22" s="376" t="s">
        <v>567</v>
      </c>
      <c r="C22" s="404">
        <f>'2. SOFP'!E21</f>
        <v>323601035.52628618</v>
      </c>
      <c r="D22" s="404"/>
      <c r="E22" s="634">
        <f>C22-D22</f>
        <v>323601035.52628618</v>
      </c>
      <c r="F22" s="15"/>
    </row>
    <row r="23" spans="1:6" ht="21">
      <c r="A23" s="379">
        <v>7</v>
      </c>
      <c r="B23" s="371" t="s">
        <v>569</v>
      </c>
      <c r="C23" s="636">
        <f>'2. SOFP'!E22</f>
        <v>0</v>
      </c>
      <c r="D23" s="404"/>
      <c r="E23" s="634">
        <f>C23-D23</f>
        <v>0</v>
      </c>
      <c r="F23" s="15"/>
    </row>
    <row r="24" spans="1:6" ht="21">
      <c r="A24" s="379">
        <v>8</v>
      </c>
      <c r="B24" s="377" t="s">
        <v>570</v>
      </c>
      <c r="C24" s="636">
        <f>'2. SOFP'!E23</f>
        <v>0</v>
      </c>
      <c r="D24" s="404"/>
      <c r="E24" s="634">
        <f>C24-D24</f>
        <v>0</v>
      </c>
      <c r="F24" s="15"/>
    </row>
    <row r="25" spans="1:6" ht="15">
      <c r="A25" s="379">
        <v>9</v>
      </c>
      <c r="B25" s="373" t="s">
        <v>571</v>
      </c>
      <c r="C25" s="636">
        <f>SUM(C26:C27)</f>
        <v>6782728.7300000004</v>
      </c>
      <c r="D25" s="404">
        <f>SUM(D26:D27)</f>
        <v>0</v>
      </c>
      <c r="E25" s="637">
        <f>SUM(E26:E27)</f>
        <v>6782728.7300000004</v>
      </c>
      <c r="F25" s="15"/>
    </row>
    <row r="26" spans="1:6" ht="15">
      <c r="A26" s="379">
        <v>9.1</v>
      </c>
      <c r="B26" s="375" t="s">
        <v>572</v>
      </c>
      <c r="C26" s="404">
        <f>'2. SOFP'!E25</f>
        <v>6782728.7300000004</v>
      </c>
      <c r="D26" s="404"/>
      <c r="E26" s="634">
        <f>C26-D26</f>
        <v>6782728.7300000004</v>
      </c>
      <c r="F26" s="15"/>
    </row>
    <row r="27" spans="1:6" ht="15">
      <c r="A27" s="379">
        <v>9.1999999999999993</v>
      </c>
      <c r="B27" s="375" t="s">
        <v>573</v>
      </c>
      <c r="C27" s="404">
        <f>'2. SOFP'!E26</f>
        <v>0</v>
      </c>
      <c r="D27" s="404"/>
      <c r="E27" s="634">
        <f>C27-D27</f>
        <v>0</v>
      </c>
      <c r="F27" s="15"/>
    </row>
    <row r="28" spans="1:6" ht="15">
      <c r="A28" s="379">
        <v>10</v>
      </c>
      <c r="B28" s="373" t="s">
        <v>574</v>
      </c>
      <c r="C28" s="636">
        <f>SUM(C29:C30)</f>
        <v>2727053.4502263302</v>
      </c>
      <c r="D28" s="636">
        <f>SUM(D29:D30)</f>
        <v>2727053.4502263302</v>
      </c>
      <c r="E28" s="637">
        <f>SUM(E29:E30)</f>
        <v>0</v>
      </c>
      <c r="F28" s="15"/>
    </row>
    <row r="29" spans="1:6" ht="15">
      <c r="A29" s="379">
        <v>10.1</v>
      </c>
      <c r="B29" s="375" t="s">
        <v>575</v>
      </c>
      <c r="C29" s="404">
        <f>'2. SOFP'!E28</f>
        <v>0</v>
      </c>
      <c r="D29" s="404">
        <f>C29</f>
        <v>0</v>
      </c>
      <c r="E29" s="634">
        <f>C29-D29</f>
        <v>0</v>
      </c>
      <c r="F29" s="15"/>
    </row>
    <row r="30" spans="1:6" ht="15">
      <c r="A30" s="379">
        <v>10.199999999999999</v>
      </c>
      <c r="B30" s="375" t="s">
        <v>576</v>
      </c>
      <c r="C30" s="404">
        <f>'2. SOFP'!E29</f>
        <v>2727053.4502263302</v>
      </c>
      <c r="D30" s="404">
        <f>C30</f>
        <v>2727053.4502263302</v>
      </c>
      <c r="E30" s="634">
        <f>C30-D30</f>
        <v>0</v>
      </c>
      <c r="F30" s="15"/>
    </row>
    <row r="31" spans="1:6" ht="15">
      <c r="A31" s="379">
        <v>11</v>
      </c>
      <c r="B31" s="373" t="s">
        <v>577</v>
      </c>
      <c r="C31" s="636">
        <f>SUM(C32:C33)</f>
        <v>6617042.8200000003</v>
      </c>
      <c r="D31" s="404">
        <f>SUM(D32:D33)</f>
        <v>0</v>
      </c>
      <c r="E31" s="637">
        <f>SUM(E32:E33)</f>
        <v>6617042.8200000003</v>
      </c>
      <c r="F31" s="15"/>
    </row>
    <row r="32" spans="1:6" ht="15">
      <c r="A32" s="379">
        <v>11.1</v>
      </c>
      <c r="B32" s="375" t="s">
        <v>578</v>
      </c>
      <c r="C32" s="404">
        <f>'2. SOFP'!E31</f>
        <v>6617042.8200000003</v>
      </c>
      <c r="D32" s="404"/>
      <c r="E32" s="634">
        <f>C32-D32</f>
        <v>6617042.8200000003</v>
      </c>
      <c r="F32" s="15"/>
    </row>
    <row r="33" spans="1:7" ht="15">
      <c r="A33" s="379">
        <v>11.2</v>
      </c>
      <c r="B33" s="375" t="s">
        <v>579</v>
      </c>
      <c r="C33" s="404">
        <f>'2. SOFP'!E32</f>
        <v>0</v>
      </c>
      <c r="D33" s="404"/>
      <c r="E33" s="634">
        <f>C33-D33</f>
        <v>0</v>
      </c>
      <c r="F33" s="15"/>
    </row>
    <row r="34" spans="1:7" ht="15">
      <c r="A34" s="379">
        <v>13</v>
      </c>
      <c r="B34" s="373" t="s">
        <v>580</v>
      </c>
      <c r="C34" s="404">
        <f>'2. SOFP'!E33</f>
        <v>6008004.7179079996</v>
      </c>
      <c r="D34" s="404"/>
      <c r="E34" s="634">
        <f>C34-D34</f>
        <v>6008004.7179079996</v>
      </c>
      <c r="F34" s="15"/>
    </row>
    <row r="35" spans="1:7" ht="15">
      <c r="A35" s="379">
        <v>13.1</v>
      </c>
      <c r="B35" s="556" t="s">
        <v>581</v>
      </c>
      <c r="C35" s="404">
        <f>'2. SOFP'!E34</f>
        <v>1349093.18</v>
      </c>
      <c r="D35" s="404"/>
      <c r="E35" s="634">
        <f>C35-D35</f>
        <v>1349093.18</v>
      </c>
      <c r="F35" s="15"/>
    </row>
    <row r="36" spans="1:7" ht="15">
      <c r="A36" s="379">
        <v>13.2</v>
      </c>
      <c r="B36" s="556" t="s">
        <v>582</v>
      </c>
      <c r="C36" s="404">
        <f>'2. SOFP'!E35</f>
        <v>0</v>
      </c>
      <c r="D36" s="404"/>
      <c r="E36" s="634">
        <f>C36-D36</f>
        <v>0</v>
      </c>
      <c r="F36" s="15"/>
    </row>
    <row r="37" spans="1:7" ht="26.25" thickBot="1">
      <c r="A37" s="110"/>
      <c r="B37" s="204" t="s">
        <v>234</v>
      </c>
      <c r="C37" s="153">
        <f>SUM(C8,C12,C14,C15,C16,C20,C23,C24,C25,C28,C31,C34)</f>
        <v>489946874.57204652</v>
      </c>
      <c r="D37" s="153">
        <f>SUM(D8,D12,D14,D15,D16,D20,D23,D24,D25,D28,D31,D34)</f>
        <v>2727053.4502263302</v>
      </c>
      <c r="E37" s="635">
        <f>SUM(E8,E12,E14,E15,E16,E20,E23,E24,E25,E28,E31,E34)</f>
        <v>487219821.12182021</v>
      </c>
    </row>
    <row r="38" spans="1:7">
      <c r="A38" s="5"/>
      <c r="B38" s="5"/>
      <c r="C38" s="5"/>
      <c r="D38" s="5"/>
      <c r="E38" s="5"/>
    </row>
    <row r="39" spans="1:7">
      <c r="A39" s="5"/>
      <c r="B39" s="5"/>
      <c r="C39" s="5"/>
      <c r="D39" s="5"/>
      <c r="E39" s="5"/>
    </row>
    <row r="41" spans="1:7" s="4" customFormat="1">
      <c r="B41" s="45"/>
      <c r="F41" s="5"/>
      <c r="G41" s="5"/>
    </row>
    <row r="42" spans="1:7" s="4" customFormat="1">
      <c r="B42" s="45"/>
      <c r="F42" s="5"/>
      <c r="G42" s="5"/>
    </row>
    <row r="43" spans="1:7" s="4" customFormat="1">
      <c r="B43" s="45"/>
      <c r="F43" s="5"/>
      <c r="G43" s="5"/>
    </row>
    <row r="44" spans="1:7" s="4" customFormat="1">
      <c r="B44" s="45"/>
      <c r="F44" s="5"/>
      <c r="G44" s="5"/>
    </row>
    <row r="45" spans="1:7" s="4" customFormat="1">
      <c r="B45" s="45"/>
      <c r="F45" s="5"/>
      <c r="G45" s="5"/>
    </row>
    <row r="46" spans="1:7" s="4" customFormat="1">
      <c r="B46" s="45"/>
      <c r="F46" s="5"/>
      <c r="G46" s="5"/>
    </row>
    <row r="47" spans="1:7" s="4" customFormat="1">
      <c r="B47" s="45"/>
      <c r="F47" s="5"/>
      <c r="G47" s="5"/>
    </row>
    <row r="48" spans="1:7" s="4" customFormat="1">
      <c r="B48" s="45"/>
      <c r="F48" s="5"/>
      <c r="G48" s="5"/>
    </row>
    <row r="49" spans="2:7" s="4" customFormat="1">
      <c r="B49" s="45"/>
      <c r="F49" s="5"/>
      <c r="G49" s="5"/>
    </row>
    <row r="50" spans="2:7" s="4" customFormat="1">
      <c r="B50" s="45"/>
      <c r="F50" s="5"/>
      <c r="G50" s="5"/>
    </row>
    <row r="51" spans="2:7" s="4" customFormat="1">
      <c r="B51" s="45"/>
      <c r="F51" s="5"/>
      <c r="G51" s="5"/>
    </row>
    <row r="52" spans="2:7" s="4" customFormat="1">
      <c r="B52" s="45"/>
      <c r="F52" s="5"/>
      <c r="G52" s="5"/>
    </row>
    <row r="53" spans="2:7" s="4" customFormat="1">
      <c r="B53" s="45"/>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536" t="str">
        <f>'1. key ratios '!B1</f>
        <v>JSC Isbank Georgia</v>
      </c>
    </row>
    <row r="2" spans="1:6" s="40" customFormat="1" ht="15.75" customHeight="1">
      <c r="A2" s="2" t="s">
        <v>31</v>
      </c>
      <c r="B2" s="537">
        <f>'1. key ratios '!B2</f>
        <v>45657</v>
      </c>
      <c r="C2" s="4"/>
      <c r="D2" s="4"/>
      <c r="E2" s="4"/>
      <c r="F2" s="4"/>
    </row>
    <row r="3" spans="1:6" s="40" customFormat="1" ht="15.75" customHeight="1">
      <c r="C3" s="4"/>
      <c r="D3" s="4"/>
      <c r="E3" s="4"/>
      <c r="F3" s="4"/>
    </row>
    <row r="4" spans="1:6" s="40" customFormat="1" ht="13.5" thickBot="1">
      <c r="A4" s="40" t="s">
        <v>46</v>
      </c>
      <c r="B4" s="205" t="s">
        <v>549</v>
      </c>
      <c r="C4" s="41" t="s">
        <v>35</v>
      </c>
      <c r="D4" s="4"/>
      <c r="E4" s="4"/>
      <c r="F4" s="4"/>
    </row>
    <row r="5" spans="1:6">
      <c r="A5" s="158">
        <v>1</v>
      </c>
      <c r="B5" s="206" t="s">
        <v>551</v>
      </c>
      <c r="C5" s="638">
        <f>'7. LI1 '!E37</f>
        <v>487219821.12182021</v>
      </c>
    </row>
    <row r="6" spans="1:6" s="159" customFormat="1">
      <c r="A6" s="46">
        <v>2.1</v>
      </c>
      <c r="B6" s="155" t="s">
        <v>214</v>
      </c>
      <c r="C6" s="102">
        <f>'4. Off-balance'!E27+'4. Off-balance'!E28+'4. Off-balance'!E29-'2. SOFP'!E46</f>
        <v>159765720.20826632</v>
      </c>
    </row>
    <row r="7" spans="1:6" s="26" customFormat="1" outlineLevel="1">
      <c r="A7" s="21">
        <v>2.2000000000000002</v>
      </c>
      <c r="B7" s="22" t="s">
        <v>215</v>
      </c>
      <c r="C7" s="160"/>
    </row>
    <row r="8" spans="1:6" s="26" customFormat="1">
      <c r="A8" s="21">
        <v>3</v>
      </c>
      <c r="B8" s="156" t="s">
        <v>550</v>
      </c>
      <c r="C8" s="639">
        <f>SUM(C5:C7)</f>
        <v>646985541.33008647</v>
      </c>
    </row>
    <row r="9" spans="1:6" s="159" customFormat="1">
      <c r="A9" s="46">
        <v>4</v>
      </c>
      <c r="B9" s="48" t="s">
        <v>48</v>
      </c>
      <c r="C9" s="102"/>
    </row>
    <row r="10" spans="1:6" s="26" customFormat="1" outlineLevel="1">
      <c r="A10" s="21">
        <v>5.0999999999999996</v>
      </c>
      <c r="B10" s="22" t="s">
        <v>216</v>
      </c>
      <c r="C10" s="160">
        <v>-76135882.879862636</v>
      </c>
    </row>
    <row r="11" spans="1:6" s="26" customFormat="1" outlineLevel="1">
      <c r="A11" s="21">
        <v>5.2</v>
      </c>
      <c r="B11" s="22" t="s">
        <v>217</v>
      </c>
      <c r="C11" s="160"/>
    </row>
    <row r="12" spans="1:6" s="26" customFormat="1">
      <c r="A12" s="21">
        <v>6</v>
      </c>
      <c r="B12" s="154" t="s">
        <v>356</v>
      </c>
      <c r="C12" s="160"/>
    </row>
    <row r="13" spans="1:6" s="26" customFormat="1" ht="13.5" thickBot="1">
      <c r="A13" s="23">
        <v>7</v>
      </c>
      <c r="B13" s="157" t="s">
        <v>177</v>
      </c>
      <c r="C13" s="640">
        <f>SUM(C8:C12)</f>
        <v>570849658.4502238</v>
      </c>
    </row>
    <row r="15" spans="1:6">
      <c r="A15" s="171"/>
      <c r="B15" s="27"/>
    </row>
    <row r="16" spans="1:6">
      <c r="A16" s="171"/>
      <c r="B16" s="171"/>
    </row>
    <row r="17" spans="1:5" ht="15">
      <c r="A17" s="166"/>
      <c r="B17" s="167"/>
      <c r="C17" s="171"/>
      <c r="D17" s="171"/>
      <c r="E17" s="171"/>
    </row>
    <row r="18" spans="1:5" ht="15">
      <c r="A18" s="172"/>
      <c r="B18" s="173"/>
      <c r="C18" s="171"/>
      <c r="D18" s="171"/>
      <c r="E18" s="171"/>
    </row>
    <row r="19" spans="1:5">
      <c r="A19" s="174"/>
      <c r="B19" s="168"/>
      <c r="C19" s="171"/>
      <c r="D19" s="171"/>
      <c r="E19" s="171"/>
    </row>
    <row r="20" spans="1:5">
      <c r="A20" s="175"/>
      <c r="B20" s="169"/>
      <c r="C20" s="171"/>
      <c r="D20" s="171"/>
      <c r="E20" s="171"/>
    </row>
    <row r="21" spans="1:5">
      <c r="A21" s="175"/>
      <c r="B21" s="173"/>
      <c r="C21" s="171"/>
      <c r="D21" s="171"/>
      <c r="E21" s="171"/>
    </row>
    <row r="22" spans="1:5">
      <c r="A22" s="174"/>
      <c r="B22" s="170"/>
      <c r="C22" s="171"/>
      <c r="D22" s="171"/>
      <c r="E22" s="171"/>
    </row>
    <row r="23" spans="1:5">
      <c r="A23" s="175"/>
      <c r="B23" s="169"/>
      <c r="C23" s="171"/>
      <c r="D23" s="171"/>
      <c r="E23" s="171"/>
    </row>
    <row r="24" spans="1:5">
      <c r="A24" s="175"/>
      <c r="B24" s="169"/>
      <c r="C24" s="171"/>
      <c r="D24" s="171"/>
      <c r="E24" s="171"/>
    </row>
    <row r="25" spans="1:5">
      <c r="A25" s="175"/>
      <c r="B25" s="176"/>
      <c r="C25" s="171"/>
      <c r="D25" s="171"/>
      <c r="E25" s="171"/>
    </row>
    <row r="26" spans="1:5">
      <c r="A26" s="175"/>
      <c r="B26" s="173"/>
      <c r="C26" s="171"/>
      <c r="D26" s="171"/>
      <c r="E26" s="171"/>
    </row>
    <row r="27" spans="1:5">
      <c r="A27" s="171"/>
      <c r="B27" s="177"/>
      <c r="C27" s="171"/>
      <c r="D27" s="171"/>
      <c r="E27" s="171"/>
    </row>
    <row r="28" spans="1:5">
      <c r="A28" s="171"/>
      <c r="B28" s="177"/>
      <c r="C28" s="171"/>
      <c r="D28" s="171"/>
      <c r="E28" s="171"/>
    </row>
    <row r="29" spans="1:5">
      <c r="A29" s="171"/>
      <c r="B29" s="177"/>
      <c r="C29" s="171"/>
      <c r="D29" s="171"/>
      <c r="E29" s="171"/>
    </row>
    <row r="30" spans="1:5">
      <c r="A30" s="171"/>
      <c r="B30" s="177"/>
      <c r="C30" s="171"/>
      <c r="D30" s="171"/>
      <c r="E30" s="171"/>
    </row>
    <row r="31" spans="1:5">
      <c r="A31" s="171"/>
      <c r="B31" s="177"/>
      <c r="C31" s="171"/>
      <c r="D31" s="171"/>
      <c r="E31" s="171"/>
    </row>
    <row r="32" spans="1:5">
      <c r="A32" s="171"/>
      <c r="B32" s="177"/>
      <c r="C32" s="171"/>
      <c r="D32" s="171"/>
      <c r="E32" s="171"/>
    </row>
    <row r="33" spans="1:5">
      <c r="A33" s="171"/>
      <c r="B33" s="177"/>
      <c r="C33" s="171"/>
      <c r="D33" s="171"/>
      <c r="E33" s="171"/>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IjrsZtLac+ILCrs3rGTW5PqdkZmSW+9X2VJsn8AW70I=</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0lUZ4mzYN2NHH/uZIUkt7TofRRPjCWIt6HlyTvx1emQ=</DigestValue>
    </Reference>
  </SignedInfo>
  <SignatureValue>UNU6tmed3XXvF8IRrClKKh0lHHMjQHk1fDI6czAjcQoS7EyywdmXYO05FZa22SI8mWr+EqLjT5Vw
xXXHFdQHhtWgf/HFf4xzqLQklT4Cjy7e+1N328XNjV201Xl3KETS1vuFa8wXCMU1lb0QxX+16SeD
b94eS2v0TmkpK/TST8LIe3BMay23+wvWQ5IVu0RN2xEcb+uMJQSlAOsAj3GOfKC6Wlk+heYHK2ga
HpeRYowu8JP4PWZjDwirE3fekVNQXYFAwPiv0JKvXq33PlvjP4jnyPmZp3Dmk8wXpfQCim555fKU
D7RczICoua+RnbGlR9a2APIL2Vyks3wXuPdisQ==</SignatureValue>
  <KeyInfo>
    <X509Data>
      <X509Certificate>MIIGPjCCBSagAwIBAgIKJnXA4AADAAJFXjANBgkqhkiG9w0BAQsFADBKMRIwEAYKCZImiZPyLGQBGRYCZ2UxEzARBgoJkiaJk/IsZAEZFgNuYmcxHzAdBgNVBAMTFk5CRyBDbGFzcyAyIElOVCBTdWIgQ0EwHhcNMjMxMjA2MDk1NDI0WhcNMjUxMTI0MjI0OTMzWjA8MRswGQYDVQQKExJKU0MgSXNiYW5rIEdlb3JnaWExHTAbBgNVBAMTFEJJUyAtIFVjaGEgU2FyYWxpZHplMIIBIjANBgkqhkiG9w0BAQEFAAOCAQ8AMIIBCgKCAQEA48cGTTNDJarHmvTGwoP95WHKvB5TNP342q76SZakyRI+0CbJmHs3hvvZcIUvYXlY/ZBIzrBRw6Vq8JxgnrGStm6lHvJxTxjtfL0UPzQHD0V4kZuEK/tKL2uVaJr8g1guesSh1qXhgxEhmQz8RUmI521hL2j6fKmNvjyIYykLX81HojNhPSZHiOK7Ji3ThhPMnUS1Ik9xSGTwvhQg/Sj/auhHhypAOrddTvnCgU/1kxfWrph7XbHbr0qIwN1exu8CUJMG1nDiUuIppUPIRv7qX4Z7+fk56TJGfvMxA1IbtOfsDGjirIVNXZL0DrjDI65Ka6JaSCWYOqWlp2JGqOWd2QIDAQABo4IDMjCCAy4wPAYJKwYBBAGCNxUHBC8wLQYlKwYBBAGCNxUI5rJgg431RIaBmQmDuKFKg76EcQSDxJEzhIOIXQIBZAIBIzAdBgNVHSUEFjAUBggrBgEFBQcDAgYIKwYBBQUHAwQwCwYDVR0PBAQDAgeAMCcGCSsGAQQBgjcVCgQaMBgwCgYIKwYBBQUHAwIwCgYIKwYBBQUHAwQwHQYDVR0OBBYEFFEsIDEzYZMx8VikSLtD9411k9cH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osP7LLjgZWay2UUnvH0Pt04RhOcCtt/LT1NPH/YGVV9p2PKRg3zs91NDreQpAAY/sJ34LPrj1dhzReRNAdRQYq7YMWZNL0zEpUhAkBchmx8DeDRp+PiNOh7DX+6XHclzO8X0KlbTEN13HibS4r9VDKi3N/dUM1kZxPCL1+dHw8n6pVQk1Q9fAtsY+3YETXCKPgitxAGmciufrxj9GomTRUETbJp8aawDyIUCwDhGJKXyNBKwKklre9HSjzRmSAqEx0kEVQfwIDaw5t/h9eE7nFHDEZrwCMnQKlkwWGTf1Mohe6PXT3NYnVjpAp6jzcl0taSl//mxq3gswUX/dQoT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Z66rrAoT9BB+LhYxM4Vq5I5yXJsJMoMrYzva+sl6DA4=</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9z6+TKPr5MeCEY/obOl7VsBqmur0pDKCwlsTMITw9kY=</DigestValue>
      </Reference>
      <Reference URI="/xl/styles.xml?ContentType=application/vnd.openxmlformats-officedocument.spreadsheetml.styles+xml">
        <DigestMethod Algorithm="http://www.w3.org/2001/04/xmlenc#sha256"/>
        <DigestValue>Eo6bpWILpTyOdcUrL4mEMlyYPZbpTzqXAt/kjY2qncI=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ERINZ6VTzwPGo38AD+Q8pEcmD3nKkXUa50z+vvw7aQI=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ulELKnEBP1SHVT/vY9iJ9wQ1EM1/w4emk21dEyKBsv4=</DigestValue>
      </Reference>
      <Reference URI="/xl/worksheets/sheet10.xml?ContentType=application/vnd.openxmlformats-officedocument.spreadsheetml.worksheet+xml">
        <DigestMethod Algorithm="http://www.w3.org/2001/04/xmlenc#sha256"/>
        <DigestValue>+YF16v5nDMFb7S8fB7L158ZdBPZYV89bGvMwJugP5zk=</DigestValue>
      </Reference>
      <Reference URI="/xl/worksheets/sheet11.xml?ContentType=application/vnd.openxmlformats-officedocument.spreadsheetml.worksheet+xml">
        <DigestMethod Algorithm="http://www.w3.org/2001/04/xmlenc#sha256"/>
        <DigestValue>XtH6qnuWNJoemDVUE7xESjst4djuVm0Kyp/YxGfOZkM=</DigestValue>
      </Reference>
      <Reference URI="/xl/worksheets/sheet12.xml?ContentType=application/vnd.openxmlformats-officedocument.spreadsheetml.worksheet+xml">
        <DigestMethod Algorithm="http://www.w3.org/2001/04/xmlenc#sha256"/>
        <DigestValue>m9yBEK4vnh10pz8P1j5RRSucEdzmK4LNlIjbG+awzJ0=</DigestValue>
      </Reference>
      <Reference URI="/xl/worksheets/sheet13.xml?ContentType=application/vnd.openxmlformats-officedocument.spreadsheetml.worksheet+xml">
        <DigestMethod Algorithm="http://www.w3.org/2001/04/xmlenc#sha256"/>
        <DigestValue>5RivSw/CVNwFsRx8fmf/CBHFFt208Q37kgtQhNPBFqk=</DigestValue>
      </Reference>
      <Reference URI="/xl/worksheets/sheet14.xml?ContentType=application/vnd.openxmlformats-officedocument.spreadsheetml.worksheet+xml">
        <DigestMethod Algorithm="http://www.w3.org/2001/04/xmlenc#sha256"/>
        <DigestValue>Xm+BSHYn8S2vNnAuzawErsCo384w7sXcCYrf6WrpkOs=</DigestValue>
      </Reference>
      <Reference URI="/xl/worksheets/sheet15.xml?ContentType=application/vnd.openxmlformats-officedocument.spreadsheetml.worksheet+xml">
        <DigestMethod Algorithm="http://www.w3.org/2001/04/xmlenc#sha256"/>
        <DigestValue>mM1UJFYJmX7bXgpkKgH7JJCQyStTTTcSGdQnzQqYQZo=</DigestValue>
      </Reference>
      <Reference URI="/xl/worksheets/sheet16.xml?ContentType=application/vnd.openxmlformats-officedocument.spreadsheetml.worksheet+xml">
        <DigestMethod Algorithm="http://www.w3.org/2001/04/xmlenc#sha256"/>
        <DigestValue>+gNcglvk+4OL8GYLuU0TlR2Imqx9inuhaT7rVmrFzgw=</DigestValue>
      </Reference>
      <Reference URI="/xl/worksheets/sheet17.xml?ContentType=application/vnd.openxmlformats-officedocument.spreadsheetml.worksheet+xml">
        <DigestMethod Algorithm="http://www.w3.org/2001/04/xmlenc#sha256"/>
        <DigestValue>r5TT4lHAfqj3EF4kK0GlyWslUXAeDyU+mqyuiWyFdAM=</DigestValue>
      </Reference>
      <Reference URI="/xl/worksheets/sheet18.xml?ContentType=application/vnd.openxmlformats-officedocument.spreadsheetml.worksheet+xml">
        <DigestMethod Algorithm="http://www.w3.org/2001/04/xmlenc#sha256"/>
        <DigestValue>MBl5LG9X34nHoKgXV2lxOB2halhmlS+euWMwgOxg1Wg=</DigestValue>
      </Reference>
      <Reference URI="/xl/worksheets/sheet19.xml?ContentType=application/vnd.openxmlformats-officedocument.spreadsheetml.worksheet+xml">
        <DigestMethod Algorithm="http://www.w3.org/2001/04/xmlenc#sha256"/>
        <DigestValue>d+SmOOftKDhlFEhMrIuQ05p4LXNTgsZMRxpE0aCE++4=</DigestValue>
      </Reference>
      <Reference URI="/xl/worksheets/sheet2.xml?ContentType=application/vnd.openxmlformats-officedocument.spreadsheetml.worksheet+xml">
        <DigestMethod Algorithm="http://www.w3.org/2001/04/xmlenc#sha256"/>
        <DigestValue>7ehsi9887aGde+RunqSIFcLKNAS4kU87CvQlcQWbvEU=</DigestValue>
      </Reference>
      <Reference URI="/xl/worksheets/sheet20.xml?ContentType=application/vnd.openxmlformats-officedocument.spreadsheetml.worksheet+xml">
        <DigestMethod Algorithm="http://www.w3.org/2001/04/xmlenc#sha256"/>
        <DigestValue>miDT8kTXgLLOkcIdMzvbUi5kcqirWJSzYXxtkkgnrYs=</DigestValue>
      </Reference>
      <Reference URI="/xl/worksheets/sheet21.xml?ContentType=application/vnd.openxmlformats-officedocument.spreadsheetml.worksheet+xml">
        <DigestMethod Algorithm="http://www.w3.org/2001/04/xmlenc#sha256"/>
        <DigestValue>mETqIDKNZX1dnajHDGiQZ6VVj3SDF2A/e3m3TlRT7Po=</DigestValue>
      </Reference>
      <Reference URI="/xl/worksheets/sheet22.xml?ContentType=application/vnd.openxmlformats-officedocument.spreadsheetml.worksheet+xml">
        <DigestMethod Algorithm="http://www.w3.org/2001/04/xmlenc#sha256"/>
        <DigestValue>oQeuKwQsPD3kQsPSeG3EsvyWHmLZW9U2gs5y0b2xhOA=</DigestValue>
      </Reference>
      <Reference URI="/xl/worksheets/sheet23.xml?ContentType=application/vnd.openxmlformats-officedocument.spreadsheetml.worksheet+xml">
        <DigestMethod Algorithm="http://www.w3.org/2001/04/xmlenc#sha256"/>
        <DigestValue>TNAXGqksv+8koaqW0XD8+nKPCMccdHPX8x96ccRi2AA=</DigestValue>
      </Reference>
      <Reference URI="/xl/worksheets/sheet24.xml?ContentType=application/vnd.openxmlformats-officedocument.spreadsheetml.worksheet+xml">
        <DigestMethod Algorithm="http://www.w3.org/2001/04/xmlenc#sha256"/>
        <DigestValue>jhZrLW00Rw/EsyyMWw/yd/8XN9lqvwfWqraizxKNw7k=</DigestValue>
      </Reference>
      <Reference URI="/xl/worksheets/sheet25.xml?ContentType=application/vnd.openxmlformats-officedocument.spreadsheetml.worksheet+xml">
        <DigestMethod Algorithm="http://www.w3.org/2001/04/xmlenc#sha256"/>
        <DigestValue>aO2o4kWil328RH2EzIRbVAL7r8VANljHTGAvAChzEGs=</DigestValue>
      </Reference>
      <Reference URI="/xl/worksheets/sheet26.xml?ContentType=application/vnd.openxmlformats-officedocument.spreadsheetml.worksheet+xml">
        <DigestMethod Algorithm="http://www.w3.org/2001/04/xmlenc#sha256"/>
        <DigestValue>28svAlpbOYnYoACP713NqXgN9IlWbwBnTR/GXzGUPi0=</DigestValue>
      </Reference>
      <Reference URI="/xl/worksheets/sheet27.xml?ContentType=application/vnd.openxmlformats-officedocument.spreadsheetml.worksheet+xml">
        <DigestMethod Algorithm="http://www.w3.org/2001/04/xmlenc#sha256"/>
        <DigestValue>ZjoFwf+2h7MkAdI5iFoEbPECleWoz/iG927efrHO0WU=</DigestValue>
      </Reference>
      <Reference URI="/xl/worksheets/sheet28.xml?ContentType=application/vnd.openxmlformats-officedocument.spreadsheetml.worksheet+xml">
        <DigestMethod Algorithm="http://www.w3.org/2001/04/xmlenc#sha256"/>
        <DigestValue>xA8vgSqMM78xBZOEeiVqmIK5Gsgc2rapSxlwplCK9Wo=</DigestValue>
      </Reference>
      <Reference URI="/xl/worksheets/sheet29.xml?ContentType=application/vnd.openxmlformats-officedocument.spreadsheetml.worksheet+xml">
        <DigestMethod Algorithm="http://www.w3.org/2001/04/xmlenc#sha256"/>
        <DigestValue>1qx6883QTKJP0HF5fowtQ6H3anunyzzzBfW+Z3izNwo=</DigestValue>
      </Reference>
      <Reference URI="/xl/worksheets/sheet3.xml?ContentType=application/vnd.openxmlformats-officedocument.spreadsheetml.worksheet+xml">
        <DigestMethod Algorithm="http://www.w3.org/2001/04/xmlenc#sha256"/>
        <DigestValue>5AFsY16G3k5OmHLDu7YyhJXhvUWgFZyFGle7IB0oqRc=</DigestValue>
      </Reference>
      <Reference URI="/xl/worksheets/sheet4.xml?ContentType=application/vnd.openxmlformats-officedocument.spreadsheetml.worksheet+xml">
        <DigestMethod Algorithm="http://www.w3.org/2001/04/xmlenc#sha256"/>
        <DigestValue>Dp9bVMAxLdWSm4g7u/NEVfFGm9lCbZEGvye5tB4Vo1A=</DigestValue>
      </Reference>
      <Reference URI="/xl/worksheets/sheet5.xml?ContentType=application/vnd.openxmlformats-officedocument.spreadsheetml.worksheet+xml">
        <DigestMethod Algorithm="http://www.w3.org/2001/04/xmlenc#sha256"/>
        <DigestValue>Izn3g5ma6jJRCztm5fDecTmXLd/ecOcJ5ns1YWpULuU=</DigestValue>
      </Reference>
      <Reference URI="/xl/worksheets/sheet6.xml?ContentType=application/vnd.openxmlformats-officedocument.spreadsheetml.worksheet+xml">
        <DigestMethod Algorithm="http://www.w3.org/2001/04/xmlenc#sha256"/>
        <DigestValue>kWCbD5PTHPf59n3C55xJ7qEMv/1wTbps5HJoFhKzuDM=</DigestValue>
      </Reference>
      <Reference URI="/xl/worksheets/sheet7.xml?ContentType=application/vnd.openxmlformats-officedocument.spreadsheetml.worksheet+xml">
        <DigestMethod Algorithm="http://www.w3.org/2001/04/xmlenc#sha256"/>
        <DigestValue>ry6iurtClYkpm+KgJIdKx8H0drhUKo/JnHtMUAR4OJc=</DigestValue>
      </Reference>
      <Reference URI="/xl/worksheets/sheet8.xml?ContentType=application/vnd.openxmlformats-officedocument.spreadsheetml.worksheet+xml">
        <DigestMethod Algorithm="http://www.w3.org/2001/04/xmlenc#sha256"/>
        <DigestValue>uT4vASulatLkA7cuk5GOYEAGpaXx4PBgcYlRSmVVrdg=</DigestValue>
      </Reference>
      <Reference URI="/xl/worksheets/sheet9.xml?ContentType=application/vnd.openxmlformats-officedocument.spreadsheetml.worksheet+xml">
        <DigestMethod Algorithm="http://www.w3.org/2001/04/xmlenc#sha256"/>
        <DigestValue>ffhbqYN7y+jaqh5NwE6x5c5YM8lVz8+nEq6SF0wV9QI=</DigestValue>
      </Reference>
    </Manifest>
    <SignatureProperties>
      <SignatureProperty Id="idSignatureTime" Target="#idPackageSignature">
        <mdssi:SignatureTime xmlns:mdssi="http://schemas.openxmlformats.org/package/2006/digital-signature">
          <mdssi:Format>YYYY-MM-DDThh:mm:ssTZD</mdssi:Format>
          <mdssi:Value>2025-01-30T12:57:51Z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2025-01-30T12:57:51Z</xd:SigningTime>
          <xd:SigningCertificate>
            <xd:Cert>
              <xd:CertDigest>
                <DigestMethod Algorithm="http://www.w3.org/2001/04/xmlenc#sha256"/>
                <DigestValue>zi6kpH5IEoePVvRvvBdKke7qj5q9fGeSnwGeiScMW00=</DigestValue>
              </xd:CertDigest>
              <xd:IssuerSerial>
                <X509IssuerName>CN=NBG Class 2 INT Sub CA, DC=nbg, DC=ge</X509IssuerName>
                <X509SerialNumber>181622093514133486060894</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AHpizjvE3rL8ujl9EqLCStC7em56pcO1V7eC54hSn+k=</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uBWIyINTVcaFWkZt4cFwnXC7Ald6bS2kRoF+HHJgCec=</DigestValue>
    </Reference>
  </SignedInfo>
  <SignatureValue>0e3S5EVxYmT6iIViEh2okhUsQ862dlREV5MHRRRLSrV5s0hSsYnUBBaZcMYQe3PSwTUDY6EOajPt
uv2OgFLyeDyiq4hbEKm+LPHZWGTyJ7H6HJDU18gYayg69X4BA6k1N/35Zo5twvbw8eGrd4jbM0tt
tlPHtzWpvCEKz3Y5nClv0eLXrH2nF7Oavm06KulopqNsdVz4ld2eW5Tb/vSsKeUW46jZbQr4yv0Z
qMv6bdy7eaGDSWCXerPqFOZrTW8CjjYCj+c+toTz6DUytnZZ0ibZJTe41N00pEEmyRgmoSTRzGTl
HFHMzyVftt88Nbkln8jbwX8lY2vg7TqsACaRWQ==</SignatureValue>
  <KeyInfo>
    <X509Data>
      <X509Certificate>MIIGQTCCBSmgAwIBAgIKJgLsjwADAAJFWzANBgkqhkiG9w0BAQsFADBKMRIwEAYKCZImiZPyLGQBGRYCZ2UxEzARBgoJkiaJk/IsZAEZFgNuYmcxHzAdBgNVBAMTFk5CRyBDbGFzcyAyIElOVCBTdWIgQ0EwHhcNMjMxMjA2MDc0ODU4WhcNMjUxMTI0MjI0OTMzWjA/MRswGQYDVQQKExJKU0MgSXNiYW5rIEdlb3JnaWExIDAeBgNVBAMTF0JJUyAtIEh1c2V5aW4gS2FyYWJ1bHV0MIIBIjANBgkqhkiG9w0BAQEFAAOCAQ8AMIIBCgKCAQEA02ueCfrXNf/Inkz8XsJRxloR3zw6ddV16AbEWa140N9BL3C7Gc2UJ19+uUflSQ1Eq5Khg1leKF26AYbC+MghROsLVmnpJ8s9EJpOOTu3hLrGSOabwaP+nChL7UBkLI06vrRdXHsVczcwV3FAIfqxONaSfVO4B+a1INE9T3TIofpIVYrczDRysFq9JU9Kk7iFuxqLV5wpTFGnRLTZU2RfSpEcuxhDkRHWfjCtvVkArVJD7Welbl8R1hIHz4bZpmG6BCStiO0nfzhm5LXfoWjN/sYsdYQ4C4u5r/yihHp0gkVXtXrK8zNeB3jQRhP1r4spOprkG2iwtJvvj/5ZdgUy/wIDAQABo4IDMjCCAy4wPAYJKwYBBAGCNxUHBC8wLQYlKwYBBAGCNxUI5rJgg431RIaBmQmDuKFKg76EcQSDxJEzhIOIXQIBZAIBIzAdBgNVHSUEFjAUBggrBgEFBQcDAgYIKwYBBQUHAwQwCwYDVR0PBAQDAgeAMCcGCSsGAQQBgjcVCgQaMBgwCgYIKwYBBQUHAwIwCgYIKwYBBQUHAwQwHQYDVR0OBBYEFDvrT3zKzq3AdUu3GTVL6gNOaZur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BPHI3pqUbBmntkRp/SF4GIv3j+dUpsq2iQVA3CCUPxYeNHku/TPn4XldxoK75CZJG3Jtb6jPc+dqq1Vm4Br2EIIrzIUTwpVuy7x9Hm53yulye+H3yHlsO2nPIlUThFP/SMBlSsJEg7qVCNDQ4rnE0JzDUxpt3aaFjZlwmhmNaQl9UI/agpxu5Gt9P3MGNbeTW3rfEZiavwk2qSaAVP3UAkQjPb/K+TuM7IqQ9KxBGjKzCa8XqeFBJW4YanWGgBgTE4Gxd1/QtiVgyAjT6Fm8Do71DGVxEzhcmR71T34pvkRYPFaECI0Co6/1ODDloKyrYuCTpaJwhyHKR3Apo0Jr5+</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Z66rrAoT9BB+LhYxM4Vq5I5yXJsJMoMrYzva+sl6DA4=</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9z6+TKPr5MeCEY/obOl7VsBqmur0pDKCwlsTMITw9kY=</DigestValue>
      </Reference>
      <Reference URI="/xl/styles.xml?ContentType=application/vnd.openxmlformats-officedocument.spreadsheetml.styles+xml">
        <DigestMethod Algorithm="http://www.w3.org/2001/04/xmlenc#sha256"/>
        <DigestValue>Eo6bpWILpTyOdcUrL4mEMlyYPZbpTzqXAt/kjY2qncI=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ERINZ6VTzwPGo38AD+Q8pEcmD3nKkXUa50z+vvw7aQI=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ulELKnEBP1SHVT/vY9iJ9wQ1EM1/w4emk21dEyKBsv4=</DigestValue>
      </Reference>
      <Reference URI="/xl/worksheets/sheet10.xml?ContentType=application/vnd.openxmlformats-officedocument.spreadsheetml.worksheet+xml">
        <DigestMethod Algorithm="http://www.w3.org/2001/04/xmlenc#sha256"/>
        <DigestValue>+YF16v5nDMFb7S8fB7L158ZdBPZYV89bGvMwJugP5zk=</DigestValue>
      </Reference>
      <Reference URI="/xl/worksheets/sheet11.xml?ContentType=application/vnd.openxmlformats-officedocument.spreadsheetml.worksheet+xml">
        <DigestMethod Algorithm="http://www.w3.org/2001/04/xmlenc#sha256"/>
        <DigestValue>XtH6qnuWNJoemDVUE7xESjst4djuVm0Kyp/YxGfOZkM=</DigestValue>
      </Reference>
      <Reference URI="/xl/worksheets/sheet12.xml?ContentType=application/vnd.openxmlformats-officedocument.spreadsheetml.worksheet+xml">
        <DigestMethod Algorithm="http://www.w3.org/2001/04/xmlenc#sha256"/>
        <DigestValue>m9yBEK4vnh10pz8P1j5RRSucEdzmK4LNlIjbG+awzJ0=</DigestValue>
      </Reference>
      <Reference URI="/xl/worksheets/sheet13.xml?ContentType=application/vnd.openxmlformats-officedocument.spreadsheetml.worksheet+xml">
        <DigestMethod Algorithm="http://www.w3.org/2001/04/xmlenc#sha256"/>
        <DigestValue>5RivSw/CVNwFsRx8fmf/CBHFFt208Q37kgtQhNPBFqk=</DigestValue>
      </Reference>
      <Reference URI="/xl/worksheets/sheet14.xml?ContentType=application/vnd.openxmlformats-officedocument.spreadsheetml.worksheet+xml">
        <DigestMethod Algorithm="http://www.w3.org/2001/04/xmlenc#sha256"/>
        <DigestValue>Xm+BSHYn8S2vNnAuzawErsCo384w7sXcCYrf6WrpkOs=</DigestValue>
      </Reference>
      <Reference URI="/xl/worksheets/sheet15.xml?ContentType=application/vnd.openxmlformats-officedocument.spreadsheetml.worksheet+xml">
        <DigestMethod Algorithm="http://www.w3.org/2001/04/xmlenc#sha256"/>
        <DigestValue>mM1UJFYJmX7bXgpkKgH7JJCQyStTTTcSGdQnzQqYQZo=</DigestValue>
      </Reference>
      <Reference URI="/xl/worksheets/sheet16.xml?ContentType=application/vnd.openxmlformats-officedocument.spreadsheetml.worksheet+xml">
        <DigestMethod Algorithm="http://www.w3.org/2001/04/xmlenc#sha256"/>
        <DigestValue>+gNcglvk+4OL8GYLuU0TlR2Imqx9inuhaT7rVmrFzgw=</DigestValue>
      </Reference>
      <Reference URI="/xl/worksheets/sheet17.xml?ContentType=application/vnd.openxmlformats-officedocument.spreadsheetml.worksheet+xml">
        <DigestMethod Algorithm="http://www.w3.org/2001/04/xmlenc#sha256"/>
        <DigestValue>r5TT4lHAfqj3EF4kK0GlyWslUXAeDyU+mqyuiWyFdAM=</DigestValue>
      </Reference>
      <Reference URI="/xl/worksheets/sheet18.xml?ContentType=application/vnd.openxmlformats-officedocument.spreadsheetml.worksheet+xml">
        <DigestMethod Algorithm="http://www.w3.org/2001/04/xmlenc#sha256"/>
        <DigestValue>MBl5LG9X34nHoKgXV2lxOB2halhmlS+euWMwgOxg1Wg=</DigestValue>
      </Reference>
      <Reference URI="/xl/worksheets/sheet19.xml?ContentType=application/vnd.openxmlformats-officedocument.spreadsheetml.worksheet+xml">
        <DigestMethod Algorithm="http://www.w3.org/2001/04/xmlenc#sha256"/>
        <DigestValue>d+SmOOftKDhlFEhMrIuQ05p4LXNTgsZMRxpE0aCE++4=</DigestValue>
      </Reference>
      <Reference URI="/xl/worksheets/sheet2.xml?ContentType=application/vnd.openxmlformats-officedocument.spreadsheetml.worksheet+xml">
        <DigestMethod Algorithm="http://www.w3.org/2001/04/xmlenc#sha256"/>
        <DigestValue>7ehsi9887aGde+RunqSIFcLKNAS4kU87CvQlcQWbvEU=</DigestValue>
      </Reference>
      <Reference URI="/xl/worksheets/sheet20.xml?ContentType=application/vnd.openxmlformats-officedocument.spreadsheetml.worksheet+xml">
        <DigestMethod Algorithm="http://www.w3.org/2001/04/xmlenc#sha256"/>
        <DigestValue>miDT8kTXgLLOkcIdMzvbUi5kcqirWJSzYXxtkkgnrYs=</DigestValue>
      </Reference>
      <Reference URI="/xl/worksheets/sheet21.xml?ContentType=application/vnd.openxmlformats-officedocument.spreadsheetml.worksheet+xml">
        <DigestMethod Algorithm="http://www.w3.org/2001/04/xmlenc#sha256"/>
        <DigestValue>mETqIDKNZX1dnajHDGiQZ6VVj3SDF2A/e3m3TlRT7Po=</DigestValue>
      </Reference>
      <Reference URI="/xl/worksheets/sheet22.xml?ContentType=application/vnd.openxmlformats-officedocument.spreadsheetml.worksheet+xml">
        <DigestMethod Algorithm="http://www.w3.org/2001/04/xmlenc#sha256"/>
        <DigestValue>oQeuKwQsPD3kQsPSeG3EsvyWHmLZW9U2gs5y0b2xhOA=</DigestValue>
      </Reference>
      <Reference URI="/xl/worksheets/sheet23.xml?ContentType=application/vnd.openxmlformats-officedocument.spreadsheetml.worksheet+xml">
        <DigestMethod Algorithm="http://www.w3.org/2001/04/xmlenc#sha256"/>
        <DigestValue>TNAXGqksv+8koaqW0XD8+nKPCMccdHPX8x96ccRi2AA=</DigestValue>
      </Reference>
      <Reference URI="/xl/worksheets/sheet24.xml?ContentType=application/vnd.openxmlformats-officedocument.spreadsheetml.worksheet+xml">
        <DigestMethod Algorithm="http://www.w3.org/2001/04/xmlenc#sha256"/>
        <DigestValue>jhZrLW00Rw/EsyyMWw/yd/8XN9lqvwfWqraizxKNw7k=</DigestValue>
      </Reference>
      <Reference URI="/xl/worksheets/sheet25.xml?ContentType=application/vnd.openxmlformats-officedocument.spreadsheetml.worksheet+xml">
        <DigestMethod Algorithm="http://www.w3.org/2001/04/xmlenc#sha256"/>
        <DigestValue>aO2o4kWil328RH2EzIRbVAL7r8VANljHTGAvAChzEGs=</DigestValue>
      </Reference>
      <Reference URI="/xl/worksheets/sheet26.xml?ContentType=application/vnd.openxmlformats-officedocument.spreadsheetml.worksheet+xml">
        <DigestMethod Algorithm="http://www.w3.org/2001/04/xmlenc#sha256"/>
        <DigestValue>28svAlpbOYnYoACP713NqXgN9IlWbwBnTR/GXzGUPi0=</DigestValue>
      </Reference>
      <Reference URI="/xl/worksheets/sheet27.xml?ContentType=application/vnd.openxmlformats-officedocument.spreadsheetml.worksheet+xml">
        <DigestMethod Algorithm="http://www.w3.org/2001/04/xmlenc#sha256"/>
        <DigestValue>ZjoFwf+2h7MkAdI5iFoEbPECleWoz/iG927efrHO0WU=</DigestValue>
      </Reference>
      <Reference URI="/xl/worksheets/sheet28.xml?ContentType=application/vnd.openxmlformats-officedocument.spreadsheetml.worksheet+xml">
        <DigestMethod Algorithm="http://www.w3.org/2001/04/xmlenc#sha256"/>
        <DigestValue>xA8vgSqMM78xBZOEeiVqmIK5Gsgc2rapSxlwplCK9Wo=</DigestValue>
      </Reference>
      <Reference URI="/xl/worksheets/sheet29.xml?ContentType=application/vnd.openxmlformats-officedocument.spreadsheetml.worksheet+xml">
        <DigestMethod Algorithm="http://www.w3.org/2001/04/xmlenc#sha256"/>
        <DigestValue>1qx6883QTKJP0HF5fowtQ6H3anunyzzzBfW+Z3izNwo=</DigestValue>
      </Reference>
      <Reference URI="/xl/worksheets/sheet3.xml?ContentType=application/vnd.openxmlformats-officedocument.spreadsheetml.worksheet+xml">
        <DigestMethod Algorithm="http://www.w3.org/2001/04/xmlenc#sha256"/>
        <DigestValue>5AFsY16G3k5OmHLDu7YyhJXhvUWgFZyFGle7IB0oqRc=</DigestValue>
      </Reference>
      <Reference URI="/xl/worksheets/sheet4.xml?ContentType=application/vnd.openxmlformats-officedocument.spreadsheetml.worksheet+xml">
        <DigestMethod Algorithm="http://www.w3.org/2001/04/xmlenc#sha256"/>
        <DigestValue>Dp9bVMAxLdWSm4g7u/NEVfFGm9lCbZEGvye5tB4Vo1A=</DigestValue>
      </Reference>
      <Reference URI="/xl/worksheets/sheet5.xml?ContentType=application/vnd.openxmlformats-officedocument.spreadsheetml.worksheet+xml">
        <DigestMethod Algorithm="http://www.w3.org/2001/04/xmlenc#sha256"/>
        <DigestValue>Izn3g5ma6jJRCztm5fDecTmXLd/ecOcJ5ns1YWpULuU=</DigestValue>
      </Reference>
      <Reference URI="/xl/worksheets/sheet6.xml?ContentType=application/vnd.openxmlformats-officedocument.spreadsheetml.worksheet+xml">
        <DigestMethod Algorithm="http://www.w3.org/2001/04/xmlenc#sha256"/>
        <DigestValue>kWCbD5PTHPf59n3C55xJ7qEMv/1wTbps5HJoFhKzuDM=</DigestValue>
      </Reference>
      <Reference URI="/xl/worksheets/sheet7.xml?ContentType=application/vnd.openxmlformats-officedocument.spreadsheetml.worksheet+xml">
        <DigestMethod Algorithm="http://www.w3.org/2001/04/xmlenc#sha256"/>
        <DigestValue>ry6iurtClYkpm+KgJIdKx8H0drhUKo/JnHtMUAR4OJc=</DigestValue>
      </Reference>
      <Reference URI="/xl/worksheets/sheet8.xml?ContentType=application/vnd.openxmlformats-officedocument.spreadsheetml.worksheet+xml">
        <DigestMethod Algorithm="http://www.w3.org/2001/04/xmlenc#sha256"/>
        <DigestValue>uT4vASulatLkA7cuk5GOYEAGpaXx4PBgcYlRSmVVrdg=</DigestValue>
      </Reference>
      <Reference URI="/xl/worksheets/sheet9.xml?ContentType=application/vnd.openxmlformats-officedocument.spreadsheetml.worksheet+xml">
        <DigestMethod Algorithm="http://www.w3.org/2001/04/xmlenc#sha256"/>
        <DigestValue>ffhbqYN7y+jaqh5NwE6x5c5YM8lVz8+nEq6SF0wV9QI=</DigestValue>
      </Reference>
    </Manifest>
    <SignatureProperties>
      <SignatureProperty Id="idSignatureTime" Target="#idPackageSignature">
        <mdssi:SignatureTime xmlns:mdssi="http://schemas.openxmlformats.org/package/2006/digital-signature">
          <mdssi:Format>YYYY-MM-DDThh:mm:ssTZD</mdssi:Format>
          <mdssi:Value>2025-01-30T12:58:33Z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2025-01-30T12:58:33Z</xd:SigningTime>
          <xd:SigningCertificate>
            <xd:Cert>
              <xd:CertDigest>
                <DigestMethod Algorithm="http://www.w3.org/2001/04/xmlenc#sha256"/>
                <DigestValue>A/dFmHJqi23XirBd9ycHBnxQT+agsgNh0WNznCk9EJg=</DigestValue>
              </xd:CertDigest>
              <xd:IssuerSerial>
                <X509IssuerName>CN=NBG Class 2 INT Sub CA, DC=nbg, DC=ge</X509IssuerName>
                <X509SerialNumber>179503865680321442891099</X509SerialNumber>
              </xd:IssuerSerial>
            </xd:Cert>
          </xd:SigningCertificate>
          <xd:SignaturePolicyIdentifier>
            <xd:SignaturePolicyImplied/>
          </xd:SignaturePolicyIdentifier>
        </xd:SignedSignature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2025-01-30T12:56:17Z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