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worksheets/sheet30.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worksheets/sheet15.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docProps/custom.xml" ContentType="application/vnd.openxmlformats-officedocument.custom-properties+xml"/>
  <Override PartName="/xl/externalLinks/externalLink3.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765" tabRatio="86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G17" i="94" l="1"/>
  <c r="F17" i="94"/>
  <c r="R13" i="104" l="1"/>
  <c r="R19" i="104" s="1"/>
  <c r="Q13" i="104"/>
  <c r="Q19" i="104" s="1"/>
  <c r="P13" i="104"/>
  <c r="P19" i="104" s="1"/>
  <c r="O13" i="104"/>
  <c r="O19" i="104" s="1"/>
  <c r="N13" i="104"/>
  <c r="N19" i="104" s="1"/>
  <c r="M13" i="104"/>
  <c r="M19" i="104" s="1"/>
  <c r="L13" i="104"/>
  <c r="L19" i="104" s="1"/>
  <c r="K13" i="104"/>
  <c r="K19" i="104" s="1"/>
  <c r="J13" i="104"/>
  <c r="J19" i="104" s="1"/>
  <c r="I13" i="104"/>
  <c r="I19" i="104" s="1"/>
  <c r="H13" i="104"/>
  <c r="H19" i="104" s="1"/>
  <c r="G13" i="104"/>
  <c r="G19" i="104" s="1"/>
  <c r="F13" i="104"/>
  <c r="F19" i="104" s="1"/>
  <c r="E13" i="104"/>
  <c r="E19" i="104" s="1"/>
  <c r="D13" i="104"/>
  <c r="D19" i="104" s="1"/>
  <c r="C13" i="104"/>
  <c r="C19" i="104" s="1"/>
  <c r="S22" i="100"/>
  <c r="R22" i="100"/>
  <c r="Q22" i="100"/>
  <c r="P22" i="100"/>
  <c r="O22" i="100"/>
  <c r="N22" i="100"/>
  <c r="M22" i="100"/>
  <c r="L22" i="100"/>
  <c r="K22" i="100"/>
  <c r="J22" i="100"/>
  <c r="I22" i="100"/>
  <c r="H22" i="100"/>
  <c r="G22" i="100"/>
  <c r="F22" i="100"/>
  <c r="E22" i="100"/>
  <c r="D22" i="100"/>
  <c r="C22" i="100"/>
  <c r="S15" i="100"/>
  <c r="R15" i="100"/>
  <c r="Q15" i="100"/>
  <c r="P15" i="100"/>
  <c r="O15" i="100"/>
  <c r="N15" i="100"/>
  <c r="M15" i="100"/>
  <c r="L15" i="100"/>
  <c r="K15" i="100"/>
  <c r="J15" i="100"/>
  <c r="I15" i="100"/>
  <c r="H15" i="100"/>
  <c r="G15" i="100"/>
  <c r="F15" i="100"/>
  <c r="E15" i="100"/>
  <c r="D15" i="100"/>
  <c r="C15" i="100"/>
  <c r="S8" i="100"/>
  <c r="R8" i="100"/>
  <c r="Q8" i="100"/>
  <c r="P8" i="100"/>
  <c r="O8" i="100"/>
  <c r="N8" i="100"/>
  <c r="M8" i="100"/>
  <c r="L8" i="100"/>
  <c r="K8" i="100"/>
  <c r="J8" i="100"/>
  <c r="I8" i="100"/>
  <c r="H8" i="100"/>
  <c r="G8" i="100"/>
  <c r="F8" i="100"/>
  <c r="E8" i="100"/>
  <c r="D8" i="100"/>
  <c r="C8" i="100"/>
  <c r="C8" i="94" l="1"/>
  <c r="B2" i="104" l="1"/>
  <c r="B1" i="104"/>
  <c r="B2" i="103"/>
  <c r="B1" i="103"/>
  <c r="L33" i="102"/>
  <c r="K33" i="102"/>
  <c r="J33" i="102"/>
  <c r="I33" i="102"/>
  <c r="H33" i="102"/>
  <c r="G33" i="102"/>
  <c r="F33" i="102"/>
  <c r="E33" i="102"/>
  <c r="D33" i="102"/>
  <c r="C33" i="102"/>
  <c r="B2" i="102"/>
  <c r="B1" i="102"/>
  <c r="B2" i="101"/>
  <c r="B1" i="101"/>
  <c r="B2" i="100"/>
  <c r="B1" i="100"/>
  <c r="C10" i="99"/>
  <c r="C18" i="99" s="1"/>
  <c r="B2" i="99"/>
  <c r="B1" i="99"/>
  <c r="D10" i="98"/>
  <c r="C10" i="98"/>
  <c r="D7" i="98"/>
  <c r="C7" i="98"/>
  <c r="B2" i="98"/>
  <c r="B1" i="98"/>
  <c r="G34" i="97"/>
  <c r="F34" i="97"/>
  <c r="E34" i="97"/>
  <c r="D34" i="97"/>
  <c r="C34" i="97"/>
  <c r="H33" i="97"/>
  <c r="H32" i="97"/>
  <c r="H31" i="97"/>
  <c r="H30" i="97"/>
  <c r="H29" i="97"/>
  <c r="H28" i="97"/>
  <c r="H27" i="97"/>
  <c r="H26" i="97"/>
  <c r="H25" i="97"/>
  <c r="H24" i="97"/>
  <c r="H23" i="97"/>
  <c r="H22" i="97"/>
  <c r="H21" i="97"/>
  <c r="H20" i="97"/>
  <c r="H19" i="97"/>
  <c r="H18" i="97"/>
  <c r="H17" i="97"/>
  <c r="H16" i="97"/>
  <c r="H15" i="97"/>
  <c r="H14" i="97"/>
  <c r="H13" i="97"/>
  <c r="H12" i="97"/>
  <c r="H11" i="97"/>
  <c r="H10" i="97"/>
  <c r="H9" i="97"/>
  <c r="H8" i="97"/>
  <c r="H7" i="97"/>
  <c r="B2" i="97"/>
  <c r="B1" i="97"/>
  <c r="B2" i="96"/>
  <c r="B1" i="96"/>
  <c r="B2" i="95"/>
  <c r="B1" i="95"/>
  <c r="B2" i="80"/>
  <c r="B1" i="80"/>
  <c r="B2" i="79"/>
  <c r="B1" i="79"/>
  <c r="B2" i="37"/>
  <c r="B1" i="37"/>
  <c r="J23" i="36"/>
  <c r="I23" i="36"/>
  <c r="G23" i="36"/>
  <c r="F23" i="36"/>
  <c r="J21" i="36"/>
  <c r="I21" i="36"/>
  <c r="G21" i="36"/>
  <c r="F21" i="36"/>
  <c r="D21" i="36"/>
  <c r="C21" i="36"/>
  <c r="K20" i="36"/>
  <c r="H20" i="36"/>
  <c r="E20" i="36"/>
  <c r="K19" i="36"/>
  <c r="H19" i="36"/>
  <c r="E19" i="36"/>
  <c r="K18" i="36"/>
  <c r="H18" i="36"/>
  <c r="E18" i="36"/>
  <c r="J16" i="36"/>
  <c r="I16" i="36"/>
  <c r="G16" i="36"/>
  <c r="F16" i="36"/>
  <c r="D16" i="36"/>
  <c r="C16" i="36"/>
  <c r="E16" i="36" s="1"/>
  <c r="K15" i="36"/>
  <c r="H15" i="36"/>
  <c r="E15" i="36"/>
  <c r="K14" i="36"/>
  <c r="H14" i="36"/>
  <c r="E14" i="36"/>
  <c r="K13" i="36"/>
  <c r="H13" i="36"/>
  <c r="E13" i="36"/>
  <c r="K12" i="36"/>
  <c r="H12" i="36"/>
  <c r="E12" i="36"/>
  <c r="K11" i="36"/>
  <c r="H11" i="36"/>
  <c r="E11" i="36"/>
  <c r="K10" i="36"/>
  <c r="H10" i="36"/>
  <c r="E10" i="36"/>
  <c r="K8" i="36"/>
  <c r="H8" i="36"/>
  <c r="B2" i="36"/>
  <c r="B1" i="36"/>
  <c r="E9" i="74"/>
  <c r="E10" i="74"/>
  <c r="E11" i="74"/>
  <c r="E12" i="74"/>
  <c r="E13" i="74"/>
  <c r="E14" i="74"/>
  <c r="E15" i="74"/>
  <c r="E16" i="74"/>
  <c r="E17" i="74"/>
  <c r="E18" i="74"/>
  <c r="E19" i="74"/>
  <c r="E20" i="74"/>
  <c r="E21" i="74"/>
  <c r="E8" i="74"/>
  <c r="C9" i="74"/>
  <c r="D9" i="74"/>
  <c r="C10" i="74"/>
  <c r="D10" i="74"/>
  <c r="C11" i="74"/>
  <c r="D11" i="74"/>
  <c r="C12" i="74"/>
  <c r="D12" i="74"/>
  <c r="C13" i="74"/>
  <c r="D13" i="74"/>
  <c r="C14" i="74"/>
  <c r="D14" i="74"/>
  <c r="C15" i="74"/>
  <c r="D15" i="74"/>
  <c r="C16" i="74"/>
  <c r="D16" i="74"/>
  <c r="C17" i="74"/>
  <c r="D17" i="74"/>
  <c r="C18" i="74"/>
  <c r="D18" i="74"/>
  <c r="C19" i="74"/>
  <c r="D19" i="74"/>
  <c r="C20" i="74"/>
  <c r="D20" i="74"/>
  <c r="C21" i="74"/>
  <c r="D21" i="74"/>
  <c r="D8" i="74"/>
  <c r="C8" i="74"/>
  <c r="B2" i="74"/>
  <c r="B1" i="74"/>
  <c r="B2" i="64"/>
  <c r="B1" i="64"/>
  <c r="B2" i="35"/>
  <c r="B1" i="35"/>
  <c r="C65" i="69"/>
  <c r="C64" i="69"/>
  <c r="C63" i="69"/>
  <c r="C61" i="69"/>
  <c r="C60" i="69"/>
  <c r="C59" i="69"/>
  <c r="C57" i="69"/>
  <c r="C56" i="69"/>
  <c r="C55" i="69"/>
  <c r="C54" i="69"/>
  <c r="C51" i="69"/>
  <c r="C49" i="69"/>
  <c r="C48" i="69"/>
  <c r="C39" i="69"/>
  <c r="C38" i="69"/>
  <c r="C37" i="69" s="1"/>
  <c r="C34" i="69"/>
  <c r="C31" i="69"/>
  <c r="C27" i="69"/>
  <c r="C25" i="69"/>
  <c r="C22" i="69"/>
  <c r="C21" i="69"/>
  <c r="C17" i="69"/>
  <c r="C15" i="69"/>
  <c r="C13" i="69"/>
  <c r="C12" i="69"/>
  <c r="C10" i="69"/>
  <c r="C11" i="69"/>
  <c r="C62" i="69"/>
  <c r="C58" i="69"/>
  <c r="B2" i="69"/>
  <c r="B1" i="69"/>
  <c r="B2" i="77"/>
  <c r="B1" i="77"/>
  <c r="C7" i="28"/>
  <c r="B2" i="28"/>
  <c r="B1" i="28"/>
  <c r="B2" i="73"/>
  <c r="B1" i="73"/>
  <c r="C36" i="72"/>
  <c r="C33" i="72"/>
  <c r="C29" i="72"/>
  <c r="C27" i="72"/>
  <c r="C24" i="72"/>
  <c r="C23" i="72"/>
  <c r="C19" i="72"/>
  <c r="C17" i="72"/>
  <c r="C15" i="72"/>
  <c r="C14" i="72"/>
  <c r="C13" i="72"/>
  <c r="C12" i="72"/>
  <c r="E36" i="72"/>
  <c r="E33" i="72"/>
  <c r="D31" i="72"/>
  <c r="E27" i="72"/>
  <c r="D25" i="72"/>
  <c r="E24" i="72"/>
  <c r="E23" i="72"/>
  <c r="D20" i="72"/>
  <c r="E19" i="72"/>
  <c r="D16" i="72"/>
  <c r="E15" i="72"/>
  <c r="E14" i="72"/>
  <c r="E13" i="72"/>
  <c r="E12" i="72"/>
  <c r="D8" i="72"/>
  <c r="B2" i="72"/>
  <c r="B1" i="72"/>
  <c r="B2" i="52"/>
  <c r="B1" i="52"/>
  <c r="B2" i="71"/>
  <c r="B1" i="71"/>
  <c r="B2" i="94"/>
  <c r="B1" i="94"/>
  <c r="B2" i="93"/>
  <c r="B1" i="93"/>
  <c r="D15" i="92"/>
  <c r="C15" i="92"/>
  <c r="B2" i="92"/>
  <c r="B1" i="92"/>
  <c r="K21" i="36" l="1"/>
  <c r="G24" i="36"/>
  <c r="G25" i="36" s="1"/>
  <c r="H34" i="97"/>
  <c r="D15" i="98"/>
  <c r="J24" i="36"/>
  <c r="J25" i="36" s="1"/>
  <c r="K16" i="36"/>
  <c r="F24" i="36"/>
  <c r="F25" i="36" s="1"/>
  <c r="E21" i="36"/>
  <c r="C22" i="74"/>
  <c r="C15" i="98"/>
  <c r="I24" i="36"/>
  <c r="I25" i="36" s="1"/>
  <c r="H21" i="36"/>
  <c r="H23" i="36"/>
  <c r="H16" i="36"/>
  <c r="K23" i="36"/>
  <c r="E17" i="72"/>
  <c r="D29" i="72"/>
  <c r="H24" i="36" l="1"/>
  <c r="H25" i="36" s="1"/>
  <c r="K24" i="36"/>
  <c r="K25" i="36" s="1"/>
  <c r="E29" i="72"/>
  <c r="C22" i="95" l="1"/>
  <c r="H21" i="95"/>
  <c r="H7" i="96" l="1"/>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H22" i="95" l="1"/>
  <c r="H21" i="96"/>
  <c r="H43" i="94" l="1"/>
  <c r="E43" i="94"/>
  <c r="H42" i="94"/>
  <c r="E42" i="94"/>
  <c r="H41" i="94"/>
  <c r="E41" i="94"/>
  <c r="H40" i="94"/>
  <c r="E40" i="94"/>
  <c r="H39" i="94"/>
  <c r="E39" i="94"/>
  <c r="G38" i="94"/>
  <c r="F38" i="94"/>
  <c r="D38" i="94"/>
  <c r="C38" i="94"/>
  <c r="E38" i="94" s="1"/>
  <c r="H37" i="94"/>
  <c r="E37" i="94"/>
  <c r="H36" i="94"/>
  <c r="E36" i="94"/>
  <c r="H35" i="94"/>
  <c r="E35" i="94"/>
  <c r="H34" i="94"/>
  <c r="E34" i="94"/>
  <c r="H33" i="94"/>
  <c r="E33" i="94"/>
  <c r="H32" i="94"/>
  <c r="E32" i="94"/>
  <c r="H31" i="94"/>
  <c r="E31" i="94"/>
  <c r="G30" i="94"/>
  <c r="F30" i="94"/>
  <c r="H30" i="94" s="1"/>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G14" i="94"/>
  <c r="F14" i="94"/>
  <c r="H13" i="94"/>
  <c r="E13" i="94"/>
  <c r="H12" i="94"/>
  <c r="E12" i="94"/>
  <c r="G11" i="94"/>
  <c r="F11" i="94"/>
  <c r="D11" i="94"/>
  <c r="C11" i="94"/>
  <c r="H10" i="94"/>
  <c r="E10" i="94"/>
  <c r="H9" i="94"/>
  <c r="E9" i="94"/>
  <c r="G8" i="94"/>
  <c r="F8" i="94"/>
  <c r="D8" i="94"/>
  <c r="H7" i="94"/>
  <c r="E7" i="94"/>
  <c r="H6" i="94"/>
  <c r="E6" i="94"/>
  <c r="H44" i="93"/>
  <c r="E44" i="93"/>
  <c r="H42" i="93"/>
  <c r="E42" i="93"/>
  <c r="H41" i="93"/>
  <c r="E41" i="93"/>
  <c r="H40" i="93"/>
  <c r="E40" i="93"/>
  <c r="H39" i="93"/>
  <c r="E39" i="93"/>
  <c r="H38" i="93"/>
  <c r="E38" i="93"/>
  <c r="G37" i="93"/>
  <c r="F37" i="93"/>
  <c r="H37" i="93" s="1"/>
  <c r="D37" i="93"/>
  <c r="C37" i="93"/>
  <c r="E37" i="93" s="1"/>
  <c r="H36" i="93"/>
  <c r="E36" i="93"/>
  <c r="H35" i="93"/>
  <c r="E35" i="93"/>
  <c r="G34" i="93"/>
  <c r="F34" i="93"/>
  <c r="H34" i="93" s="1"/>
  <c r="D34" i="93"/>
  <c r="C34" i="93"/>
  <c r="E34" i="93" s="1"/>
  <c r="H33" i="93"/>
  <c r="E33" i="93"/>
  <c r="H32" i="93"/>
  <c r="E32" i="93"/>
  <c r="H31" i="93"/>
  <c r="E31" i="93"/>
  <c r="H30" i="93"/>
  <c r="E30" i="93"/>
  <c r="G29" i="93"/>
  <c r="F29" i="93"/>
  <c r="H29" i="93" s="1"/>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H13" i="93" s="1"/>
  <c r="D13" i="93"/>
  <c r="C13" i="93"/>
  <c r="H12" i="93"/>
  <c r="E12" i="93"/>
  <c r="H11" i="93"/>
  <c r="E11" i="93"/>
  <c r="H10" i="93"/>
  <c r="E10" i="93"/>
  <c r="H9" i="93"/>
  <c r="E9" i="93"/>
  <c r="H8" i="93"/>
  <c r="E8" i="93"/>
  <c r="H7" i="93"/>
  <c r="E7" i="93"/>
  <c r="G6" i="93"/>
  <c r="G43" i="93" s="1"/>
  <c r="G45" i="93" s="1"/>
  <c r="F6" i="93"/>
  <c r="F43" i="93" s="1"/>
  <c r="F45" i="93" s="1"/>
  <c r="D6" i="93"/>
  <c r="C6" i="93"/>
  <c r="G68" i="92"/>
  <c r="F68" i="92"/>
  <c r="H67" i="92"/>
  <c r="E67" i="92"/>
  <c r="H66" i="92"/>
  <c r="E66" i="92"/>
  <c r="H65" i="92"/>
  <c r="E65" i="92"/>
  <c r="H64" i="92"/>
  <c r="E64" i="92"/>
  <c r="H63" i="92"/>
  <c r="D63" i="92"/>
  <c r="C63" i="92"/>
  <c r="E63" i="92" s="1"/>
  <c r="H62" i="92"/>
  <c r="E62" i="92"/>
  <c r="H61" i="92"/>
  <c r="E61" i="92"/>
  <c r="H60" i="92"/>
  <c r="E60" i="92"/>
  <c r="H59" i="92"/>
  <c r="E59" i="92"/>
  <c r="D59" i="92"/>
  <c r="D68" i="92" s="1"/>
  <c r="C59" i="92"/>
  <c r="C68" i="92" s="1"/>
  <c r="E68" i="92" s="1"/>
  <c r="H58" i="92"/>
  <c r="E58" i="92"/>
  <c r="H57" i="92"/>
  <c r="E57" i="92"/>
  <c r="H56" i="92"/>
  <c r="E56" i="92"/>
  <c r="H55" i="92"/>
  <c r="E55" i="92"/>
  <c r="H52" i="92"/>
  <c r="E52" i="92"/>
  <c r="H51" i="92"/>
  <c r="E51" i="92"/>
  <c r="C50" i="69" s="1"/>
  <c r="H50" i="92"/>
  <c r="E50" i="92"/>
  <c r="H49" i="92"/>
  <c r="E49" i="92"/>
  <c r="H48" i="92"/>
  <c r="E48" i="92"/>
  <c r="C47" i="69" s="1"/>
  <c r="C46" i="69" s="1"/>
  <c r="G47" i="92"/>
  <c r="F47" i="92"/>
  <c r="H47" i="92" s="1"/>
  <c r="D47" i="92"/>
  <c r="C47" i="92"/>
  <c r="E47" i="92" s="1"/>
  <c r="H46" i="92"/>
  <c r="E46" i="92"/>
  <c r="H45" i="92"/>
  <c r="E45" i="92"/>
  <c r="C44" i="69" s="1"/>
  <c r="H44" i="92"/>
  <c r="E44" i="92"/>
  <c r="C43" i="69" s="1"/>
  <c r="H43" i="92"/>
  <c r="E43" i="92"/>
  <c r="C42" i="69" s="1"/>
  <c r="H42" i="92"/>
  <c r="E42" i="92"/>
  <c r="C41" i="69" s="1"/>
  <c r="G41" i="92"/>
  <c r="G53" i="92" s="1"/>
  <c r="G69" i="92" s="1"/>
  <c r="F41" i="92"/>
  <c r="D41" i="92"/>
  <c r="D53" i="92" s="1"/>
  <c r="C41" i="92"/>
  <c r="H40" i="92"/>
  <c r="E40" i="92"/>
  <c r="H39" i="92"/>
  <c r="E39" i="92"/>
  <c r="H38" i="92"/>
  <c r="E38" i="92"/>
  <c r="H35" i="92"/>
  <c r="E35" i="92"/>
  <c r="H34" i="92"/>
  <c r="E34" i="92"/>
  <c r="C35" i="72" s="1"/>
  <c r="H33" i="92"/>
  <c r="E33" i="92"/>
  <c r="C34" i="72" s="1"/>
  <c r="H32" i="92"/>
  <c r="E32" i="92"/>
  <c r="H31" i="92"/>
  <c r="E31" i="92"/>
  <c r="C32" i="72" s="1"/>
  <c r="G30" i="92"/>
  <c r="F30" i="92"/>
  <c r="D30" i="92"/>
  <c r="C30" i="92"/>
  <c r="E30" i="92" s="1"/>
  <c r="H29" i="92"/>
  <c r="E29" i="92"/>
  <c r="C30" i="72" s="1"/>
  <c r="H28" i="92"/>
  <c r="E28" i="92"/>
  <c r="G27" i="92"/>
  <c r="F27" i="92"/>
  <c r="H27" i="92" s="1"/>
  <c r="D27" i="92"/>
  <c r="C27" i="92"/>
  <c r="E27" i="92" s="1"/>
  <c r="C15" i="28" s="1"/>
  <c r="H26" i="92"/>
  <c r="E26" i="92"/>
  <c r="H25" i="92"/>
  <c r="E25" i="92"/>
  <c r="C26" i="72" s="1"/>
  <c r="G24" i="92"/>
  <c r="F24" i="92"/>
  <c r="D24" i="92"/>
  <c r="C24" i="92"/>
  <c r="E24" i="92" s="1"/>
  <c r="H23" i="92"/>
  <c r="E23" i="92"/>
  <c r="H22" i="92"/>
  <c r="E22" i="92"/>
  <c r="H21" i="92"/>
  <c r="E21" i="92"/>
  <c r="C22" i="72" s="1"/>
  <c r="H20" i="92"/>
  <c r="E20" i="92"/>
  <c r="C21" i="72" s="1"/>
  <c r="G19" i="92"/>
  <c r="F19" i="92"/>
  <c r="D19" i="92"/>
  <c r="C19" i="92"/>
  <c r="H18" i="92"/>
  <c r="E18" i="92"/>
  <c r="H17" i="92"/>
  <c r="E17" i="92"/>
  <c r="C18" i="72" s="1"/>
  <c r="H16" i="92"/>
  <c r="E16" i="92"/>
  <c r="G15" i="92"/>
  <c r="F15" i="92"/>
  <c r="E15" i="92"/>
  <c r="H14" i="92"/>
  <c r="E14" i="92"/>
  <c r="H13" i="92"/>
  <c r="E13" i="92"/>
  <c r="H12" i="92"/>
  <c r="E12" i="92"/>
  <c r="H11" i="92"/>
  <c r="E11" i="92"/>
  <c r="H10" i="92"/>
  <c r="E10" i="92"/>
  <c r="C11" i="72" s="1"/>
  <c r="H9" i="92"/>
  <c r="E9" i="92"/>
  <c r="C10" i="72" s="1"/>
  <c r="H8" i="92"/>
  <c r="E8" i="92"/>
  <c r="C9" i="72" s="1"/>
  <c r="G7" i="92"/>
  <c r="H7" i="92" s="1"/>
  <c r="F7" i="92"/>
  <c r="D7" i="92"/>
  <c r="C7" i="92"/>
  <c r="H19" i="92" l="1"/>
  <c r="G36" i="92"/>
  <c r="H41" i="92"/>
  <c r="H30" i="92"/>
  <c r="H15" i="92"/>
  <c r="F36" i="92"/>
  <c r="H36" i="92" s="1"/>
  <c r="C45" i="69"/>
  <c r="C6" i="73"/>
  <c r="C43" i="93"/>
  <c r="C45" i="93" s="1"/>
  <c r="E13" i="93"/>
  <c r="C36" i="92"/>
  <c r="D36" i="92"/>
  <c r="C19" i="69"/>
  <c r="E21" i="72"/>
  <c r="E29" i="93"/>
  <c r="C11" i="28"/>
  <c r="C66" i="69"/>
  <c r="C67" i="69" s="1"/>
  <c r="C40" i="69"/>
  <c r="E34" i="72"/>
  <c r="C32" i="69"/>
  <c r="E35" i="72"/>
  <c r="C33" i="69"/>
  <c r="E32" i="72"/>
  <c r="E31" i="72" s="1"/>
  <c r="C30" i="69"/>
  <c r="C29" i="69" s="1"/>
  <c r="C31" i="72"/>
  <c r="C28" i="69"/>
  <c r="C26" i="69" s="1"/>
  <c r="D30" i="72"/>
  <c r="C28" i="72"/>
  <c r="E26" i="72"/>
  <c r="E25" i="72" s="1"/>
  <c r="C24" i="69"/>
  <c r="C23" i="69" s="1"/>
  <c r="C25" i="72"/>
  <c r="C20" i="72"/>
  <c r="E22" i="72"/>
  <c r="C20" i="69"/>
  <c r="E19" i="92"/>
  <c r="E18" i="72"/>
  <c r="E16" i="72" s="1"/>
  <c r="C16" i="69"/>
  <c r="C14" i="69" s="1"/>
  <c r="C16" i="72"/>
  <c r="E10" i="72"/>
  <c r="C8" i="69"/>
  <c r="C9" i="69"/>
  <c r="E11" i="72"/>
  <c r="E9" i="72"/>
  <c r="C7" i="69"/>
  <c r="C8" i="72"/>
  <c r="E6" i="93"/>
  <c r="E41" i="92"/>
  <c r="H8" i="94"/>
  <c r="E8" i="94"/>
  <c r="E14" i="94"/>
  <c r="H38" i="94"/>
  <c r="E30" i="94"/>
  <c r="E11" i="94"/>
  <c r="E17" i="94"/>
  <c r="H11" i="94"/>
  <c r="H14" i="94"/>
  <c r="H43" i="93"/>
  <c r="H45" i="93"/>
  <c r="H6" i="93"/>
  <c r="D43" i="93"/>
  <c r="D45" i="93" s="1"/>
  <c r="D69" i="92"/>
  <c r="C53" i="92"/>
  <c r="H68" i="92"/>
  <c r="F53" i="92"/>
  <c r="E7" i="92"/>
  <c r="H24" i="92"/>
  <c r="C52" i="69" l="1"/>
  <c r="C68" i="69" s="1"/>
  <c r="H53" i="92"/>
  <c r="F69" i="92"/>
  <c r="H69" i="92" s="1"/>
  <c r="C18" i="69"/>
  <c r="E20" i="72"/>
  <c r="E8" i="72"/>
  <c r="E36" i="92"/>
  <c r="C6" i="69"/>
  <c r="E30" i="72"/>
  <c r="E28" i="72" s="1"/>
  <c r="D28" i="72"/>
  <c r="D37" i="72" s="1"/>
  <c r="C37" i="72"/>
  <c r="E45" i="93"/>
  <c r="E43" i="93"/>
  <c r="C69" i="92"/>
  <c r="E69" i="92" s="1"/>
  <c r="E53" i="92"/>
  <c r="E37" i="72" l="1"/>
  <c r="C35" i="69"/>
  <c r="G33" i="80"/>
  <c r="F33" i="80"/>
  <c r="E33" i="80"/>
  <c r="D33" i="80"/>
  <c r="C33" i="80"/>
  <c r="G24" i="80"/>
  <c r="G37" i="80" s="1"/>
  <c r="F24" i="80"/>
  <c r="E24" i="80"/>
  <c r="D24" i="80"/>
  <c r="C24" i="80"/>
  <c r="G18" i="80"/>
  <c r="F18" i="80"/>
  <c r="E18" i="80"/>
  <c r="D18" i="80"/>
  <c r="C18" i="80"/>
  <c r="G14" i="80"/>
  <c r="F14" i="80"/>
  <c r="E14" i="80"/>
  <c r="D14" i="80"/>
  <c r="C14" i="80"/>
  <c r="G11" i="80"/>
  <c r="F11" i="80"/>
  <c r="E11" i="80"/>
  <c r="D11" i="80"/>
  <c r="C11" i="80"/>
  <c r="G8" i="80"/>
  <c r="F8" i="80"/>
  <c r="E8" i="80"/>
  <c r="D8" i="80"/>
  <c r="C8" i="80"/>
  <c r="G21" i="80" l="1"/>
  <c r="G39" i="80" s="1"/>
  <c r="G6" i="71"/>
  <c r="G13" i="71" s="1"/>
  <c r="F6" i="71"/>
  <c r="F13" i="71" s="1"/>
  <c r="E6" i="71"/>
  <c r="E13" i="71" s="1"/>
  <c r="D6" i="71"/>
  <c r="D13" i="71" s="1"/>
  <c r="C6" i="71"/>
  <c r="C13" i="71" s="1"/>
  <c r="C12" i="79" l="1"/>
  <c r="C35" i="79"/>
  <c r="C21" i="77" l="1"/>
  <c r="D16" i="77"/>
  <c r="D17" i="77"/>
  <c r="D15" i="77"/>
  <c r="D12" i="77"/>
  <c r="D13" i="77"/>
  <c r="D11" i="77"/>
  <c r="D8" i="77"/>
  <c r="D9" i="77"/>
  <c r="D7" i="77"/>
  <c r="C20" i="77"/>
  <c r="C19" i="77"/>
  <c r="D21" i="77" l="1"/>
  <c r="D19" i="77"/>
  <c r="D20" i="77"/>
  <c r="C30" i="79"/>
  <c r="C26" i="79"/>
  <c r="C18" i="79"/>
  <c r="C8" i="79"/>
  <c r="C36" i="79" l="1"/>
  <c r="C38" i="79" s="1"/>
  <c r="E8" i="37"/>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C5" i="73" l="1"/>
  <c r="S21" i="35" l="1"/>
  <c r="F21" i="74" s="1"/>
  <c r="S20" i="35"/>
  <c r="F20" i="74" s="1"/>
  <c r="S19" i="35"/>
  <c r="F19" i="74" s="1"/>
  <c r="S18" i="35"/>
  <c r="F18" i="74" s="1"/>
  <c r="S17" i="35"/>
  <c r="F17" i="74" s="1"/>
  <c r="S16" i="35"/>
  <c r="F16" i="74" s="1"/>
  <c r="S15" i="35"/>
  <c r="F15" i="74" s="1"/>
  <c r="S14" i="35"/>
  <c r="F14" i="74" s="1"/>
  <c r="S13" i="35"/>
  <c r="F13" i="74" s="1"/>
  <c r="S12" i="35"/>
  <c r="F12" i="74" s="1"/>
  <c r="S11" i="35"/>
  <c r="F11" i="74" s="1"/>
  <c r="S10" i="35"/>
  <c r="F10" i="74" s="1"/>
  <c r="S9" i="35"/>
  <c r="F9" i="74" s="1"/>
  <c r="S8" i="35"/>
  <c r="F8" i="74" s="1"/>
  <c r="S22" i="35" l="1"/>
  <c r="D22" i="35" l="1"/>
  <c r="E22" i="35"/>
  <c r="F22" i="35"/>
  <c r="G22" i="35"/>
  <c r="H22" i="35"/>
  <c r="I22" i="35"/>
  <c r="J22" i="35"/>
  <c r="K22" i="35"/>
  <c r="L22" i="35"/>
  <c r="M22" i="35"/>
  <c r="N22" i="35"/>
  <c r="O22" i="35"/>
  <c r="P22" i="35"/>
  <c r="Q22" i="35"/>
  <c r="R22" i="35"/>
  <c r="C22" i="35"/>
  <c r="F22" i="74" l="1"/>
  <c r="V7" i="64" l="1"/>
  <c r="G8" i="74" s="1"/>
  <c r="H8" i="74" l="1"/>
  <c r="T21" i="64"/>
  <c r="U21" i="64"/>
  <c r="V9" i="64"/>
  <c r="G10" i="74" s="1"/>
  <c r="H10" i="74" s="1"/>
  <c r="D22" i="74" l="1"/>
  <c r="E22" i="74"/>
  <c r="C8" i="73" l="1"/>
  <c r="C13" i="73" s="1"/>
  <c r="C44" i="28"/>
  <c r="C32" i="28" l="1"/>
  <c r="C31" i="28" s="1"/>
  <c r="C21" i="64" l="1"/>
  <c r="D21" i="64"/>
  <c r="E21" i="64"/>
  <c r="F21" i="64"/>
  <c r="G21" i="64"/>
  <c r="H21" i="64"/>
  <c r="I21" i="64"/>
  <c r="J21" i="64"/>
  <c r="K21" i="64"/>
  <c r="L21" i="64"/>
  <c r="M21" i="64"/>
  <c r="N21" i="64"/>
  <c r="O21" i="64"/>
  <c r="P21" i="64"/>
  <c r="Q21" i="64"/>
  <c r="R21" i="64"/>
  <c r="S21" i="64"/>
  <c r="V8" i="64" l="1"/>
  <c r="G9" i="74" s="1"/>
  <c r="V10" i="64"/>
  <c r="G11" i="74" s="1"/>
  <c r="H11" i="74" s="1"/>
  <c r="V11" i="64"/>
  <c r="G12" i="74" s="1"/>
  <c r="H12" i="74" s="1"/>
  <c r="V12" i="64"/>
  <c r="G13" i="74" s="1"/>
  <c r="H13" i="74" s="1"/>
  <c r="V13" i="64"/>
  <c r="G14" i="74" s="1"/>
  <c r="H14" i="74" s="1"/>
  <c r="V14" i="64"/>
  <c r="G15" i="74" s="1"/>
  <c r="H15" i="74" s="1"/>
  <c r="V15" i="64"/>
  <c r="G16" i="74" s="1"/>
  <c r="H16" i="74" s="1"/>
  <c r="V16" i="64"/>
  <c r="G17" i="74" s="1"/>
  <c r="H17" i="74" s="1"/>
  <c r="V17" i="64"/>
  <c r="G18" i="74" s="1"/>
  <c r="H18" i="74" s="1"/>
  <c r="V18" i="64"/>
  <c r="G19" i="74" s="1"/>
  <c r="H19" i="74" s="1"/>
  <c r="V19" i="64"/>
  <c r="G20" i="74" s="1"/>
  <c r="H20" i="74" s="1"/>
  <c r="V20" i="64"/>
  <c r="G21" i="74" s="1"/>
  <c r="H21" i="74" s="1"/>
  <c r="H9" i="74" l="1"/>
  <c r="G22" i="74"/>
  <c r="H22" i="74" s="1"/>
  <c r="V21" i="64"/>
  <c r="C48" i="28" l="1"/>
  <c r="C53" i="28" s="1"/>
  <c r="C36" i="28"/>
  <c r="C42" i="28" s="1"/>
  <c r="C12" i="28"/>
  <c r="C6" i="28" l="1"/>
  <c r="C29" i="28" s="1"/>
  <c r="C5" i="6" l="1"/>
  <c r="F5" i="6"/>
  <c r="G5" i="71"/>
  <c r="E5" i="6"/>
  <c r="D5" i="6"/>
  <c r="G5" i="6"/>
  <c r="C5" i="71" l="1"/>
  <c r="E5" i="71"/>
  <c r="F5" i="71"/>
  <c r="D5" i="71"/>
</calcChain>
</file>

<file path=xl/sharedStrings.xml><?xml version="1.0" encoding="utf-8"?>
<sst xmlns="http://schemas.openxmlformats.org/spreadsheetml/2006/main" count="1580" uniqueCount="979">
  <si>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</si>
  <si>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</si>
  <si>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</si>
  <si>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</si>
  <si>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</si>
  <si>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</si>
  <si>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</si>
  <si>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</si>
  <si>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</si>
  <si>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</si>
  <si>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</si>
  <si>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</si>
  <si>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</si>
  <si>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</si>
  <si>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</si>
  <si>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</si>
  <si>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</si>
  <si>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</si>
  <si>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</si>
  <si>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</si>
  <si>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</si>
  <si>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</si>
  <si>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</si>
  <si>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</si>
  <si>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</si>
  <si>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</si>
  <si>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</si>
  <si>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</si>
  <si>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</si>
  <si>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</si>
  <si>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</si>
  <si>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</si>
  <si>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</si>
  <si>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</si>
  <si>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</si>
  <si>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</si>
  <si>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</si>
  <si>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</si>
  <si>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</si>
  <si>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</si>
  <si>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</si>
  <si>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</si>
  <si>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</si>
  <si>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</si>
  <si>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</si>
  <si>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</si>
  <si>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</si>
  <si>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</si>
  <si>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</si>
  <si>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</si>
  <si>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</si>
  <si>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</si>
  <si>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</si>
  <si>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</si>
  <si>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</si>
  <si>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</si>
  <si>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</si>
  <si>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</si>
  <si>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</si>
  <si>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</si>
  <si>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</si>
  <si>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</si>
  <si>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</si>
  <si>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</si>
  <si>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</si>
  <si>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</si>
  <si>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</si>
  <si>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</si>
  <si>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</si>
  <si>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</si>
  <si>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</si>
  <si>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</si>
  <si>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</si>
  <si>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</si>
  <si>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</si>
  <si>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</si>
  <si>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</si>
  <si>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</si>
  <si>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</si>
  <si>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</si>
  <si>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</si>
  <si>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</si>
  <si>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</si>
  <si>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</si>
  <si>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</si>
  <si>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</si>
  <si>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</si>
  <si>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</si>
  <si>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</si>
  <si>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</si>
  <si>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</si>
  <si>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</si>
  <si>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</si>
  <si>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</si>
  <si>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</si>
  <si>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</si>
  <si>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</si>
  <si>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</si>
  <si>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</si>
  <si>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</si>
  <si>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</si>
  <si>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</si>
  <si>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</si>
  <si>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</si>
  <si>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</si>
  <si>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</si>
  <si>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</si>
  <si>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</si>
  <si>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</si>
  <si>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</si>
  <si>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</si>
  <si>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</si>
  <si>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</si>
  <si>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</si>
  <si>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</si>
  <si>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</si>
  <si>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</si>
  <si>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</si>
  <si>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</si>
  <si>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</si>
  <si>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</si>
  <si>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</si>
  <si>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</si>
  <si>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</si>
  <si>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</si>
  <si>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</si>
  <si>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</si>
  <si>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</si>
  <si>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</si>
  <si>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</si>
  <si>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</si>
  <si>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</si>
  <si>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</si>
  <si>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</si>
  <si>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</si>
  <si>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</si>
  <si>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</si>
  <si>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</si>
  <si>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</si>
  <si>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</si>
  <si>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</si>
  <si>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</si>
  <si>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</si>
  <si>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</si>
  <si>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</si>
  <si>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</si>
  <si>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</si>
  <si>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</si>
  <si>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</si>
  <si>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</si>
  <si>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</si>
  <si>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</si>
  <si>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</si>
  <si>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</si>
  <si>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</si>
  <si>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</si>
  <si>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</si>
  <si>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</si>
  <si>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</si>
  <si>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</si>
  <si>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</si>
  <si>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</si>
  <si>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</si>
  <si>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</si>
  <si>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</si>
  <si>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</si>
  <si>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</si>
  <si>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</si>
  <si>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</si>
  <si>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</si>
  <si>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</si>
  <si>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</si>
  <si>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</si>
  <si>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</si>
  <si>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</si>
  <si>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</si>
  <si>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</si>
  <si>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</si>
  <si>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</si>
  <si>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</si>
  <si>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</si>
  <si>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</si>
  <si>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</si>
  <si>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</si>
  <si>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</si>
  <si>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</si>
  <si>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</si>
  <si>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</si>
  <si>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</si>
  <si>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</si>
  <si>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</si>
  <si>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</si>
  <si>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</si>
  <si>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</si>
  <si>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</si>
  <si>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</si>
  <si>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</si>
  <si>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</si>
  <si>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</si>
  <si>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</si>
  <si>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</si>
  <si>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</si>
  <si>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</si>
  <si>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</si>
  <si>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</si>
  <si>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</si>
  <si>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</si>
  <si>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</si>
  <si>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</si>
  <si>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</si>
  <si>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</si>
  <si>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</si>
  <si>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</si>
  <si>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</si>
  <si>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</si>
  <si>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</si>
  <si>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</si>
  <si>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</si>
  <si>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</si>
  <si>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</si>
  <si>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</si>
  <si>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</si>
  <si>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</si>
  <si>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</si>
  <si>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</si>
  <si>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</si>
  <si>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</si>
  <si>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</si>
  <si>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</si>
  <si>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</si>
  <si>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</si>
  <si>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</si>
  <si>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</si>
  <si>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</si>
  <si>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</si>
  <si>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</si>
  <si>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</si>
  <si>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</si>
  <si>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</si>
  <si>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</si>
  <si>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</si>
  <si>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</si>
  <si>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</si>
  <si>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</si>
  <si>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</si>
  <si>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</si>
  <si>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</si>
  <si>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</si>
  <si>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</si>
  <si>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</si>
  <si>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</si>
  <si>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</si>
  <si>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</si>
  <si>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</si>
  <si>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</si>
  <si>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</si>
  <si>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</si>
  <si>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</si>
  <si>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</si>
  <si>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</si>
  <si>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</si>
  <si>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</si>
  <si>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</si>
  <si>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</si>
  <si>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</si>
  <si>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</si>
  <si>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</si>
  <si>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</si>
  <si>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</si>
  <si>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</si>
  <si>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</si>
  <si>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</si>
  <si>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</si>
  <si>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</si>
  <si>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</si>
  <si>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</si>
  <si>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</si>
  <si>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</si>
  <si>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</si>
  <si>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</si>
  <si>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</si>
  <si>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</si>
  <si>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</si>
  <si>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</si>
  <si>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</si>
  <si>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</si>
  <si>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</si>
  <si>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</si>
  <si>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</si>
  <si>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</si>
  <si>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</si>
  <si>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</si>
  <si>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</si>
  <si>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</si>
  <si>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</si>
  <si>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</si>
  <si>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</si>
  <si>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</si>
  <si>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</si>
  <si>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</si>
  <si>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</si>
  <si>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</si>
  <si>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</si>
  <si>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</si>
  <si>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</si>
  <si>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</si>
  <si>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</si>
  <si>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</si>
  <si>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</si>
  <si>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</si>
  <si>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</si>
  <si>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</si>
  <si>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</si>
  <si>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</si>
  <si>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</si>
  <si>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</si>
  <si>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</si>
  <si>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</si>
  <si>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</si>
  <si>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</si>
  <si>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</si>
  <si>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</si>
  <si>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</si>
  <si>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</si>
  <si>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</si>
  <si>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</si>
  <si>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</si>
  <si>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</si>
  <si>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</si>
  <si>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</si>
  <si>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</si>
  <si>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</si>
  <si>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</si>
  <si>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</si>
  <si>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</si>
  <si>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</si>
  <si>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</si>
  <si>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</si>
  <si>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</si>
  <si>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</si>
  <si>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</si>
  <si>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</si>
  <si>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</si>
  <si>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</si>
  <si>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</si>
  <si>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</si>
  <si>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</si>
  <si>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</si>
  <si>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</si>
  <si>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</si>
  <si>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</si>
  <si>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</si>
  <si>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</si>
  <si>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</si>
  <si>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</si>
  <si>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</si>
  <si>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</si>
  <si>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</si>
  <si>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</si>
  <si>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</si>
  <si>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</si>
  <si>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</si>
  <si>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</si>
  <si>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</si>
  <si>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</si>
  <si>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</si>
  <si>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</si>
  <si>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</si>
  <si>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</si>
  <si>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</si>
  <si>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</si>
  <si>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</si>
  <si>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</si>
  <si>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</si>
  <si>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</si>
  <si>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</si>
  <si>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</si>
  <si>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</si>
  <si>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</si>
  <si>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</si>
  <si>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</si>
  <si>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</si>
  <si>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</si>
  <si>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</si>
  <si>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</si>
  <si>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</si>
  <si>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</si>
  <si>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</si>
  <si>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</si>
  <si>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</si>
  <si>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</si>
  <si>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</si>
  <si>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</si>
  <si>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</si>
  <si>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</si>
  <si>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</si>
  <si>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</si>
  <si>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</si>
  <si>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</si>
  <si>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</si>
  <si>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</si>
  <si>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</si>
  <si>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</si>
  <si>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</si>
  <si>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</si>
  <si>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</si>
  <si>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</si>
  <si>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</si>
  <si>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</si>
  <si>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</si>
  <si>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</si>
  <si>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</si>
  <si>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</si>
  <si>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</si>
  <si>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</si>
  <si>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</si>
  <si>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</si>
  <si>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</si>
  <si>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</si>
  <si>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</si>
  <si>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</si>
  <si>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</si>
  <si>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</si>
  <si>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</si>
  <si>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</si>
  <si>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</si>
  <si>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</si>
  <si>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</si>
  <si>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</si>
  <si>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</si>
  <si>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</si>
  <si>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</si>
  <si>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</si>
  <si>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</si>
  <si>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ბაზელ III-ზე დაფუძნებული ჩარჩოს მიხედვით *</t>
  </si>
  <si>
    <t>საბალანსო ელემენტები*</t>
  </si>
  <si>
    <t>სხვა კორექტირებების ეფექტი (ასეთის არსებობის შემთხვევაში) *</t>
  </si>
  <si>
    <t>საბალანსო ელემენტები *</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</si>
  <si>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</si>
  <si>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</si>
  <si>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</si>
  <si>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</si>
  <si>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</si>
  <si>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</si>
  <si>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</si>
  <si>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</si>
  <si>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</si>
  <si>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</si>
  <si>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</si>
  <si>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</si>
  <si>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</si>
  <si>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</si>
  <si>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</si>
  <si>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</si>
  <si>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</si>
  <si>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</si>
  <si>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</si>
  <si>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</si>
  <si>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</si>
  <si>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</si>
  <si>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</si>
  <si>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</si>
  <si>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</si>
  <si>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</si>
  <si>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</si>
  <si>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</si>
  <si>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</si>
  <si>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</si>
  <si>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</si>
  <si>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</si>
  <si>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</si>
  <si>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</si>
  <si>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</si>
  <si>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</si>
  <si>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</si>
  <si>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</si>
  <si>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</si>
  <si>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</si>
  <si>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</si>
  <si>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</si>
  <si>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</si>
  <si>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</si>
  <si>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</si>
  <si>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</si>
  <si>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</si>
  <si>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</si>
  <si>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</si>
  <si>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</si>
  <si>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</si>
  <si>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</si>
  <si>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</si>
  <si>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</si>
  <si>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</si>
  <si>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</si>
  <si>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</si>
  <si>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</si>
  <si>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</si>
  <si>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</si>
  <si>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</si>
  <si>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</si>
  <si>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</si>
  <si>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</si>
  <si>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</si>
  <si>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</si>
  <si>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</si>
  <si>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</si>
  <si>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</si>
  <si>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</si>
  <si>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</si>
  <si>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</si>
  <si>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</si>
  <si>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</si>
  <si>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</si>
  <si>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</si>
  <si>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</si>
  <si>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</si>
  <si>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</si>
  <si>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</si>
  <si>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</si>
  <si>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</si>
  <si>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</si>
  <si>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</si>
  <si>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</si>
  <si>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</si>
  <si>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</si>
  <si>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</si>
  <si>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</si>
  <si>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</si>
  <si>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</si>
  <si>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</si>
  <si>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</si>
  <si>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</si>
  <si>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</si>
  <si>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</si>
  <si>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</si>
  <si>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</si>
  <si>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</si>
  <si>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</si>
  <si>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</si>
  <si>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</si>
  <si>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</si>
  <si>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</si>
  <si>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</si>
  <si>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</si>
  <si>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</si>
  <si>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</si>
  <si>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</si>
  <si>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</si>
  <si>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</si>
  <si>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</si>
  <si>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</si>
  <si>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</si>
  <si>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</si>
  <si>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</si>
  <si>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</si>
  <si>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</si>
  <si>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</si>
  <si>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</si>
  <si>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</si>
  <si>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</si>
  <si>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</si>
  <si>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</si>
  <si>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</si>
  <si>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</si>
  <si>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</si>
  <si>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</si>
  <si>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</si>
  <si>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</si>
  <si>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</si>
  <si>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</si>
  <si>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</si>
  <si>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</si>
  <si>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</si>
  <si>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</si>
  <si>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</si>
  <si>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</si>
  <si>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</si>
  <si>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</si>
  <si>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</si>
  <si>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</si>
  <si>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</si>
  <si>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</si>
  <si>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</si>
  <si>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</si>
  <si>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</si>
  <si>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</si>
  <si>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</si>
  <si>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</si>
  <si>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</si>
  <si>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</si>
  <si>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</si>
  <si>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</si>
  <si>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</si>
  <si>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</si>
  <si>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</si>
  <si>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</si>
  <si>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</si>
  <si>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</si>
  <si>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</si>
  <si>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</si>
  <si>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</si>
  <si>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</si>
  <si>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</si>
  <si>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</si>
  <si>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</si>
  <si>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</si>
  <si>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</si>
  <si>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</si>
  <si>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</si>
  <si>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</si>
  <si>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</si>
  <si>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</si>
  <si>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</si>
  <si>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</si>
  <si>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</si>
  <si>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</si>
  <si>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</si>
  <si>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</si>
  <si>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</si>
  <si>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</si>
  <si>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</si>
  <si>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</si>
  <si>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</si>
  <si>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</si>
  <si>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</si>
  <si>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</si>
  <si>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</si>
  <si>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</si>
  <si>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</si>
  <si>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</si>
  <si>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</si>
  <si>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</si>
  <si>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</si>
  <si>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</si>
  <si>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</si>
  <si>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</si>
  <si>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</si>
  <si>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</si>
  <si>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</si>
  <si>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</si>
  <si>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</si>
  <si>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</si>
  <si>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</si>
  <si>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</si>
  <si>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</si>
  <si>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</si>
  <si>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</si>
  <si>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</si>
  <si>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</si>
  <si>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</si>
  <si>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</si>
  <si>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</si>
  <si>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</si>
  <si>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</si>
  <si>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</si>
  <si>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</si>
  <si>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</si>
  <si>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</si>
  <si>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</si>
  <si>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</si>
  <si>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</si>
  <si>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</si>
  <si>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</si>
  <si>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</si>
  <si>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</si>
  <si>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</si>
  <si>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</si>
  <si>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</si>
  <si>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</si>
  <si>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</si>
  <si>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</si>
  <si>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</si>
  <si>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</si>
  <si>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</si>
  <si>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</si>
  <si>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</si>
  <si>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</si>
  <si>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</si>
  <si>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</si>
  <si>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</si>
  <si>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</si>
  <si>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</si>
  <si>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</si>
  <si>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</si>
  <si>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</si>
  <si>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</si>
  <si>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</si>
  <si>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</si>
  <si>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</si>
  <si>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</si>
  <si>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</si>
  <si>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</si>
  <si>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</si>
  <si>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</si>
  <si>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</si>
  <si>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</si>
  <si>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</si>
  <si>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</si>
  <si>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</si>
  <si>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</si>
  <si>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</si>
  <si>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</si>
  <si>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</si>
  <si>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</si>
  <si>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</si>
  <si>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</si>
  <si>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</si>
  <si>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</si>
  <si>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</si>
  <si>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</si>
  <si>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</si>
  <si>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</si>
  <si>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</si>
  <si>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</si>
  <si>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</si>
  <si>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</si>
  <si>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</si>
  <si>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</si>
  <si>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</si>
  <si>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</si>
  <si>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</si>
  <si>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</si>
  <si>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</si>
  <si>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</si>
  <si>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</si>
  <si>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</si>
  <si>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</si>
  <si>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</si>
  <si>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</si>
  <si>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</si>
  <si>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</si>
  <si>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</si>
  <si>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</si>
  <si>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</si>
  <si>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</si>
  <si>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</si>
  <si>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</si>
  <si>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</si>
  <si>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</si>
  <si>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</si>
  <si>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</si>
  <si>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</si>
  <si>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</si>
  <si>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</si>
  <si>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</si>
  <si>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</si>
  <si>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</si>
  <si>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</si>
  <si>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</si>
  <si>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</si>
  <si>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</si>
  <si>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</si>
  <si>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</si>
  <si>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</si>
  <si>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</si>
  <si>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</si>
  <si>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</si>
  <si>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</si>
  <si>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</si>
  <si>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</si>
  <si>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</si>
  <si>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</si>
  <si>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</si>
  <si>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</si>
  <si>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</si>
  <si>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</si>
  <si>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</si>
  <si>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</si>
  <si>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</si>
  <si>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</si>
  <si>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</si>
  <si>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</si>
  <si>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</si>
  <si>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</si>
  <si>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</si>
  <si>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</si>
  <si>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</si>
  <si>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</si>
  <si>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</si>
  <si>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</si>
  <si>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</si>
  <si>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</si>
  <si>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</si>
  <si>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</si>
  <si>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</si>
  <si>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</si>
  <si>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</si>
  <si>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</si>
  <si>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</si>
  <si>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</si>
  <si>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</si>
  <si>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</si>
  <si>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</si>
  <si>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</si>
  <si>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</si>
  <si>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</si>
  <si>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</si>
  <si>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</si>
  <si>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</si>
  <si>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</si>
  <si>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</si>
  <si>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</si>
  <si>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</si>
  <si>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</si>
  <si>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</si>
  <si>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</si>
  <si>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</si>
  <si>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</si>
  <si>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</si>
  <si>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</si>
  <si>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</si>
  <si>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</si>
  <si>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</si>
  <si>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</si>
  <si>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</si>
  <si>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</si>
  <si>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</si>
  <si>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</si>
  <si>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</si>
  <si>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</si>
  <si>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</si>
  <si>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</si>
  <si>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</si>
  <si>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</si>
  <si>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</si>
  <si>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</si>
  <si>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</si>
  <si>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</si>
  <si>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</si>
  <si>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</si>
  <si>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</si>
  <si>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</si>
  <si>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</si>
  <si>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</si>
  <si>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</si>
  <si>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</si>
  <si>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</si>
  <si>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</si>
  <si>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</si>
  <si>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</si>
  <si>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</si>
  <si>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</si>
  <si>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</si>
  <si>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</si>
  <si>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</si>
  <si>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</si>
  <si>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</si>
  <si>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</si>
  <si>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</si>
  <si>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</si>
  <si>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</si>
  <si>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</si>
  <si>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</si>
  <si>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</si>
  <si>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</si>
  <si>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</si>
  <si>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</si>
  <si>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</si>
  <si>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</si>
  <si>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</si>
  <si>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</si>
  <si>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</si>
  <si>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</si>
  <si>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</si>
  <si>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</si>
  <si>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</si>
  <si>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</si>
  <si>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</si>
  <si>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</si>
  <si>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</si>
  <si>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</si>
  <si>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</si>
  <si>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</si>
  <si>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</si>
  <si>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</si>
  <si>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</si>
  <si>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</si>
  <si>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</si>
  <si>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</si>
  <si>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</si>
  <si>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</si>
  <si>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</si>
  <si>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</si>
  <si>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</si>
  <si>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</si>
  <si>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</si>
  <si>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</si>
  <si>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</si>
  <si>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</si>
  <si>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</si>
  <si>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</si>
  <si>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</si>
  <si>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</si>
  <si>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</si>
  <si>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</si>
  <si>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</si>
  <si>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</si>
  <si>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</si>
  <si>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</si>
  <si>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</si>
  <si>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</si>
  <si>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</si>
  <si>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</si>
  <si>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</si>
  <si>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</si>
  <si>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</si>
  <si>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</si>
  <si>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</si>
  <si>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</si>
  <si>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</si>
  <si>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</si>
  <si>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</si>
  <si>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</si>
  <si>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</si>
  <si>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</si>
  <si>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</si>
  <si>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</si>
  <si>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</si>
  <si>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</si>
  <si>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</si>
  <si>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</si>
  <si>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</si>
  <si>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</si>
  <si>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</si>
  <si>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</si>
  <si>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</si>
  <si>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</si>
  <si>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</si>
  <si>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</si>
  <si>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</si>
  <si>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</si>
  <si>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</si>
  <si>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</si>
  <si>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</si>
  <si>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</si>
  <si>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</si>
  <si>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</si>
  <si>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</si>
  <si>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</si>
  <si>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</si>
  <si>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</si>
  <si>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</si>
  <si>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</si>
  <si>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</si>
  <si>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</si>
  <si>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</si>
  <si>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</si>
  <si>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</si>
  <si>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</si>
  <si>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</si>
  <si>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</si>
  <si>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</si>
  <si>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</si>
  <si>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სს იშბანკი საქართველო</t>
  </si>
  <si>
    <t>ოლგუნ თუფან ქურბანოღლუ</t>
  </si>
  <si>
    <t>ჰუსეინ ემრე ილმაზ</t>
  </si>
  <si>
    <t>www.isbank.ge</t>
  </si>
  <si>
    <t>არადამოუკიდებელი თავმჯდომარე</t>
  </si>
  <si>
    <t>ოზან უიარ</t>
  </si>
  <si>
    <t>არადამოუკიდებელ წევრი</t>
  </si>
  <si>
    <t>ჰუსეინ სერდარ იუჯელ</t>
  </si>
  <si>
    <t>თამარ სანიკიძე</t>
  </si>
  <si>
    <t>დამოუკიდებელი წევრი</t>
  </si>
  <si>
    <t>ნათია ჯანელიძე</t>
  </si>
  <si>
    <t>გენერალური დირექტორი</t>
  </si>
  <si>
    <t>გენერალური დირექტორის მოადგილე</t>
  </si>
  <si>
    <t>უჩა სარალიძე</t>
  </si>
  <si>
    <t>ფინანსური დირექტორი</t>
  </si>
  <si>
    <t>ვასილ აფხაზავა</t>
  </si>
  <si>
    <t>რისკების დირექტორი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</si>
  <si>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</si>
  <si>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</si>
  <si>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</si>
  <si>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 xml:space="preserve">Table 9 (Capital), N10 </t>
  </si>
  <si>
    <t>Table 9 (Capital), N2</t>
  </si>
  <si>
    <t>Table 9 (Capital), N6</t>
  </si>
  <si>
    <t>აჰმეთ ჰაქან უნალ</t>
  </si>
  <si>
    <t>ჰუსეინ ქარაბულუთ</t>
  </si>
  <si>
    <t>აბდულვაჰაფ დოან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</si>
</sst>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60">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sz val="11"/>
      <color theme="1"/>
      <name val="Sylfaen"/>
      <family val="1"/>
    </font>
    <font>
      <b/>
      <u/>
      <sz val="10"/>
      <color indexed="12"/>
      <name val="Arial"/>
      <family val="2"/>
    </font>
    <font>
      <b/>
      <sz val="10"/>
      <color theme="1"/>
      <name val="Lucida Bright"/>
      <family val="1"/>
    </font>
    <font>
      <sz val="10"/>
      <color theme="1"/>
      <name val="Arial"/>
      <family val="2"/>
    </font>
    <font>
      <b/>
      <sz val="10"/>
      <color theme="1"/>
      <name val="Times New Roman"/>
      <family val="1"/>
      <charset val="162"/>
    </font>
    <font>
      <b/>
      <sz val="10"/>
      <color theme="1"/>
      <name val="Arial"/>
      <family val="2"/>
      <charset val="162"/>
    </font>
    <font>
      <b/>
      <sz val="10"/>
      <color theme="1"/>
      <name val="Arial"/>
      <family val="2"/>
    </font>
    <font>
      <b/>
      <sz val="11"/>
      <color theme="1"/>
      <name val="Calibri"/>
      <family val="2"/>
      <charset val="162"/>
      <scheme val="minor"/>
    </font>
    <font>
      <i/>
      <sz val="10"/>
      <color theme="1"/>
      <name val="Arial"/>
      <family val="2"/>
    </font>
    <font>
      <b/>
      <i/>
      <sz val="10"/>
      <color theme="1"/>
      <name val="Arial"/>
      <family val="2"/>
      <charset val="162"/>
    </font>
    <font>
      <b/>
      <i/>
      <sz val="10"/>
      <color theme="1"/>
      <name val="Sylfaen"/>
      <family val="1"/>
      <charset val="162"/>
    </font>
    <font>
      <sz val="10"/>
      <color theme="1"/>
      <name val="Arial"/>
      <family val="2"/>
      <charset val="162"/>
    </font>
    <font>
      <b/>
      <sz val="10"/>
      <color theme="1"/>
      <name val="Calibri"/>
      <family val="2"/>
      <charset val="162"/>
      <scheme val="minor"/>
    </font>
    <font>
      <sz val="10"/>
      <color theme="1"/>
      <name val="Calibri"/>
      <family val="2"/>
      <charset val="162"/>
      <scheme val="minor"/>
    </font>
    <font>
      <sz val="9"/>
      <color theme="1"/>
      <name val="Sylfaen"/>
      <family val="1"/>
      <charset val="162"/>
    </font>
    <font>
      <b/>
      <sz val="9"/>
      <color theme="1"/>
      <name val="Sylfaen"/>
      <family val="1"/>
      <charset val="162"/>
    </font>
    <font>
      <b/>
      <sz val="9"/>
      <name val="Sylfaen"/>
      <family val="1"/>
      <charset val="162"/>
    </font>
    <font>
      <sz val="9"/>
      <name val="Sylfaen"/>
      <family val="1"/>
      <charset val="162"/>
    </font>
    <font>
      <b/>
      <sz val="9"/>
      <name val="Calibri"/>
      <family val="2"/>
      <charset val="162"/>
      <scheme val="minor"/>
    </font>
    <font>
      <b/>
      <sz val="10"/>
      <name val="Sylfaen"/>
      <family val="1"/>
      <charset val="162"/>
    </font>
    <font>
      <b/>
      <sz val="10"/>
      <name val="Arial"/>
      <family val="2"/>
      <charset val="162"/>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6" tint="0.59999389629810485"/>
        <bgColor indexed="64"/>
      </patternFill>
    </fill>
  </fills>
  <borders count="165">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thin">
        <color theme="6" tint="-0.499984740745262"/>
      </right>
      <top style="thin">
        <color theme="6" tint="-0.499984740745262"/>
      </top>
      <bottom style="medium">
        <color indexed="64"/>
      </bottom>
      <diagonal/>
    </border>
    <border>
      <left style="medium">
        <color indexed="64"/>
      </left>
      <right/>
      <top style="thin">
        <color indexed="64"/>
      </top>
      <bottom style="medium">
        <color indexed="64"/>
      </bottom>
      <diagonal/>
    </border>
    <border>
      <left style="thin">
        <color auto="1"/>
      </left>
      <right style="medium">
        <color auto="1"/>
      </right>
      <top/>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3" fillId="0" borderId="0"/>
    <xf numFmtId="168" fontId="24" fillId="37" borderId="0"/>
    <xf numFmtId="169" fontId="24" fillId="37" borderId="0"/>
    <xf numFmtId="168" fontId="24" fillId="37" borderId="0"/>
    <xf numFmtId="0" fontId="25" fillId="38" borderId="0" applyNumberFormat="0" applyBorder="0" applyAlignment="0" applyProtection="0"/>
    <xf numFmtId="0" fontId="4" fillId="13"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0" fontId="25"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4" fillId="17"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0" fontId="25"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168" fontId="26" fillId="39" borderId="0" applyNumberFormat="0" applyBorder="0" applyAlignment="0" applyProtection="0"/>
    <xf numFmtId="169" fontId="26" fillId="39" borderId="0" applyNumberFormat="0" applyBorder="0" applyAlignment="0" applyProtection="0"/>
    <xf numFmtId="168" fontId="26" fillId="39"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4" fillId="21"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0" fontId="25"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168" fontId="26" fillId="40" borderId="0" applyNumberFormat="0" applyBorder="0" applyAlignment="0" applyProtection="0"/>
    <xf numFmtId="169" fontId="26" fillId="40" borderId="0" applyNumberFormat="0" applyBorder="0" applyAlignment="0" applyProtection="0"/>
    <xf numFmtId="168" fontId="26" fillId="40"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4" fillId="25"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0" fontId="25"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4" fillId="29"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0" fontId="25"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168" fontId="26" fillId="42" borderId="0" applyNumberFormat="0" applyBorder="0" applyAlignment="0" applyProtection="0"/>
    <xf numFmtId="169" fontId="26" fillId="42" borderId="0" applyNumberFormat="0" applyBorder="0" applyAlignment="0" applyProtection="0"/>
    <xf numFmtId="168" fontId="26" fillId="42"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4" fillId="3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0" fontId="25"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168" fontId="26" fillId="43" borderId="0" applyNumberFormat="0" applyBorder="0" applyAlignment="0" applyProtection="0"/>
    <xf numFmtId="169" fontId="26" fillId="43" borderId="0" applyNumberFormat="0" applyBorder="0" applyAlignment="0" applyProtection="0"/>
    <xf numFmtId="168" fontId="26" fillId="43"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4" fillId="1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0" fontId="25"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4" fillId="18"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0" fontId="25"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168" fontId="26" fillId="45" borderId="0" applyNumberFormat="0" applyBorder="0" applyAlignment="0" applyProtection="0"/>
    <xf numFmtId="169" fontId="26" fillId="45" borderId="0" applyNumberFormat="0" applyBorder="0" applyAlignment="0" applyProtection="0"/>
    <xf numFmtId="168" fontId="26" fillId="45" borderId="0" applyNumberFormat="0" applyBorder="0" applyAlignment="0" applyProtection="0"/>
    <xf numFmtId="0" fontId="25" fillId="45" borderId="0" applyNumberFormat="0" applyBorder="0" applyAlignment="0" applyProtection="0"/>
    <xf numFmtId="0" fontId="25" fillId="46" borderId="0" applyNumberFormat="0" applyBorder="0" applyAlignment="0" applyProtection="0"/>
    <xf numFmtId="0" fontId="4" fillId="22"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0" fontId="25"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168" fontId="26" fillId="46" borderId="0" applyNumberFormat="0" applyBorder="0" applyAlignment="0" applyProtection="0"/>
    <xf numFmtId="169" fontId="26" fillId="46" borderId="0" applyNumberFormat="0" applyBorder="0" applyAlignment="0" applyProtection="0"/>
    <xf numFmtId="168" fontId="26" fillId="46" borderId="0" applyNumberFormat="0" applyBorder="0" applyAlignment="0" applyProtection="0"/>
    <xf numFmtId="0" fontId="25" fillId="46" borderId="0" applyNumberFormat="0" applyBorder="0" applyAlignment="0" applyProtection="0"/>
    <xf numFmtId="0" fontId="25" fillId="41" borderId="0" applyNumberFormat="0" applyBorder="0" applyAlignment="0" applyProtection="0"/>
    <xf numFmtId="0" fontId="4" fillId="26"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0" fontId="25"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168" fontId="26" fillId="41" borderId="0" applyNumberFormat="0" applyBorder="0" applyAlignment="0" applyProtection="0"/>
    <xf numFmtId="169" fontId="26" fillId="41" borderId="0" applyNumberFormat="0" applyBorder="0" applyAlignment="0" applyProtection="0"/>
    <xf numFmtId="168" fontId="26" fillId="41" borderId="0" applyNumberFormat="0" applyBorder="0" applyAlignment="0" applyProtection="0"/>
    <xf numFmtId="0" fontId="25" fillId="41" borderId="0" applyNumberFormat="0" applyBorder="0" applyAlignment="0" applyProtection="0"/>
    <xf numFmtId="0" fontId="25" fillId="44" borderId="0" applyNumberFormat="0" applyBorder="0" applyAlignment="0" applyProtection="0"/>
    <xf numFmtId="0" fontId="4" fillId="30"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0" fontId="25"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168" fontId="26" fillId="44" borderId="0" applyNumberFormat="0" applyBorder="0" applyAlignment="0" applyProtection="0"/>
    <xf numFmtId="169" fontId="26" fillId="44" borderId="0" applyNumberFormat="0" applyBorder="0" applyAlignment="0" applyProtection="0"/>
    <xf numFmtId="168" fontId="26" fillId="44" borderId="0" applyNumberFormat="0" applyBorder="0" applyAlignment="0" applyProtection="0"/>
    <xf numFmtId="0" fontId="25" fillId="44" borderId="0" applyNumberFormat="0" applyBorder="0" applyAlignment="0" applyProtection="0"/>
    <xf numFmtId="0" fontId="25" fillId="47" borderId="0" applyNumberFormat="0" applyBorder="0" applyAlignment="0" applyProtection="0"/>
    <xf numFmtId="0" fontId="4" fillId="34"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0" fontId="25"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168" fontId="26" fillId="47" borderId="0" applyNumberFormat="0" applyBorder="0" applyAlignment="0" applyProtection="0"/>
    <xf numFmtId="169" fontId="26" fillId="47" borderId="0" applyNumberFormat="0" applyBorder="0" applyAlignment="0" applyProtection="0"/>
    <xf numFmtId="168" fontId="26" fillId="47" borderId="0" applyNumberFormat="0" applyBorder="0" applyAlignment="0" applyProtection="0"/>
    <xf numFmtId="0" fontId="25" fillId="47" borderId="0" applyNumberFormat="0" applyBorder="0" applyAlignment="0" applyProtection="0"/>
    <xf numFmtId="0" fontId="27" fillId="48" borderId="0" applyNumberFormat="0" applyBorder="0" applyAlignment="0" applyProtection="0"/>
    <xf numFmtId="0" fontId="28" fillId="15"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0" fontId="27" fillId="48"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168" fontId="29" fillId="48" borderId="0" applyNumberFormat="0" applyBorder="0" applyAlignment="0" applyProtection="0"/>
    <xf numFmtId="169" fontId="29" fillId="48" borderId="0" applyNumberFormat="0" applyBorder="0" applyAlignment="0" applyProtection="0"/>
    <xf numFmtId="168" fontId="29" fillId="48" borderId="0" applyNumberFormat="0" applyBorder="0" applyAlignment="0" applyProtection="0"/>
    <xf numFmtId="0" fontId="27" fillId="48" borderId="0" applyNumberFormat="0" applyBorder="0" applyAlignment="0" applyProtection="0"/>
    <xf numFmtId="0" fontId="27" fillId="45" borderId="0" applyNumberFormat="0" applyBorder="0" applyAlignment="0" applyProtection="0"/>
    <xf numFmtId="0" fontId="28" fillId="19"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0" fontId="27" fillId="45"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8" fillId="23"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0" fontId="27" fillId="46"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0" fontId="27" fillId="46" borderId="0" applyNumberFormat="0" applyBorder="0" applyAlignment="0" applyProtection="0"/>
    <xf numFmtId="0" fontId="27" fillId="49" borderId="0" applyNumberFormat="0" applyBorder="0" applyAlignment="0" applyProtection="0"/>
    <xf numFmtId="0" fontId="28" fillId="27"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0" fontId="27" fillId="49"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8" fillId="31"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0" fontId="27" fillId="50"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8" fillId="35"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0" fontId="27" fillId="51"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168" fontId="29" fillId="51" borderId="0" applyNumberFormat="0" applyBorder="0" applyAlignment="0" applyProtection="0"/>
    <xf numFmtId="169" fontId="29" fillId="51" borderId="0" applyNumberFormat="0" applyBorder="0" applyAlignment="0" applyProtection="0"/>
    <xf numFmtId="168" fontId="29" fillId="51" borderId="0" applyNumberFormat="0" applyBorder="0" applyAlignment="0" applyProtection="0"/>
    <xf numFmtId="0" fontId="27" fillId="51"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7" fillId="53" borderId="0" applyNumberFormat="0" applyBorder="0" applyAlignment="0" applyProtection="0"/>
    <xf numFmtId="0" fontId="27" fillId="54" borderId="0" applyNumberFormat="0" applyBorder="0" applyAlignment="0" applyProtection="0"/>
    <xf numFmtId="0" fontId="28" fillId="12"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0" fontId="27" fillId="54"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168" fontId="29" fillId="54" borderId="0" applyNumberFormat="0" applyBorder="0" applyAlignment="0" applyProtection="0"/>
    <xf numFmtId="169" fontId="29" fillId="54" borderId="0" applyNumberFormat="0" applyBorder="0" applyAlignment="0" applyProtection="0"/>
    <xf numFmtId="168" fontId="29" fillId="54" borderId="0" applyNumberFormat="0" applyBorder="0" applyAlignment="0" applyProtection="0"/>
    <xf numFmtId="0" fontId="27" fillId="54" borderId="0" applyNumberFormat="0" applyBorder="0" applyAlignment="0" applyProtection="0"/>
    <xf numFmtId="0" fontId="27" fillId="54" borderId="0" applyNumberFormat="0" applyBorder="0" applyAlignment="0" applyProtection="0"/>
    <xf numFmtId="0" fontId="27" fillId="54" borderId="0" applyNumberFormat="0" applyBorder="0" applyAlignment="0" applyProtection="0"/>
    <xf numFmtId="0" fontId="25" fillId="55" borderId="0" applyNumberFormat="0" applyBorder="0" applyAlignment="0" applyProtection="0"/>
    <xf numFmtId="0" fontId="25" fillId="56" borderId="0" applyNumberFormat="0" applyBorder="0" applyAlignment="0" applyProtection="0"/>
    <xf numFmtId="0" fontId="27" fillId="57" borderId="0" applyNumberFormat="0" applyBorder="0" applyAlignment="0" applyProtection="0"/>
    <xf numFmtId="0" fontId="27" fillId="58" borderId="0" applyNumberFormat="0" applyBorder="0" applyAlignment="0" applyProtection="0"/>
    <xf numFmtId="0" fontId="28" fillId="16"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0" fontId="27" fillId="58"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168" fontId="29" fillId="58" borderId="0" applyNumberFormat="0" applyBorder="0" applyAlignment="0" applyProtection="0"/>
    <xf numFmtId="169" fontId="29" fillId="58" borderId="0" applyNumberFormat="0" applyBorder="0" applyAlignment="0" applyProtection="0"/>
    <xf numFmtId="168" fontId="29" fillId="58" borderId="0" applyNumberFormat="0" applyBorder="0" applyAlignment="0" applyProtection="0"/>
    <xf numFmtId="0" fontId="27" fillId="58" borderId="0" applyNumberFormat="0" applyBorder="0" applyAlignment="0" applyProtection="0"/>
    <xf numFmtId="0" fontId="27" fillId="58" borderId="0" applyNumberFormat="0" applyBorder="0" applyAlignment="0" applyProtection="0"/>
    <xf numFmtId="0" fontId="27" fillId="58" borderId="0" applyNumberFormat="0" applyBorder="0" applyAlignment="0" applyProtection="0"/>
    <xf numFmtId="0" fontId="25" fillId="55" borderId="0" applyNumberFormat="0" applyBorder="0" applyAlignment="0" applyProtection="0"/>
    <xf numFmtId="0" fontId="25" fillId="59" borderId="0" applyNumberFormat="0" applyBorder="0" applyAlignment="0" applyProtection="0"/>
    <xf numFmtId="0" fontId="27" fillId="56" borderId="0" applyNumberFormat="0" applyBorder="0" applyAlignment="0" applyProtection="0"/>
    <xf numFmtId="0" fontId="27" fillId="60" borderId="0" applyNumberFormat="0" applyBorder="0" applyAlignment="0" applyProtection="0"/>
    <xf numFmtId="0" fontId="28" fillId="2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0" fontId="27" fillId="6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168" fontId="29" fillId="60" borderId="0" applyNumberFormat="0" applyBorder="0" applyAlignment="0" applyProtection="0"/>
    <xf numFmtId="169" fontId="29" fillId="60" borderId="0" applyNumberFormat="0" applyBorder="0" applyAlignment="0" applyProtection="0"/>
    <xf numFmtId="168" fontId="29" fillId="60"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5" fillId="52" borderId="0" applyNumberFormat="0" applyBorder="0" applyAlignment="0" applyProtection="0"/>
    <xf numFmtId="0" fontId="25" fillId="56" borderId="0" applyNumberFormat="0" applyBorder="0" applyAlignment="0" applyProtection="0"/>
    <xf numFmtId="0" fontId="27" fillId="56" borderId="0" applyNumberFormat="0" applyBorder="0" applyAlignment="0" applyProtection="0"/>
    <xf numFmtId="0" fontId="27" fillId="49" borderId="0" applyNumberFormat="0" applyBorder="0" applyAlignment="0" applyProtection="0"/>
    <xf numFmtId="0" fontId="28" fillId="24"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0" fontId="27" fillId="49"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168" fontId="29" fillId="49" borderId="0" applyNumberFormat="0" applyBorder="0" applyAlignment="0" applyProtection="0"/>
    <xf numFmtId="169" fontId="29" fillId="49" borderId="0" applyNumberFormat="0" applyBorder="0" applyAlignment="0" applyProtection="0"/>
    <xf numFmtId="168" fontId="29"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5" fillId="61" borderId="0" applyNumberFormat="0" applyBorder="0" applyAlignment="0" applyProtection="0"/>
    <xf numFmtId="0" fontId="25" fillId="52" borderId="0" applyNumberFormat="0" applyBorder="0" applyAlignment="0" applyProtection="0"/>
    <xf numFmtId="0" fontId="27" fillId="53" borderId="0" applyNumberFormat="0" applyBorder="0" applyAlignment="0" applyProtection="0"/>
    <xf numFmtId="0" fontId="27" fillId="50" borderId="0" applyNumberFormat="0" applyBorder="0" applyAlignment="0" applyProtection="0"/>
    <xf numFmtId="0" fontId="28" fillId="28"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0" fontId="27" fillId="50"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0" fontId="28" fillId="28"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168" fontId="29" fillId="50" borderId="0" applyNumberFormat="0" applyBorder="0" applyAlignment="0" applyProtection="0"/>
    <xf numFmtId="169" fontId="29" fillId="50" borderId="0" applyNumberFormat="0" applyBorder="0" applyAlignment="0" applyProtection="0"/>
    <xf numFmtId="168" fontId="29" fillId="50"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25" fillId="55" borderId="0" applyNumberFormat="0" applyBorder="0" applyAlignment="0" applyProtection="0"/>
    <xf numFmtId="0" fontId="25" fillId="62"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8" fillId="32"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0" fontId="27" fillId="63"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0" fontId="28" fillId="32"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168" fontId="29" fillId="63" borderId="0" applyNumberFormat="0" applyBorder="0" applyAlignment="0" applyProtection="0"/>
    <xf numFmtId="169" fontId="29" fillId="63" borderId="0" applyNumberFormat="0" applyBorder="0" applyAlignment="0" applyProtection="0"/>
    <xf numFmtId="168" fontId="29" fillId="63" borderId="0" applyNumberFormat="0" applyBorder="0" applyAlignment="0" applyProtection="0"/>
    <xf numFmtId="0" fontId="27" fillId="63" borderId="0" applyNumberFormat="0" applyBorder="0" applyAlignment="0" applyProtection="0"/>
    <xf numFmtId="0" fontId="27" fillId="63" borderId="0" applyNumberFormat="0" applyBorder="0" applyAlignment="0" applyProtection="0"/>
    <xf numFmtId="0" fontId="27" fillId="63" borderId="0" applyNumberFormat="0" applyBorder="0" applyAlignment="0" applyProtection="0"/>
    <xf numFmtId="0" fontId="30" fillId="39" borderId="0" applyNumberFormat="0" applyBorder="0" applyAlignment="0" applyProtection="0"/>
    <xf numFmtId="0" fontId="31" fillId="6"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0" fontId="30" fillId="39"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168" fontId="32" fillId="39" borderId="0" applyNumberFormat="0" applyBorder="0" applyAlignment="0" applyProtection="0"/>
    <xf numFmtId="169" fontId="32" fillId="39" borderId="0" applyNumberFormat="0" applyBorder="0" applyAlignment="0" applyProtection="0"/>
    <xf numFmtId="168" fontId="32" fillId="39" borderId="0" applyNumberFormat="0" applyBorder="0" applyAlignment="0" applyProtection="0"/>
    <xf numFmtId="0" fontId="30" fillId="39" borderId="0" applyNumberFormat="0" applyBorder="0" applyAlignment="0" applyProtection="0"/>
    <xf numFmtId="170" fontId="33"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1" fontId="35" fillId="0" borderId="0" applyFill="0" applyBorder="0" applyAlignment="0"/>
    <xf numFmtId="171" fontId="35"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0" fontId="34" fillId="0" borderId="0" applyFill="0" applyBorder="0" applyAlignment="0"/>
    <xf numFmtId="172" fontId="35" fillId="0" borderId="0" applyFill="0" applyBorder="0" applyAlignment="0"/>
    <xf numFmtId="173" fontId="35" fillId="0" borderId="0" applyFill="0" applyBorder="0" applyAlignment="0"/>
    <xf numFmtId="174" fontId="35" fillId="0" borderId="0" applyFill="0" applyBorder="0" applyAlignment="0"/>
    <xf numFmtId="175"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8" fontId="38"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8" fontId="38"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9" fontId="38"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7" fillId="9" borderId="30"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0" fontId="36"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168" fontId="38" fillId="64" borderId="37" applyNumberFormat="0" applyAlignment="0" applyProtection="0"/>
    <xf numFmtId="169" fontId="38" fillId="64" borderId="37" applyNumberFormat="0" applyAlignment="0" applyProtection="0"/>
    <xf numFmtId="168" fontId="38" fillId="64" borderId="37" applyNumberFormat="0" applyAlignment="0" applyProtection="0"/>
    <xf numFmtId="0" fontId="36" fillId="64" borderId="37" applyNumberFormat="0" applyAlignment="0" applyProtection="0"/>
    <xf numFmtId="0" fontId="39" fillId="65" borderId="38" applyNumberFormat="0" applyAlignment="0" applyProtection="0"/>
    <xf numFmtId="0" fontId="40" fillId="10" borderId="33"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0" fontId="39"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0" fontId="40" fillId="10" borderId="33"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169" fontId="41" fillId="65" borderId="38" applyNumberFormat="0" applyAlignment="0" applyProtection="0"/>
    <xf numFmtId="168" fontId="41" fillId="65" borderId="38" applyNumberFormat="0" applyAlignment="0" applyProtection="0"/>
    <xf numFmtId="0" fontId="39" fillId="65"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quotePrefix="1">
      <protection locked="0"/>
    </xf>
    <xf numFmtId="43" fontId="25" fillId="0" borderId="0" applyFont="0" applyFill="0" applyBorder="0" applyAlignment="0" applyProtection="0"/>
    <xf numFmtId="43" fontId="2" fillId="0" borderId="0" quotePrefix="1">
      <protection locked="0"/>
    </xf>
    <xf numFmtId="43" fontId="25"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178"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3" fillId="0" borderId="0"/>
    <xf numFmtId="172" fontId="35"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3" fillId="0" borderId="0"/>
    <xf numFmtId="14" fontId="44" fillId="0" borderId="0" applyFill="0" applyBorder="0" applyAlignment="0"/>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39">
      <alignment vertical="center"/>
    </xf>
    <xf numFmtId="38" fontId="24" fillId="0" borderId="0" applyFont="0" applyFill="0" applyBorder="0" applyAlignment="0" applyProtection="0"/>
    <xf numFmtId="180" fontId="2" fillId="0" borderId="0" applyFont="0" applyFill="0" applyBorder="0" applyAlignment="0" applyProtection="0"/>
    <xf numFmtId="0" fontId="45" fillId="66" borderId="0" applyNumberFormat="0" applyBorder="0" applyAlignment="0" applyProtection="0"/>
    <xf numFmtId="0" fontId="45" fillId="67" borderId="0" applyNumberFormat="0" applyBorder="0" applyAlignment="0" applyProtection="0"/>
    <xf numFmtId="0" fontId="45" fillId="68" borderId="0" applyNumberFormat="0" applyBorder="0" applyAlignment="0" applyProtection="0"/>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168" fontId="48" fillId="0" borderId="0" applyNumberFormat="0" applyFill="0" applyBorder="0" applyAlignment="0" applyProtection="0"/>
    <xf numFmtId="169" fontId="48" fillId="0" borderId="0" applyNumberFormat="0" applyFill="0" applyBorder="0" applyAlignment="0" applyProtection="0"/>
    <xf numFmtId="168" fontId="48" fillId="0" borderId="0" applyNumberFormat="0" applyFill="0" applyBorder="0" applyAlignment="0" applyProtection="0"/>
    <xf numFmtId="0" fontId="46" fillId="0" borderId="0" applyNumberFormat="0" applyFill="0" applyBorder="0" applyAlignment="0" applyProtection="0"/>
    <xf numFmtId="168" fontId="2" fillId="0" borderId="0"/>
    <xf numFmtId="0" fontId="2" fillId="0" borderId="0"/>
    <xf numFmtId="168" fontId="2" fillId="0" borderId="0"/>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34" fillId="0" borderId="3" applyNumberFormat="0" applyAlignment="0">
      <alignment horizontal="right"/>
      <protection locked="0"/>
    </xf>
    <xf numFmtId="0" fontId="49" fillId="40" borderId="0" applyNumberFormat="0" applyBorder="0" applyAlignment="0" applyProtection="0"/>
    <xf numFmtId="0" fontId="50" fillId="5"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0" fontId="49" fillId="40"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0" fontId="50" fillId="5"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168" fontId="51" fillId="40" borderId="0" applyNumberFormat="0" applyBorder="0" applyAlignment="0" applyProtection="0"/>
    <xf numFmtId="169" fontId="51" fillId="40" borderId="0" applyNumberFormat="0" applyBorder="0" applyAlignment="0" applyProtection="0"/>
    <xf numFmtId="168" fontId="51" fillId="40" borderId="0" applyNumberFormat="0" applyBorder="0" applyAlignment="0" applyProtection="0"/>
    <xf numFmtId="0" fontId="49" fillId="40" borderId="0" applyNumberFormat="0" applyBorder="0" applyAlignment="0" applyProtection="0"/>
    <xf numFmtId="0" fontId="2" fillId="69" borderId="3" applyNumberFormat="0" applyFont="0" applyBorder="0" applyProtection="0">
      <alignment horizontal="center" vertical="center"/>
    </xf>
    <xf numFmtId="0" fontId="52" fillId="0" borderId="29" applyNumberFormat="0" applyAlignment="0" applyProtection="0">
      <alignment horizontal="left" vertical="center"/>
    </xf>
    <xf numFmtId="0" fontId="52" fillId="0" borderId="29" applyNumberFormat="0" applyAlignment="0" applyProtection="0">
      <alignment horizontal="left" vertical="center"/>
    </xf>
    <xf numFmtId="168" fontId="52" fillId="0" borderId="29" applyNumberFormat="0" applyAlignment="0" applyProtection="0">
      <alignment horizontal="left" vertical="center"/>
    </xf>
    <xf numFmtId="0" fontId="52" fillId="0" borderId="9">
      <alignment horizontal="left" vertical="center"/>
    </xf>
    <xf numFmtId="0" fontId="52" fillId="0" borderId="9">
      <alignment horizontal="left" vertical="center"/>
    </xf>
    <xf numFmtId="168" fontId="52" fillId="0" borderId="9">
      <alignment horizontal="left" vertical="center"/>
    </xf>
    <xf numFmtId="0" fontId="53" fillId="0" borderId="40" applyNumberFormat="0" applyFill="0" applyAlignment="0" applyProtection="0"/>
    <xf numFmtId="169" fontId="53" fillId="0" borderId="40" applyNumberFormat="0" applyFill="0" applyAlignment="0" applyProtection="0"/>
    <xf numFmtId="0"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168" fontId="53" fillId="0" borderId="40" applyNumberFormat="0" applyFill="0" applyAlignment="0" applyProtection="0"/>
    <xf numFmtId="169" fontId="53" fillId="0" borderId="40" applyNumberFormat="0" applyFill="0" applyAlignment="0" applyProtection="0"/>
    <xf numFmtId="168" fontId="53" fillId="0" borderId="40" applyNumberFormat="0" applyFill="0" applyAlignment="0" applyProtection="0"/>
    <xf numFmtId="0" fontId="53" fillId="0" borderId="40" applyNumberFormat="0" applyFill="0" applyAlignment="0" applyProtection="0"/>
    <xf numFmtId="0" fontId="54" fillId="0" borderId="41" applyNumberFormat="0" applyFill="0" applyAlignment="0" applyProtection="0"/>
    <xf numFmtId="169" fontId="54" fillId="0" borderId="41" applyNumberFormat="0" applyFill="0" applyAlignment="0" applyProtection="0"/>
    <xf numFmtId="0"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0" fontId="54" fillId="0" borderId="41" applyNumberFormat="0" applyFill="0" applyAlignment="0" applyProtection="0"/>
    <xf numFmtId="0" fontId="55" fillId="0" borderId="42" applyNumberFormat="0" applyFill="0" applyAlignment="0" applyProtection="0"/>
    <xf numFmtId="169"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0" fontId="55" fillId="0" borderId="0" applyNumberFormat="0" applyFill="0" applyBorder="0" applyAlignment="0" applyProtection="0"/>
    <xf numFmtId="169" fontId="55" fillId="0" borderId="0" applyNumberFormat="0" applyFill="0" applyBorder="0" applyAlignment="0" applyProtection="0"/>
    <xf numFmtId="0"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168" fontId="55" fillId="0" borderId="0" applyNumberFormat="0" applyFill="0" applyBorder="0" applyAlignment="0" applyProtection="0"/>
    <xf numFmtId="169" fontId="55" fillId="0" borderId="0" applyNumberFormat="0" applyFill="0" applyBorder="0" applyAlignment="0" applyProtection="0"/>
    <xf numFmtId="168" fontId="55" fillId="0" borderId="0" applyNumberFormat="0" applyFill="0" applyBorder="0" applyAlignment="0" applyProtection="0"/>
    <xf numFmtId="0" fontId="55" fillId="0" borderId="0" applyNumberFormat="0" applyFill="0" applyBorder="0" applyAlignment="0" applyProtection="0"/>
    <xf numFmtId="37" fontId="56" fillId="0" borderId="0"/>
    <xf numFmtId="168" fontId="57" fillId="0" borderId="0"/>
    <xf numFmtId="0" fontId="57" fillId="0" borderId="0"/>
    <xf numFmtId="168" fontId="57" fillId="0" borderId="0"/>
    <xf numFmtId="168" fontId="52" fillId="0" borderId="0"/>
    <xf numFmtId="0" fontId="52" fillId="0" borderId="0"/>
    <xf numFmtId="168" fontId="52" fillId="0" borderId="0"/>
    <xf numFmtId="168" fontId="58" fillId="0" borderId="0"/>
    <xf numFmtId="0" fontId="58" fillId="0" borderId="0"/>
    <xf numFmtId="168" fontId="58"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0" fontId="60"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2" fillId="0" borderId="0" applyNumberFormat="0" applyFill="0" applyBorder="0" applyAlignment="0" applyProtection="0">
      <alignment vertical="top"/>
      <protection locked="0"/>
    </xf>
    <xf numFmtId="169" fontId="62" fillId="0" borderId="0" applyNumberFormat="0" applyFill="0" applyBorder="0" applyAlignment="0" applyProtection="0">
      <alignment vertical="top"/>
      <protection locked="0"/>
    </xf>
    <xf numFmtId="168" fontId="62" fillId="0" borderId="0" applyNumberFormat="0" applyFill="0" applyBorder="0" applyAlignment="0" applyProtection="0">
      <alignment vertical="top"/>
      <protection locked="0"/>
    </xf>
    <xf numFmtId="168" fontId="63" fillId="0" borderId="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8" fontId="66"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8" fontId="66"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9" fontId="66"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5" fillId="8" borderId="30"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0" fontId="64"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168" fontId="66" fillId="43" borderId="37" applyNumberFormat="0" applyAlignment="0" applyProtection="0"/>
    <xf numFmtId="169" fontId="66" fillId="43" borderId="37" applyNumberFormat="0" applyAlignment="0" applyProtection="0"/>
    <xf numFmtId="168" fontId="66" fillId="43" borderId="37" applyNumberFormat="0" applyAlignment="0" applyProtection="0"/>
    <xf numFmtId="0" fontId="64" fillId="43" borderId="37" applyNumberFormat="0" applyAlignment="0" applyProtection="0"/>
    <xf numFmtId="3" fontId="2" fillId="72" borderId="3" applyFont="0">
      <alignment horizontal="right" vertical="center"/>
      <protection locked="0"/>
    </xf>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0" fontId="67" fillId="0" borderId="43" applyNumberFormat="0" applyFill="0" applyAlignment="0" applyProtection="0"/>
    <xf numFmtId="0" fontId="68" fillId="0" borderId="32"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0" fontId="67" fillId="0" borderId="43"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168" fontId="69" fillId="0" borderId="43" applyNumberFormat="0" applyFill="0" applyAlignment="0" applyProtection="0"/>
    <xf numFmtId="169" fontId="69" fillId="0" borderId="43" applyNumberFormat="0" applyFill="0" applyAlignment="0" applyProtection="0"/>
    <xf numFmtId="168" fontId="69" fillId="0" borderId="43" applyNumberFormat="0" applyFill="0" applyAlignment="0" applyProtection="0"/>
    <xf numFmtId="0" fontId="67"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0" fillId="73" borderId="0" applyNumberFormat="0" applyBorder="0" applyAlignment="0" applyProtection="0"/>
    <xf numFmtId="0" fontId="71" fillId="7"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0" fontId="70" fillId="73"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0" fontId="71" fillId="7"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168" fontId="72" fillId="73" borderId="0" applyNumberFormat="0" applyBorder="0" applyAlignment="0" applyProtection="0"/>
    <xf numFmtId="169" fontId="72" fillId="73" borderId="0" applyNumberFormat="0" applyBorder="0" applyAlignment="0" applyProtection="0"/>
    <xf numFmtId="168" fontId="72" fillId="73" borderId="0" applyNumberFormat="0" applyBorder="0" applyAlignment="0" applyProtection="0"/>
    <xf numFmtId="0" fontId="70" fillId="73" borderId="0" applyNumberFormat="0" applyBorder="0" applyAlignment="0" applyProtection="0"/>
    <xf numFmtId="1" fontId="73" fillId="0" borderId="0" applyProtection="0"/>
    <xf numFmtId="168" fontId="24" fillId="0" borderId="44"/>
    <xf numFmtId="169" fontId="24" fillId="0" borderId="44"/>
    <xf numFmtId="168" fontId="24"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4" fillId="0" borderId="0"/>
    <xf numFmtId="181" fontId="2" fillId="0" borderId="0"/>
    <xf numFmtId="179" fontId="26"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0" fontId="75" fillId="0" borderId="0"/>
    <xf numFmtId="0" fontId="74" fillId="0" borderId="0"/>
    <xf numFmtId="179" fontId="26" fillId="0" borderId="0"/>
    <xf numFmtId="179" fontId="2" fillId="0" borderId="0"/>
    <xf numFmtId="179" fontId="2" fillId="0" borderId="0"/>
    <xf numFmtId="0" fontId="2" fillId="0" borderId="0"/>
    <xf numFmtId="0" fontId="2"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0" fontId="26"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5"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6" fillId="0" borderId="0"/>
    <xf numFmtId="0" fontId="26" fillId="0" borderId="0"/>
    <xf numFmtId="168" fontId="26"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68" fontId="26" fillId="0" borderId="0"/>
    <xf numFmtId="0" fontId="26" fillId="0" borderId="0"/>
    <xf numFmtId="0" fontId="26" fillId="0" borderId="0"/>
    <xf numFmtId="0" fontId="2"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5" fillId="0" borderId="0"/>
    <xf numFmtId="179" fontId="26" fillId="0" borderId="0"/>
    <xf numFmtId="179" fontId="2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6" fillId="0" borderId="0"/>
    <xf numFmtId="179" fontId="26" fillId="0" borderId="0"/>
    <xf numFmtId="179" fontId="26" fillId="0" borderId="0"/>
    <xf numFmtId="179" fontId="26"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6"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3" fillId="0" borderId="0"/>
    <xf numFmtId="0" fontId="26" fillId="0" borderId="0"/>
    <xf numFmtId="0" fontId="2" fillId="0" borderId="0"/>
    <xf numFmtId="0" fontId="25" fillId="0" borderId="0"/>
    <xf numFmtId="168" fontId="23" fillId="0" borderId="0"/>
    <xf numFmtId="0" fontId="2"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6" fillId="0" borderId="0"/>
    <xf numFmtId="0" fontId="26" fillId="0" borderId="0"/>
    <xf numFmtId="168" fontId="23" fillId="0" borderId="0"/>
    <xf numFmtId="0" fontId="63" fillId="0" borderId="0"/>
    <xf numFmtId="0" fontId="2" fillId="0" borderId="0"/>
    <xf numFmtId="168" fontId="23" fillId="0" borderId="0"/>
    <xf numFmtId="0" fontId="1" fillId="0" borderId="0"/>
    <xf numFmtId="179"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79" fontId="26"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168" fontId="23" fillId="0" borderId="0"/>
    <xf numFmtId="168" fontId="23" fillId="0" borderId="0"/>
    <xf numFmtId="0" fontId="1" fillId="0" borderId="0"/>
    <xf numFmtId="179" fontId="26" fillId="0" borderId="0"/>
    <xf numFmtId="179" fontId="26" fillId="0" borderId="0"/>
    <xf numFmtId="179" fontId="2" fillId="0" borderId="0"/>
    <xf numFmtId="0" fontId="2" fillId="0" borderId="0"/>
    <xf numFmtId="179" fontId="2" fillId="0" borderId="0"/>
    <xf numFmtId="0" fontId="2" fillId="0" borderId="0"/>
    <xf numFmtId="179" fontId="2" fillId="0" borderId="0"/>
    <xf numFmtId="0"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6" fillId="0" borderId="0"/>
    <xf numFmtId="168" fontId="23" fillId="0" borderId="0"/>
    <xf numFmtId="168" fontId="23" fillId="0" borderId="0"/>
    <xf numFmtId="0" fontId="1" fillId="0" borderId="0"/>
    <xf numFmtId="179" fontId="26" fillId="0" borderId="0"/>
    <xf numFmtId="179" fontId="26"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4" fillId="0" borderId="0"/>
    <xf numFmtId="179" fontId="26"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79" fontId="2"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4"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4"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4"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4" fillId="0" borderId="0"/>
    <xf numFmtId="0" fontId="8"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4" fillId="0" borderId="0"/>
    <xf numFmtId="0" fontId="24" fillId="0" borderId="0"/>
    <xf numFmtId="0" fontId="24" fillId="0" borderId="0"/>
    <xf numFmtId="0" fontId="24" fillId="0" borderId="0"/>
    <xf numFmtId="179" fontId="8" fillId="0" borderId="0"/>
    <xf numFmtId="0" fontId="24" fillId="0" borderId="0"/>
    <xf numFmtId="179" fontId="24" fillId="0" borderId="0"/>
    <xf numFmtId="0" fontId="24" fillId="0" borderId="0"/>
    <xf numFmtId="0" fontId="2" fillId="0" borderId="0"/>
    <xf numFmtId="0" fontId="2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4" fillId="0" borderId="0"/>
    <xf numFmtId="179" fontId="8"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24"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4" fillId="0" borderId="0"/>
    <xf numFmtId="0" fontId="24" fillId="0" borderId="0"/>
    <xf numFmtId="168" fontId="24" fillId="0" borderId="0"/>
    <xf numFmtId="0" fontId="74" fillId="0" borderId="0"/>
    <xf numFmtId="168"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4" fillId="0" borderId="0"/>
    <xf numFmtId="0" fontId="8" fillId="0" borderId="0"/>
    <xf numFmtId="0" fontId="74" fillId="0" borderId="0"/>
    <xf numFmtId="168" fontId="8" fillId="0" borderId="0"/>
    <xf numFmtId="0" fontId="74" fillId="0" borderId="0"/>
    <xf numFmtId="168" fontId="8" fillId="0" borderId="0"/>
    <xf numFmtId="0" fontId="74"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179" fontId="8"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179" fontId="2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4"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4" fillId="0" borderId="0"/>
    <xf numFmtId="179" fontId="24" fillId="0" borderId="0"/>
    <xf numFmtId="179" fontId="24" fillId="0" borderId="0"/>
    <xf numFmtId="179"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2" fillId="0" borderId="0"/>
    <xf numFmtId="0" fontId="2" fillId="0" borderId="0"/>
    <xf numFmtId="0" fontId="74" fillId="0" borderId="0"/>
    <xf numFmtId="168" fontId="4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4" fillId="0" borderId="0"/>
    <xf numFmtId="0" fontId="2" fillId="0" borderId="0"/>
    <xf numFmtId="0" fontId="7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79" fontId="2" fillId="0" borderId="0"/>
    <xf numFmtId="0" fontId="74"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169" fontId="2"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68"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168" fontId="2" fillId="0" borderId="0"/>
    <xf numFmtId="0" fontId="74"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168" fontId="2" fillId="0" borderId="0"/>
    <xf numFmtId="0" fontId="74" fillId="0" borderId="0"/>
    <xf numFmtId="0" fontId="74" fillId="0" borderId="0"/>
    <xf numFmtId="0" fontId="74" fillId="0" borderId="0"/>
    <xf numFmtId="0" fontId="74" fillId="0" borderId="0"/>
    <xf numFmtId="0" fontId="7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8" fillId="0" borderId="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168" fontId="2" fillId="0" borderId="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5" fillId="74" borderId="45" applyNumberFormat="0" applyFont="0" applyAlignment="0" applyProtection="0"/>
    <xf numFmtId="168" fontId="2" fillId="0" borderId="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169" fontId="2" fillId="0" borderId="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 fillId="0" borderId="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6" fillId="11" borderId="34"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5"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168" fontId="2" fillId="0" borderId="0"/>
    <xf numFmtId="0" fontId="2" fillId="74" borderId="45" applyNumberFormat="0" applyFont="0" applyAlignment="0" applyProtection="0"/>
    <xf numFmtId="0" fontId="2" fillId="74" borderId="45" applyNumberFormat="0" applyFont="0" applyAlignment="0" applyProtection="0"/>
    <xf numFmtId="169" fontId="2" fillId="0" borderId="0"/>
    <xf numFmtId="168" fontId="2" fillId="0" borderId="0"/>
    <xf numFmtId="168" fontId="2" fillId="0" borderId="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0" fontId="2" fillId="74"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79"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0" fillId="0" borderId="0"/>
    <xf numFmtId="0" fontId="80" fillId="0" borderId="0"/>
    <xf numFmtId="168" fontId="80" fillId="0" borderId="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8" fontId="83"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8" fontId="83"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9" fontId="83"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2" fillId="9" borderId="31"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0" fontId="81"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168" fontId="83" fillId="64" borderId="46" applyNumberFormat="0" applyAlignment="0" applyProtection="0"/>
    <xf numFmtId="169" fontId="83" fillId="64" borderId="46" applyNumberFormat="0" applyAlignment="0" applyProtection="0"/>
    <xf numFmtId="168" fontId="83" fillId="64" borderId="46" applyNumberFormat="0" applyAlignment="0" applyProtection="0"/>
    <xf numFmtId="0" fontId="81" fillId="64" borderId="46" applyNumberFormat="0" applyAlignment="0" applyProtection="0"/>
    <xf numFmtId="0" fontId="23" fillId="0" borderId="0"/>
    <xf numFmtId="175" fontId="35" fillId="0" borderId="0" applyFont="0" applyFill="0" applyBorder="0" applyAlignment="0" applyProtection="0"/>
    <xf numFmtId="186" fontId="3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84"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5" fillId="0" borderId="0" applyFill="0" applyBorder="0" applyAlignment="0"/>
    <xf numFmtId="172" fontId="35" fillId="0" borderId="0" applyFill="0" applyBorder="0" applyAlignment="0"/>
    <xf numFmtId="171" fontId="35" fillId="0" borderId="0" applyFill="0" applyBorder="0" applyAlignment="0"/>
    <xf numFmtId="176" fontId="35" fillId="0" borderId="0" applyFill="0" applyBorder="0" applyAlignment="0"/>
    <xf numFmtId="172" fontId="35" fillId="0" borderId="0" applyFill="0" applyBorder="0" applyAlignment="0"/>
    <xf numFmtId="168" fontId="2" fillId="0" borderId="0"/>
    <xf numFmtId="0" fontId="2" fillId="0" borderId="0"/>
    <xf numFmtId="168" fontId="2" fillId="0" borderId="0"/>
    <xf numFmtId="187" fontId="63" fillId="0" borderId="3" applyNumberFormat="0">
      <alignment horizontal="center" vertical="top" wrapText="1"/>
    </xf>
    <xf numFmtId="0" fontId="85"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6" fillId="0" borderId="0"/>
    <xf numFmtId="0" fontId="23" fillId="0" borderId="0"/>
    <xf numFmtId="0" fontId="87" fillId="0" borderId="0"/>
    <xf numFmtId="0" fontId="87" fillId="0" borderId="0"/>
    <xf numFmtId="168" fontId="23" fillId="0" borderId="0"/>
    <xf numFmtId="168" fontId="23" fillId="0" borderId="0"/>
    <xf numFmtId="0" fontId="88" fillId="0" borderId="0"/>
    <xf numFmtId="0" fontId="89" fillId="0" borderId="0"/>
    <xf numFmtId="0" fontId="88" fillId="0" borderId="0"/>
    <xf numFmtId="0" fontId="88" fillId="0" borderId="0"/>
    <xf numFmtId="0" fontId="88" fillId="0" borderId="0"/>
    <xf numFmtId="0" fontId="88" fillId="0" borderId="0"/>
    <xf numFmtId="0" fontId="88" fillId="0" borderId="0"/>
    <xf numFmtId="49" fontId="44" fillId="0" borderId="0" applyFill="0" applyBorder="0" applyAlignment="0"/>
    <xf numFmtId="189" fontId="35" fillId="0" borderId="0" applyFill="0" applyBorder="0" applyAlignment="0"/>
    <xf numFmtId="190" fontId="35" fillId="0" borderId="0" applyFill="0" applyBorder="0" applyAlignment="0"/>
    <xf numFmtId="0" fontId="90" fillId="0" borderId="0">
      <alignment horizontal="center" vertical="top"/>
    </xf>
    <xf numFmtId="0" fontId="91" fillId="0" borderId="0" applyNumberFormat="0" applyFill="0" applyBorder="0" applyAlignment="0" applyProtection="0"/>
    <xf numFmtId="169" fontId="91" fillId="0" borderId="0" applyNumberFormat="0" applyFill="0" applyBorder="0" applyAlignment="0" applyProtection="0"/>
    <xf numFmtId="0"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168" fontId="91" fillId="0" borderId="0" applyNumberFormat="0" applyFill="0" applyBorder="0" applyAlignment="0" applyProtection="0"/>
    <xf numFmtId="169" fontId="91" fillId="0" borderId="0" applyNumberFormat="0" applyFill="0" applyBorder="0" applyAlignment="0" applyProtection="0"/>
    <xf numFmtId="168" fontId="91" fillId="0" borderId="0" applyNumberFormat="0" applyFill="0" applyBorder="0" applyAlignment="0" applyProtection="0"/>
    <xf numFmtId="0" fontId="91" fillId="0" borderId="0" applyNumberFormat="0" applyFill="0" applyBorder="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9" fontId="92"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6" fillId="0" borderId="35"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0" fontId="45"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168" fontId="92" fillId="0" borderId="47" applyNumberFormat="0" applyFill="0" applyAlignment="0" applyProtection="0"/>
    <xf numFmtId="169" fontId="92" fillId="0" borderId="47" applyNumberFormat="0" applyFill="0" applyAlignment="0" applyProtection="0"/>
    <xf numFmtId="168" fontId="92" fillId="0" borderId="47" applyNumberFormat="0" applyFill="0" applyAlignment="0" applyProtection="0"/>
    <xf numFmtId="0" fontId="45" fillId="0" borderId="47" applyNumberFormat="0" applyFill="0" applyAlignment="0" applyProtection="0"/>
    <xf numFmtId="0" fontId="23" fillId="0" borderId="48"/>
    <xf numFmtId="185" fontId="79"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4" fillId="0" borderId="0" applyFont="0" applyFill="0" applyBorder="0" applyAlignment="0" applyProtection="0"/>
    <xf numFmtId="192" fontId="2" fillId="0" borderId="0" applyFont="0" applyFill="0" applyBorder="0" applyAlignment="0" applyProtection="0"/>
    <xf numFmtId="0" fontId="93" fillId="0" borderId="0" applyNumberFormat="0" applyFill="0" applyBorder="0" applyAlignment="0" applyProtection="0"/>
    <xf numFmtId="0" fontId="22"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0" fontId="93"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0" fontId="93" fillId="0" borderId="0" applyNumberFormat="0" applyFill="0" applyBorder="0" applyAlignment="0" applyProtection="0"/>
    <xf numFmtId="1" fontId="95" fillId="0" borderId="0" applyFill="0" applyProtection="0">
      <alignment horizontal="right"/>
    </xf>
    <xf numFmtId="42" fontId="96" fillId="0" borderId="0" applyFont="0" applyFill="0" applyBorder="0" applyAlignment="0" applyProtection="0"/>
    <xf numFmtId="44" fontId="96" fillId="0" borderId="0" applyFont="0" applyFill="0" applyBorder="0" applyAlignment="0" applyProtection="0"/>
    <xf numFmtId="0" fontId="97" fillId="0" borderId="0"/>
    <xf numFmtId="0" fontId="98" fillId="0" borderId="0"/>
    <xf numFmtId="38" fontId="24" fillId="0" borderId="0" applyFont="0" applyFill="0" applyBorder="0" applyAlignment="0" applyProtection="0"/>
    <xf numFmtId="40" fontId="24" fillId="0" borderId="0" applyFont="0" applyFill="0" applyBorder="0" applyAlignment="0" applyProtection="0"/>
    <xf numFmtId="41" fontId="96" fillId="0" borderId="0" applyFont="0" applyFill="0" applyBorder="0" applyAlignment="0" applyProtection="0"/>
    <xf numFmtId="43" fontId="96" fillId="0" borderId="0" applyFont="0" applyFill="0" applyBorder="0" applyAlignment="0" applyProtection="0"/>
    <xf numFmtId="0" fontId="2" fillId="0" borderId="0"/>
    <xf numFmtId="9" fontId="1" fillId="0" borderId="0" applyFont="0" applyFill="0" applyBorder="0" applyAlignment="0" applyProtection="0"/>
    <xf numFmtId="0" fontId="45"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168" fontId="92" fillId="0" borderId="102" applyNumberFormat="0" applyFill="0" applyAlignment="0" applyProtection="0"/>
    <xf numFmtId="169" fontId="92"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9"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68" fontId="92"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0" fontId="45" fillId="0" borderId="102" applyNumberFormat="0" applyFill="0" applyAlignment="0" applyProtection="0"/>
    <xf numFmtId="188" fontId="2" fillId="70" borderId="96" applyFont="0">
      <alignment horizontal="right" vertical="center"/>
    </xf>
    <xf numFmtId="3" fontId="2" fillId="70" borderId="96" applyFont="0">
      <alignment horizontal="right" vertical="center"/>
    </xf>
    <xf numFmtId="0" fontId="81"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168" fontId="83" fillId="64" borderId="101" applyNumberFormat="0" applyAlignment="0" applyProtection="0"/>
    <xf numFmtId="169" fontId="83" fillId="64" borderId="101" applyNumberFormat="0" applyAlignment="0" applyProtection="0"/>
    <xf numFmtId="168"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169"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168"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168" fontId="83"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0" fontId="81" fillId="64" borderId="101" applyNumberFormat="0" applyAlignment="0" applyProtection="0"/>
    <xf numFmtId="3" fontId="2" fillId="75" borderId="96" applyFont="0">
      <alignment horizontal="right" vertical="center"/>
      <protection locked="0"/>
    </xf>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0" fontId="25" fillId="74" borderId="100" applyNumberFormat="0" applyFont="0" applyAlignment="0" applyProtection="0"/>
    <xf numFmtId="3" fontId="2" fillId="72" borderId="96" applyFont="0">
      <alignment horizontal="right" vertical="center"/>
      <protection locked="0"/>
    </xf>
    <xf numFmtId="0" fontId="64"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168" fontId="66" fillId="43" borderId="99" applyNumberFormat="0" applyAlignment="0" applyProtection="0"/>
    <xf numFmtId="169" fontId="66" fillId="43" borderId="99" applyNumberFormat="0" applyAlignment="0" applyProtection="0"/>
    <xf numFmtId="168"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169"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168"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168" fontId="66"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64" fillId="43" borderId="99" applyNumberFormat="0" applyAlignment="0" applyProtection="0"/>
    <xf numFmtId="0" fontId="2" fillId="71" borderId="97" applyNumberFormat="0" applyFont="0" applyBorder="0" applyProtection="0">
      <alignment horizontal="left" vertical="center"/>
    </xf>
    <xf numFmtId="9" fontId="2" fillId="71" borderId="96" applyFont="0" applyProtection="0">
      <alignment horizontal="right" vertical="center"/>
    </xf>
    <xf numFmtId="3" fontId="2" fillId="71" borderId="96" applyFont="0" applyProtection="0">
      <alignment horizontal="right" vertical="center"/>
    </xf>
    <xf numFmtId="0" fontId="60" fillId="70" borderId="97" applyFont="0" applyBorder="0">
      <alignment horizontal="center" wrapText="1"/>
    </xf>
    <xf numFmtId="168" fontId="52" fillId="0" borderId="94">
      <alignment horizontal="left" vertical="center"/>
    </xf>
    <xf numFmtId="0" fontId="52" fillId="0" borderId="94">
      <alignment horizontal="left" vertical="center"/>
    </xf>
    <xf numFmtId="0" fontId="52" fillId="0" borderId="94">
      <alignment horizontal="left" vertical="center"/>
    </xf>
    <xf numFmtId="0" fontId="2" fillId="69" borderId="96" applyNumberFormat="0" applyFont="0" applyBorder="0" applyProtection="0">
      <alignment horizontal="center" vertical="center"/>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4" fillId="0" borderId="96" applyNumberFormat="0" applyAlignment="0">
      <alignment horizontal="right"/>
      <protection locked="0"/>
    </xf>
    <xf numFmtId="0" fontId="36"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168" fontId="38" fillId="64" borderId="99" applyNumberFormat="0" applyAlignment="0" applyProtection="0"/>
    <xf numFmtId="169" fontId="38" fillId="64" borderId="99" applyNumberFormat="0" applyAlignment="0" applyProtection="0"/>
    <xf numFmtId="168"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169"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168"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168" fontId="38"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36" fillId="64" borderId="99" applyNumberFormat="0" applyAlignment="0" applyProtection="0"/>
    <xf numFmtId="0" fontId="1" fillId="0" borderId="0"/>
    <xf numFmtId="169" fontId="24" fillId="37" borderId="0"/>
    <xf numFmtId="0" fontId="2" fillId="0" borderId="0">
      <alignment vertical="center"/>
    </xf>
    <xf numFmtId="166" fontId="1" fillId="0" borderId="0" applyFont="0" applyFill="0" applyBorder="0" applyAlignment="0" applyProtection="0"/>
    <xf numFmtId="0" fontId="126" fillId="0" borderId="0"/>
  </cellStyleXfs>
  <cellXfs count="1043">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1" fillId="0" borderId="0" xfId="0" applyFont="1" applyAlignment="1">
      <alignment horizontal="center" vertical="center"/>
    </xf>
    <xf numFmtId="0" fontId="21"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1"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4" fillId="0" borderId="19" xfId="0" applyFont="1" applyBorder="1"/>
    <xf numFmtId="0" fontId="21" fillId="0" borderId="3" xfId="0" applyFont="1" applyBorder="1"/>
    <xf numFmtId="0" fontId="20"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3" xfId="0" applyFont="1" applyBorder="1"/>
    <xf numFmtId="0" fontId="18" fillId="0" borderId="22" xfId="0" applyFont="1" applyBorder="1" applyAlignment="1">
      <alignment horizontal="center" vertical="center" wrapText="1"/>
    </xf>
    <xf numFmtId="0" fontId="4" fillId="0" borderId="54"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6" borderId="23" xfId="13" applyFont="1" applyFill="1" applyBorder="1" applyAlignment="1" applyProtection="1">
      <alignment vertical="center" wrapText="1"/>
      <protection locked="0"/>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0" fillId="0" borderId="0" xfId="0" applyFont="1" applyFill="1"/>
    <xf numFmtId="0" fontId="4" fillId="0" borderId="61"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9" fillId="3" borderId="19" xfId="5" applyFont="1" applyFill="1" applyBorder="1" applyAlignment="1" applyProtection="1">
      <alignment horizontal="left" vertical="center"/>
      <protection locked="0"/>
    </xf>
    <xf numFmtId="0" fontId="9" fillId="3" borderId="20" xfId="13" applyFont="1" applyFill="1" applyBorder="1" applyAlignment="1" applyProtection="1">
      <alignment horizontal="center" vertical="center" wrapText="1"/>
      <protection locked="0"/>
    </xf>
    <xf numFmtId="0" fontId="9" fillId="3" borderId="19" xfId="5" applyFont="1" applyFill="1" applyBorder="1" applyAlignment="1" applyProtection="1">
      <alignment horizontal="right" vertical="center"/>
      <protection locked="0"/>
    </xf>
    <xf numFmtId="3" fontId="9" fillId="36" borderId="20" xfId="5" applyNumberFormat="1" applyFont="1" applyFill="1" applyBorder="1" applyProtection="1">
      <protection locked="0"/>
    </xf>
    <xf numFmtId="0" fontId="9" fillId="3" borderId="22" xfId="9" applyFont="1" applyFill="1" applyBorder="1" applyAlignment="1" applyProtection="1">
      <alignment horizontal="right" vertical="center"/>
      <protection locked="0"/>
    </xf>
    <xf numFmtId="0" fontId="10" fillId="3" borderId="23" xfId="16" applyFont="1" applyFill="1" applyBorder="1" applyAlignment="1" applyProtection="1">
      <protection locked="0"/>
    </xf>
    <xf numFmtId="3" fontId="10" fillId="36" borderId="23" xfId="16" applyNumberFormat="1" applyFont="1" applyFill="1" applyBorder="1" applyAlignment="1" applyProtection="1">
      <protection locked="0"/>
    </xf>
    <xf numFmtId="164" fontId="10" fillId="36" borderId="24" xfId="1" applyNumberFormat="1" applyFont="1" applyFill="1" applyBorder="1" applyAlignment="1" applyProtection="1">
      <protection locked="0"/>
    </xf>
    <xf numFmtId="0" fontId="4" fillId="0" borderId="53" xfId="0" applyFont="1" applyBorder="1" applyAlignment="1">
      <alignment horizontal="center"/>
    </xf>
    <xf numFmtId="0" fontId="4" fillId="0" borderId="54"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0" fillId="0" borderId="3" xfId="20960" applyFont="1" applyFill="1" applyBorder="1" applyAlignment="1" applyProtection="1">
      <alignment horizontal="center" vertical="center"/>
    </xf>
    <xf numFmtId="0" fontId="101"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03" fillId="0" borderId="0" xfId="0" applyFont="1" applyFill="1" applyBorder="1" applyAlignment="1"/>
    <xf numFmtId="49" fontId="103" fillId="0" borderId="7" xfId="0" applyNumberFormat="1" applyFont="1" applyFill="1" applyBorder="1" applyAlignment="1">
      <alignment horizontal="right" vertical="center"/>
    </xf>
    <xf numFmtId="49" fontId="103" fillId="0" borderId="74" xfId="0" applyNumberFormat="1" applyFont="1" applyFill="1" applyBorder="1" applyAlignment="1">
      <alignment horizontal="right" vertical="center"/>
    </xf>
    <xf numFmtId="49" fontId="103" fillId="0" borderId="77" xfId="0" applyNumberFormat="1" applyFont="1" applyFill="1" applyBorder="1" applyAlignment="1">
      <alignment horizontal="right" vertical="center"/>
    </xf>
    <xf numFmtId="49" fontId="103" fillId="0" borderId="82" xfId="0" applyNumberFormat="1" applyFont="1" applyFill="1" applyBorder="1" applyAlignment="1">
      <alignment horizontal="right" vertical="center"/>
    </xf>
    <xf numFmtId="0" fontId="103" fillId="0" borderId="0" xfId="0" applyFont="1" applyFill="1" applyBorder="1" applyAlignment="1">
      <alignment horizontal="left"/>
    </xf>
    <xf numFmtId="0" fontId="103" fillId="0" borderId="82" xfId="0" applyNumberFormat="1" applyFont="1" applyFill="1" applyBorder="1" applyAlignment="1">
      <alignment horizontal="right" vertical="center"/>
    </xf>
    <xf numFmtId="49" fontId="103" fillId="0" borderId="0" xfId="0" applyNumberFormat="1" applyFont="1" applyFill="1" applyBorder="1" applyAlignment="1">
      <alignment horizontal="right" vertical="center"/>
    </xf>
    <xf numFmtId="0" fontId="103" fillId="0" borderId="0" xfId="0" applyFont="1" applyFill="1" applyBorder="1" applyAlignment="1">
      <alignment vertical="center" wrapText="1"/>
    </xf>
    <xf numFmtId="0" fontId="103"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193" fontId="0" fillId="0" borderId="20" xfId="0" applyNumberFormat="1" applyBorder="1" applyAlignment="1"/>
    <xf numFmtId="193" fontId="0" fillId="0" borderId="20" xfId="0" applyNumberFormat="1" applyBorder="1" applyAlignment="1">
      <alignment wrapText="1"/>
    </xf>
    <xf numFmtId="193" fontId="7" fillId="36"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6"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6" borderId="20" xfId="2" applyNumberFormat="1" applyFont="1" applyFill="1" applyBorder="1" applyAlignment="1" applyProtection="1">
      <alignment vertical="top" wrapText="1"/>
      <protection locked="0"/>
    </xf>
    <xf numFmtId="193" fontId="7" fillId="36" borderId="24" xfId="2" applyNumberFormat="1" applyFont="1" applyFill="1" applyBorder="1" applyAlignment="1" applyProtection="1">
      <alignment vertical="top" wrapText="1"/>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3"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3" xfId="1" applyNumberFormat="1" applyFont="1" applyFill="1" applyBorder="1" applyAlignment="1" applyProtection="1">
      <protection locked="0"/>
    </xf>
    <xf numFmtId="193" fontId="9" fillId="3" borderId="23" xfId="5" applyNumberFormat="1" applyFont="1" applyFill="1" applyBorder="1" applyProtection="1">
      <protection locked="0"/>
    </xf>
    <xf numFmtId="193" fontId="21" fillId="0" borderId="0" xfId="0" applyNumberFormat="1" applyFont="1"/>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4"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4" fillId="37" borderId="0" xfId="20" applyBorder="1"/>
    <xf numFmtId="169" fontId="24" fillId="37" borderId="90" xfId="20" applyBorder="1"/>
    <xf numFmtId="0" fontId="4" fillId="0" borderId="7" xfId="0" applyFont="1" applyFill="1" applyBorder="1" applyAlignment="1">
      <alignment vertical="center"/>
    </xf>
    <xf numFmtId="0" fontId="4" fillId="0" borderId="96" xfId="0" applyFont="1" applyFill="1" applyBorder="1" applyAlignment="1">
      <alignment vertical="center"/>
    </xf>
    <xf numFmtId="0" fontId="6" fillId="0" borderId="96" xfId="0" applyFont="1" applyFill="1" applyBorder="1" applyAlignment="1">
      <alignment vertical="center"/>
    </xf>
    <xf numFmtId="0" fontId="4" fillId="0" borderId="17" xfId="0" applyFont="1" applyFill="1" applyBorder="1" applyAlignment="1">
      <alignment vertical="center"/>
    </xf>
    <xf numFmtId="0" fontId="4" fillId="0" borderId="92" xfId="0" applyFont="1" applyFill="1" applyBorder="1" applyAlignment="1">
      <alignment vertical="center"/>
    </xf>
    <xf numFmtId="0" fontId="4" fillId="0" borderId="93" xfId="0" applyFont="1" applyFill="1" applyBorder="1" applyAlignment="1">
      <alignment vertical="center"/>
    </xf>
    <xf numFmtId="0" fontId="4" fillId="0" borderId="16" xfId="0" applyFont="1" applyFill="1" applyBorder="1" applyAlignment="1">
      <alignment horizontal="center" vertical="center"/>
    </xf>
    <xf numFmtId="0" fontId="4" fillId="0" borderId="104" xfId="0" applyFont="1" applyFill="1" applyBorder="1" applyAlignment="1">
      <alignment horizontal="center" vertical="center"/>
    </xf>
    <xf numFmtId="0" fontId="4" fillId="0" borderId="106" xfId="0" applyFont="1" applyFill="1" applyBorder="1" applyAlignment="1">
      <alignment horizontal="center" vertical="center"/>
    </xf>
    <xf numFmtId="169" fontId="24" fillId="37" borderId="29" xfId="20" applyBorder="1"/>
    <xf numFmtId="169" fontId="24" fillId="37" borderId="108" xfId="20" applyBorder="1"/>
    <xf numFmtId="169" fontId="24" fillId="37" borderId="98" xfId="20" applyBorder="1"/>
    <xf numFmtId="169" fontId="24" fillId="37" borderId="54" xfId="20" applyBorder="1"/>
    <xf numFmtId="0" fontId="4" fillId="3" borderId="61" xfId="0" applyFont="1" applyFill="1" applyBorder="1" applyAlignment="1">
      <alignment horizontal="center" vertical="center"/>
    </xf>
    <xf numFmtId="0" fontId="4" fillId="3" borderId="0" xfId="0" applyFont="1" applyFill="1" applyBorder="1" applyAlignment="1">
      <alignment vertical="center"/>
    </xf>
    <xf numFmtId="0" fontId="4" fillId="0" borderId="67" xfId="0" applyFont="1" applyFill="1" applyBorder="1" applyAlignment="1">
      <alignment horizontal="center" vertical="center"/>
    </xf>
    <xf numFmtId="0" fontId="4" fillId="3" borderId="94" xfId="0" applyFont="1" applyFill="1" applyBorder="1" applyAlignment="1">
      <alignment vertical="center"/>
    </xf>
    <xf numFmtId="0" fontId="14" fillId="3" borderId="109" xfId="0" applyFont="1" applyFill="1" applyBorder="1" applyAlignment="1">
      <alignment horizontal="left"/>
    </xf>
    <xf numFmtId="0" fontId="14" fillId="3" borderId="110" xfId="0" applyFont="1" applyFill="1" applyBorder="1" applyAlignment="1">
      <alignment horizontal="left"/>
    </xf>
    <xf numFmtId="0" fontId="4" fillId="0" borderId="0" xfId="0" applyFont="1"/>
    <xf numFmtId="0" fontId="4" fillId="0" borderId="0" xfId="0" applyFont="1" applyFill="1"/>
    <xf numFmtId="0" fontId="4" fillId="0" borderId="96" xfId="0" applyFont="1" applyFill="1" applyBorder="1" applyAlignment="1">
      <alignment horizontal="center" vertical="center" wrapText="1"/>
    </xf>
    <xf numFmtId="0" fontId="103" fillId="0" borderId="84" xfId="0" applyFont="1" applyFill="1" applyBorder="1" applyAlignment="1">
      <alignment horizontal="right" vertical="center"/>
    </xf>
    <xf numFmtId="0" fontId="4" fillId="0" borderId="111" xfId="0" applyFont="1" applyFill="1" applyBorder="1" applyAlignment="1">
      <alignment horizontal="center" vertical="center" wrapText="1"/>
    </xf>
    <xf numFmtId="0" fontId="6" fillId="3" borderId="112" xfId="0" applyFont="1" applyFill="1" applyBorder="1" applyAlignment="1">
      <alignment vertical="center"/>
    </xf>
    <xf numFmtId="0" fontId="4" fillId="3" borderId="21" xfId="0" applyFont="1" applyFill="1" applyBorder="1" applyAlignment="1">
      <alignment vertical="center"/>
    </xf>
    <xf numFmtId="0" fontId="4" fillId="0" borderId="113" xfId="0" applyFont="1" applyFill="1" applyBorder="1" applyAlignment="1">
      <alignment horizontal="center" vertical="center"/>
    </xf>
    <xf numFmtId="0" fontId="6" fillId="0" borderId="23" xfId="0" applyFont="1" applyFill="1" applyBorder="1" applyAlignment="1">
      <alignment vertical="center"/>
    </xf>
    <xf numFmtId="169" fontId="24" fillId="37" borderId="25" xfId="20" applyBorder="1"/>
    <xf numFmtId="0" fontId="4" fillId="0" borderId="7"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3" xfId="0" applyBorder="1"/>
    <xf numFmtId="0" fontId="0" fillId="0" borderId="22" xfId="0" applyBorder="1"/>
    <xf numFmtId="0" fontId="6" fillId="36" borderId="114"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3" xfId="0" applyFont="1" applyFill="1" applyBorder="1" applyAlignment="1">
      <alignment horizontal="left" vertical="center" wrapText="1"/>
    </xf>
    <xf numFmtId="0" fontId="6" fillId="36" borderId="96" xfId="0" applyFont="1" applyFill="1" applyBorder="1" applyAlignment="1">
      <alignment horizontal="left" vertical="center" wrapText="1"/>
    </xf>
    <xf numFmtId="0" fontId="6" fillId="36" borderId="111" xfId="0" applyFont="1" applyFill="1" applyBorder="1" applyAlignment="1">
      <alignment horizontal="left" vertical="center" wrapText="1"/>
    </xf>
    <xf numFmtId="0" fontId="4" fillId="0" borderId="113" xfId="0" applyFont="1" applyFill="1" applyBorder="1" applyAlignment="1">
      <alignment horizontal="right" vertical="center" wrapText="1"/>
    </xf>
    <xf numFmtId="0" fontId="4" fillId="0" borderId="96" xfId="0" applyFont="1" applyFill="1" applyBorder="1" applyAlignment="1">
      <alignment horizontal="left" vertical="center" wrapText="1"/>
    </xf>
    <xf numFmtId="0" fontId="106" fillId="0" borderId="113" xfId="0" applyFont="1" applyFill="1" applyBorder="1" applyAlignment="1">
      <alignment horizontal="right" vertical="center" wrapText="1"/>
    </xf>
    <xf numFmtId="0" fontId="106" fillId="0" borderId="96" xfId="0" applyFont="1" applyFill="1" applyBorder="1" applyAlignment="1">
      <alignment horizontal="left" vertical="center" wrapText="1"/>
    </xf>
    <xf numFmtId="0" fontId="6" fillId="0" borderId="11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6" fillId="0" borderId="0" xfId="0" applyFont="1" applyFill="1" applyAlignment="1">
      <alignment horizontal="left" vertical="center"/>
    </xf>
    <xf numFmtId="49" fontId="107" fillId="0" borderId="22" xfId="5" applyNumberFormat="1" applyFont="1" applyFill="1" applyBorder="1" applyAlignment="1" applyProtection="1">
      <alignment horizontal="left" vertical="center"/>
      <protection locked="0"/>
    </xf>
    <xf numFmtId="0" fontId="108" fillId="0" borderId="23" xfId="9" applyFont="1" applyFill="1" applyBorder="1" applyAlignment="1" applyProtection="1">
      <alignment horizontal="left" vertical="center" wrapText="1"/>
      <protection locked="0"/>
    </xf>
    <xf numFmtId="0" fontId="18" fillId="0" borderId="113" xfId="0" applyFont="1" applyBorder="1" applyAlignment="1">
      <alignment horizontal="center" vertical="center" wrapText="1"/>
    </xf>
    <xf numFmtId="14" fontId="7" fillId="3" borderId="96" xfId="8" quotePrefix="1" applyNumberFormat="1" applyFont="1" applyFill="1" applyBorder="1" applyAlignment="1" applyProtection="1">
      <alignment horizontal="left" vertical="center" wrapText="1" indent="2"/>
      <protection locked="0"/>
    </xf>
    <xf numFmtId="3" fontId="19" fillId="0" borderId="96" xfId="0" applyNumberFormat="1" applyFont="1" applyBorder="1" applyAlignment="1">
      <alignment vertical="center" wrapText="1"/>
    </xf>
    <xf numFmtId="14" fontId="7" fillId="3" borderId="96" xfId="8" quotePrefix="1" applyNumberFormat="1" applyFont="1" applyFill="1" applyBorder="1" applyAlignment="1" applyProtection="1">
      <alignment horizontal="left" vertical="center" wrapText="1" indent="3"/>
      <protection locked="0"/>
    </xf>
    <xf numFmtId="3" fontId="19" fillId="0" borderId="96" xfId="0" applyNumberFormat="1" applyFont="1" applyFill="1" applyBorder="1" applyAlignment="1">
      <alignment vertical="center" wrapText="1"/>
    </xf>
    <xf numFmtId="0" fontId="11" fillId="0" borderId="96" xfId="17" applyFill="1" applyBorder="1" applyAlignment="1" applyProtection="1"/>
    <xf numFmtId="49" fontId="106" fillId="0" borderId="113" xfId="0" applyNumberFormat="1" applyFont="1" applyFill="1" applyBorder="1" applyAlignment="1">
      <alignment horizontal="right" vertical="center" wrapText="1"/>
    </xf>
    <xf numFmtId="0" fontId="7" fillId="3" borderId="96" xfId="20960" applyFont="1" applyFill="1" applyBorder="1" applyAlignment="1" applyProtection="1"/>
    <xf numFmtId="0" fontId="100" fillId="0" borderId="96" xfId="20960" applyFont="1" applyFill="1" applyBorder="1" applyAlignment="1" applyProtection="1">
      <alignment horizontal="center" vertical="center"/>
    </xf>
    <xf numFmtId="0" fontId="4" fillId="0" borderId="96" xfId="0" applyFont="1" applyBorder="1"/>
    <xf numFmtId="0" fontId="11" fillId="0" borderId="96" xfId="17" applyFill="1" applyBorder="1" applyAlignment="1" applyProtection="1">
      <alignment horizontal="left" vertical="center" wrapText="1"/>
    </xf>
    <xf numFmtId="49" fontId="106" fillId="0" borderId="96" xfId="0" applyNumberFormat="1" applyFont="1" applyFill="1" applyBorder="1" applyAlignment="1">
      <alignment horizontal="right" vertical="center" wrapText="1"/>
    </xf>
    <xf numFmtId="0" fontId="11" fillId="0" borderId="96" xfId="17" applyFill="1" applyBorder="1" applyAlignment="1" applyProtection="1">
      <alignment horizontal="left" vertical="center"/>
    </xf>
    <xf numFmtId="0" fontId="4" fillId="0" borderId="96" xfId="0" applyFont="1" applyFill="1" applyBorder="1"/>
    <xf numFmtId="0" fontId="18" fillId="0" borderId="113" xfId="0" applyFont="1" applyFill="1" applyBorder="1" applyAlignment="1">
      <alignment horizontal="center" vertical="center" wrapText="1"/>
    </xf>
    <xf numFmtId="0" fontId="109" fillId="78" borderId="97" xfId="21412" applyFont="1" applyFill="1" applyBorder="1" applyAlignment="1" applyProtection="1">
      <alignment vertical="center" wrapText="1"/>
      <protection locked="0"/>
    </xf>
    <xf numFmtId="0" fontId="110" fillId="70" borderId="92" xfId="21412" applyFont="1" applyFill="1" applyBorder="1" applyAlignment="1" applyProtection="1">
      <alignment horizontal="center" vertical="center"/>
      <protection locked="0"/>
    </xf>
    <xf numFmtId="0" fontId="109" fillId="79" borderId="96" xfId="21412" applyFont="1" applyFill="1" applyBorder="1" applyAlignment="1" applyProtection="1">
      <alignment horizontal="center" vertical="center"/>
      <protection locked="0"/>
    </xf>
    <xf numFmtId="0" fontId="109" fillId="78" borderId="97" xfId="21412" applyFont="1" applyFill="1" applyBorder="1" applyAlignment="1" applyProtection="1">
      <alignment vertical="center"/>
      <protection locked="0"/>
    </xf>
    <xf numFmtId="0" fontId="111" fillId="70" borderId="92" xfId="21412" applyFont="1" applyFill="1" applyBorder="1" applyAlignment="1" applyProtection="1">
      <alignment horizontal="center" vertical="center"/>
      <protection locked="0"/>
    </xf>
    <xf numFmtId="0" fontId="111" fillId="3" borderId="92" xfId="21412" applyFont="1" applyFill="1" applyBorder="1" applyAlignment="1" applyProtection="1">
      <alignment horizontal="center" vertical="center"/>
      <protection locked="0"/>
    </xf>
    <xf numFmtId="0" fontId="111" fillId="0" borderId="92" xfId="21412" applyFont="1" applyFill="1" applyBorder="1" applyAlignment="1" applyProtection="1">
      <alignment horizontal="center" vertical="center"/>
      <protection locked="0"/>
    </xf>
    <xf numFmtId="0" fontId="112" fillId="79" borderId="96" xfId="21412" applyFont="1" applyFill="1" applyBorder="1" applyAlignment="1" applyProtection="1">
      <alignment horizontal="center" vertical="center"/>
      <protection locked="0"/>
    </xf>
    <xf numFmtId="0" fontId="109" fillId="78" borderId="97" xfId="21412" applyFont="1" applyFill="1" applyBorder="1" applyAlignment="1" applyProtection="1">
      <alignment horizontal="center" vertical="center"/>
      <protection locked="0"/>
    </xf>
    <xf numFmtId="0" fontId="60" fillId="78" borderId="97" xfId="21412" applyFont="1" applyFill="1" applyBorder="1" applyAlignment="1" applyProtection="1">
      <alignment vertical="center"/>
      <protection locked="0"/>
    </xf>
    <xf numFmtId="0" fontId="111" fillId="70" borderId="96" xfId="21412" applyFont="1" applyFill="1" applyBorder="1" applyAlignment="1" applyProtection="1">
      <alignment horizontal="center" vertical="center"/>
      <protection locked="0"/>
    </xf>
    <xf numFmtId="0" fontId="34" fillId="70" borderId="96" xfId="21412" applyFont="1" applyFill="1" applyBorder="1" applyAlignment="1" applyProtection="1">
      <alignment horizontal="center" vertical="center"/>
      <protection locked="0"/>
    </xf>
    <xf numFmtId="0" fontId="60" fillId="78" borderId="95" xfId="21412" applyFont="1" applyFill="1" applyBorder="1" applyAlignment="1" applyProtection="1">
      <alignment vertical="center"/>
      <protection locked="0"/>
    </xf>
    <xf numFmtId="0" fontId="110" fillId="0" borderId="95" xfId="21412" applyFont="1" applyFill="1" applyBorder="1" applyAlignment="1" applyProtection="1">
      <alignment horizontal="left" vertical="center" wrapText="1"/>
      <protection locked="0"/>
    </xf>
    <xf numFmtId="164" fontId="110" fillId="0" borderId="96" xfId="948" applyNumberFormat="1" applyFont="1" applyFill="1" applyBorder="1" applyAlignment="1" applyProtection="1">
      <alignment horizontal="right" vertical="center"/>
      <protection locked="0"/>
    </xf>
    <xf numFmtId="0" fontId="109" fillId="79" borderId="95" xfId="21412" applyFont="1" applyFill="1" applyBorder="1" applyAlignment="1" applyProtection="1">
      <alignment vertical="top" wrapText="1"/>
      <protection locked="0"/>
    </xf>
    <xf numFmtId="164" fontId="110" fillId="79" borderId="96" xfId="948" applyNumberFormat="1" applyFont="1" applyFill="1" applyBorder="1" applyAlignment="1" applyProtection="1">
      <alignment horizontal="right" vertical="center"/>
    </xf>
    <xf numFmtId="164" fontId="60" fillId="78" borderId="95" xfId="948" applyNumberFormat="1" applyFont="1" applyFill="1" applyBorder="1" applyAlignment="1" applyProtection="1">
      <alignment horizontal="right" vertical="center"/>
      <protection locked="0"/>
    </xf>
    <xf numFmtId="0" fontId="110" fillId="70" borderId="95" xfId="21412" applyFont="1" applyFill="1" applyBorder="1" applyAlignment="1" applyProtection="1">
      <alignment vertical="center" wrapText="1"/>
      <protection locked="0"/>
    </xf>
    <xf numFmtId="0" fontId="110" fillId="70" borderId="95" xfId="21412" applyFont="1" applyFill="1" applyBorder="1" applyAlignment="1" applyProtection="1">
      <alignment horizontal="left" vertical="center" wrapText="1"/>
      <protection locked="0"/>
    </xf>
    <xf numFmtId="0" fontId="110" fillId="0" borderId="95" xfId="21412" applyFont="1" applyFill="1" applyBorder="1" applyAlignment="1" applyProtection="1">
      <alignment vertical="center" wrapText="1"/>
      <protection locked="0"/>
    </xf>
    <xf numFmtId="0" fontId="110" fillId="3" borderId="95" xfId="21412" applyFont="1" applyFill="1" applyBorder="1" applyAlignment="1" applyProtection="1">
      <alignment horizontal="left" vertical="center" wrapText="1"/>
      <protection locked="0"/>
    </xf>
    <xf numFmtId="0" fontId="109" fillId="79" borderId="95" xfId="21412" applyFont="1" applyFill="1" applyBorder="1" applyAlignment="1" applyProtection="1">
      <alignment vertical="center" wrapText="1"/>
      <protection locked="0"/>
    </xf>
    <xf numFmtId="164" fontId="109" fillId="78" borderId="95" xfId="948" applyNumberFormat="1" applyFont="1" applyFill="1" applyBorder="1" applyAlignment="1" applyProtection="1">
      <alignment horizontal="right" vertical="center"/>
      <protection locked="0"/>
    </xf>
    <xf numFmtId="164" fontId="110" fillId="3" borderId="96" xfId="948" applyNumberFormat="1" applyFont="1" applyFill="1" applyBorder="1" applyAlignment="1" applyProtection="1">
      <alignment horizontal="right" vertical="center"/>
      <protection locked="0"/>
    </xf>
    <xf numFmtId="1" fontId="6" fillId="36" borderId="111" xfId="0" applyNumberFormat="1" applyFont="1" applyFill="1" applyBorder="1" applyAlignment="1">
      <alignment horizontal="center" vertical="center" wrapText="1"/>
    </xf>
    <xf numFmtId="10" fontId="7" fillId="0" borderId="96" xfId="20961" applyNumberFormat="1" applyFont="1" applyFill="1" applyBorder="1" applyAlignment="1">
      <alignment horizontal="left" vertical="center" wrapText="1"/>
    </xf>
    <xf numFmtId="10" fontId="4" fillId="0" borderId="96" xfId="20961" applyNumberFormat="1" applyFont="1" applyFill="1" applyBorder="1" applyAlignment="1">
      <alignment horizontal="left" vertical="center" wrapText="1"/>
    </xf>
    <xf numFmtId="10" fontId="6" fillId="36" borderId="96" xfId="0" applyNumberFormat="1" applyFont="1" applyFill="1" applyBorder="1" applyAlignment="1">
      <alignment horizontal="left" vertical="center" wrapText="1"/>
    </xf>
    <xf numFmtId="10" fontId="106" fillId="0" borderId="96" xfId="20961" applyNumberFormat="1" applyFont="1" applyFill="1" applyBorder="1" applyAlignment="1">
      <alignment horizontal="left" vertical="center" wrapText="1"/>
    </xf>
    <xf numFmtId="10" fontId="6" fillId="36" borderId="96" xfId="20961" applyNumberFormat="1" applyFont="1" applyFill="1" applyBorder="1" applyAlignment="1">
      <alignment horizontal="left" vertical="center" wrapText="1"/>
    </xf>
    <xf numFmtId="10" fontId="6" fillId="36" borderId="96" xfId="0" applyNumberFormat="1" applyFont="1" applyFill="1" applyBorder="1" applyAlignment="1">
      <alignment horizontal="center" vertical="center" wrapText="1"/>
    </xf>
    <xf numFmtId="10" fontId="108" fillId="0" borderId="23" xfId="20961" applyNumberFormat="1" applyFont="1" applyFill="1" applyBorder="1" applyAlignment="1" applyProtection="1">
      <alignment horizontal="left" vertical="center"/>
    </xf>
    <xf numFmtId="0" fontId="104"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3" xfId="0" applyFont="1" applyBorder="1" applyAlignment="1">
      <alignment horizontal="right" vertical="center" wrapText="1"/>
    </xf>
    <xf numFmtId="0" fontId="9" fillId="0" borderId="113" xfId="0" applyFont="1" applyFill="1" applyBorder="1" applyAlignment="1">
      <alignment horizontal="right" vertical="center" wrapText="1"/>
    </xf>
    <xf numFmtId="0" fontId="7" fillId="0" borderId="96" xfId="0" applyFont="1" applyFill="1" applyBorder="1" applyAlignment="1">
      <alignment vertical="center" wrapText="1"/>
    </xf>
    <xf numFmtId="0" fontId="4" fillId="0" borderId="96" xfId="0" applyFont="1" applyBorder="1" applyAlignment="1">
      <alignment vertical="center" wrapText="1"/>
    </xf>
    <xf numFmtId="0" fontId="4" fillId="0" borderId="96" xfId="0" applyFont="1" applyFill="1" applyBorder="1" applyAlignment="1">
      <alignment horizontal="left" vertical="center" wrapText="1" indent="2"/>
    </xf>
    <xf numFmtId="0" fontId="4" fillId="0" borderId="96" xfId="0" applyFont="1" applyFill="1" applyBorder="1" applyAlignment="1">
      <alignment vertical="center" wrapText="1"/>
    </xf>
    <xf numFmtId="3" fontId="19" fillId="0" borderId="97" xfId="0" applyNumberFormat="1" applyFont="1" applyBorder="1" applyAlignment="1">
      <alignment vertical="center" wrapText="1"/>
    </xf>
    <xf numFmtId="3" fontId="19" fillId="0" borderId="21" xfId="0" applyNumberFormat="1" applyFont="1" applyBorder="1" applyAlignment="1">
      <alignment vertical="center" wrapText="1"/>
    </xf>
    <xf numFmtId="3" fontId="19" fillId="0" borderId="21" xfId="0" applyNumberFormat="1" applyFont="1" applyFill="1" applyBorder="1" applyAlignment="1">
      <alignment vertical="center" wrapText="1"/>
    </xf>
    <xf numFmtId="0" fontId="6" fillId="0" borderId="23" xfId="0" applyFont="1" applyBorder="1" applyAlignment="1">
      <alignment vertical="center" wrapText="1"/>
    </xf>
    <xf numFmtId="0" fontId="4" fillId="0" borderId="111" xfId="0" applyFont="1" applyBorder="1" applyAlignment="1"/>
    <xf numFmtId="0" fontId="9" fillId="0" borderId="111" xfId="0" applyFont="1" applyBorder="1" applyAlignment="1"/>
    <xf numFmtId="0" fontId="9" fillId="0" borderId="111" xfId="0" applyFont="1" applyBorder="1" applyAlignment="1">
      <alignment wrapText="1"/>
    </xf>
    <xf numFmtId="0" fontId="10" fillId="0" borderId="18" xfId="0" applyFont="1" applyBorder="1" applyAlignment="1">
      <alignment horizontal="center"/>
    </xf>
    <xf numFmtId="0" fontId="10" fillId="0" borderId="111"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3" xfId="0" applyFont="1" applyFill="1" applyBorder="1" applyAlignment="1">
      <alignment horizontal="center" vertical="center" wrapText="1"/>
    </xf>
    <xf numFmtId="0" fontId="15" fillId="0" borderId="96" xfId="0" applyFont="1" applyFill="1" applyBorder="1" applyAlignment="1">
      <alignment horizontal="center" vertical="center" wrapText="1"/>
    </xf>
    <xf numFmtId="0" fontId="16" fillId="0" borderId="96" xfId="0" applyFont="1" applyFill="1" applyBorder="1" applyAlignment="1">
      <alignment horizontal="left" vertical="center" wrapText="1"/>
    </xf>
    <xf numFmtId="0" fontId="7" fillId="0" borderId="96" xfId="0" applyFont="1" applyBorder="1" applyAlignment="1">
      <alignment vertical="center" wrapText="1"/>
    </xf>
    <xf numFmtId="0" fontId="9" fillId="2" borderId="113" xfId="0" applyFont="1" applyFill="1" applyBorder="1" applyAlignment="1">
      <alignment horizontal="right" vertical="center"/>
    </xf>
    <xf numFmtId="0" fontId="9" fillId="2" borderId="96" xfId="0" applyFont="1" applyFill="1" applyBorder="1" applyAlignment="1">
      <alignment vertical="center"/>
    </xf>
    <xf numFmtId="193" fontId="9" fillId="2" borderId="96" xfId="0" applyNumberFormat="1" applyFont="1" applyFill="1" applyBorder="1" applyAlignment="1" applyProtection="1">
      <alignment vertical="center"/>
      <protection locked="0"/>
    </xf>
    <xf numFmtId="0" fontId="15" fillId="0" borderId="113"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3" xfId="0" applyFont="1" applyFill="1" applyBorder="1"/>
    <xf numFmtId="0" fontId="4" fillId="3" borderId="116" xfId="0" applyFont="1" applyFill="1" applyBorder="1" applyAlignment="1">
      <alignment wrapText="1"/>
    </xf>
    <xf numFmtId="0" fontId="4" fillId="3" borderId="117" xfId="0" applyFont="1" applyFill="1" applyBorder="1"/>
    <xf numFmtId="0" fontId="6" fillId="3" borderId="11" xfId="0" applyFont="1" applyFill="1" applyBorder="1" applyAlignment="1">
      <alignment horizontal="center" wrapText="1"/>
    </xf>
    <xf numFmtId="0" fontId="4" fillId="0" borderId="96" xfId="0" applyFont="1" applyFill="1" applyBorder="1" applyAlignment="1">
      <alignment horizontal="center"/>
    </xf>
    <xf numFmtId="0" fontId="4" fillId="0" borderId="96" xfId="0" applyFont="1" applyBorder="1" applyAlignment="1">
      <alignment horizontal="center"/>
    </xf>
    <xf numFmtId="0" fontId="4" fillId="3" borderId="6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0" xfId="0" applyFont="1" applyFill="1" applyBorder="1" applyAlignment="1">
      <alignment horizontal="center" vertical="center" wrapText="1"/>
    </xf>
    <xf numFmtId="0" fontId="4" fillId="0" borderId="113" xfId="0" applyFont="1" applyBorder="1"/>
    <xf numFmtId="0" fontId="4" fillId="0" borderId="96" xfId="0" applyFont="1" applyBorder="1" applyAlignment="1">
      <alignment wrapText="1"/>
    </xf>
    <xf numFmtId="164" fontId="4" fillId="0" borderId="96" xfId="7" applyNumberFormat="1" applyFont="1" applyBorder="1"/>
    <xf numFmtId="164" fontId="4" fillId="0" borderId="111" xfId="7" applyNumberFormat="1" applyFont="1" applyBorder="1"/>
    <xf numFmtId="0" fontId="14" fillId="0" borderId="96" xfId="0" applyFont="1" applyBorder="1" applyAlignment="1">
      <alignment horizontal="left" wrapText="1" indent="2"/>
    </xf>
    <xf numFmtId="169" fontId="24" fillId="37" borderId="96" xfId="20" applyBorder="1"/>
    <xf numFmtId="164" fontId="4" fillId="0" borderId="96" xfId="7" applyNumberFormat="1" applyFont="1" applyBorder="1" applyAlignment="1">
      <alignment vertical="center"/>
    </xf>
    <xf numFmtId="0" fontId="6" fillId="0" borderId="113" xfId="0" applyFont="1" applyBorder="1"/>
    <xf numFmtId="0" fontId="6" fillId="0" borderId="96" xfId="0" applyFont="1" applyBorder="1" applyAlignment="1">
      <alignment wrapText="1"/>
    </xf>
    <xf numFmtId="164" fontId="6" fillId="0" borderId="111" xfId="7" applyNumberFormat="1" applyFont="1" applyBorder="1"/>
    <xf numFmtId="0" fontId="3" fillId="3" borderId="61"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0" xfId="7" applyNumberFormat="1" applyFont="1" applyFill="1" applyBorder="1"/>
    <xf numFmtId="164" fontId="4" fillId="0" borderId="96" xfId="7" applyNumberFormat="1" applyFont="1" applyFill="1" applyBorder="1"/>
    <xf numFmtId="164" fontId="4" fillId="0" borderId="96" xfId="7" applyNumberFormat="1" applyFont="1" applyFill="1" applyBorder="1" applyAlignment="1">
      <alignment vertical="center"/>
    </xf>
    <xf numFmtId="0" fontId="14" fillId="0" borderId="9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0" xfId="0" applyFont="1" applyFill="1" applyBorder="1"/>
    <xf numFmtId="0" fontId="6" fillId="0" borderId="22" xfId="0" applyFont="1" applyBorder="1"/>
    <xf numFmtId="0" fontId="6" fillId="0" borderId="23" xfId="0" applyFont="1" applyBorder="1" applyAlignment="1">
      <alignment wrapText="1"/>
    </xf>
    <xf numFmtId="169" fontId="24" fillId="37" borderId="114" xfId="20" applyBorder="1"/>
    <xf numFmtId="10" fontId="6" fillId="0" borderId="24" xfId="20961" applyNumberFormat="1" applyFont="1" applyBorder="1"/>
    <xf numFmtId="0" fontId="9" fillId="2" borderId="104" xfId="0" applyFont="1" applyFill="1" applyBorder="1" applyAlignment="1">
      <alignment horizontal="right" vertical="center"/>
    </xf>
    <xf numFmtId="0" fontId="9" fillId="2" borderId="92" xfId="0" applyFont="1" applyFill="1" applyBorder="1" applyAlignment="1">
      <alignment vertical="center"/>
    </xf>
    <xf numFmtId="0" fontId="9" fillId="0" borderId="96" xfId="0" applyFont="1" applyFill="1" applyBorder="1" applyAlignment="1">
      <alignment horizontal="left" vertical="center" wrapText="1"/>
    </xf>
    <xf numFmtId="0" fontId="6" fillId="3" borderId="0" xfId="0" applyFont="1" applyFill="1" applyBorder="1" applyAlignment="1">
      <alignment horizontal="center"/>
    </xf>
    <xf numFmtId="0" fontId="103" fillId="0" borderId="84" xfId="0" applyFont="1" applyFill="1" applyBorder="1" applyAlignment="1">
      <alignment horizontal="left" vertical="center"/>
    </xf>
    <xf numFmtId="0" fontId="103" fillId="0" borderId="82" xfId="0" applyFont="1" applyFill="1" applyBorder="1" applyAlignment="1">
      <alignment vertical="center" wrapText="1"/>
    </xf>
    <xf numFmtId="0" fontId="103" fillId="0" borderId="82" xfId="0" applyFont="1" applyFill="1" applyBorder="1" applyAlignment="1">
      <alignment horizontal="left" vertical="center" wrapText="1"/>
    </xf>
    <xf numFmtId="0" fontId="113" fillId="0" borderId="0" xfId="11" applyFont="1" applyFill="1" applyBorder="1" applyProtection="1"/>
    <xf numFmtId="0" fontId="114" fillId="0" borderId="0" xfId="0" applyFont="1"/>
    <xf numFmtId="0" fontId="113" fillId="0" borderId="0" xfId="11" applyFont="1" applyFill="1" applyBorder="1" applyAlignment="1" applyProtection="1"/>
    <xf numFmtId="0" fontId="115" fillId="0" borderId="0" xfId="11" applyFont="1" applyFill="1" applyBorder="1" applyAlignment="1" applyProtection="1"/>
    <xf numFmtId="0" fontId="114" fillId="0" borderId="0" xfId="0" applyFont="1" applyAlignment="1">
      <alignment wrapText="1"/>
    </xf>
    <xf numFmtId="0" fontId="117" fillId="0" borderId="0" xfId="0" applyFont="1"/>
    <xf numFmtId="0" fontId="114" fillId="0" borderId="0" xfId="0" applyFont="1" applyFill="1"/>
    <xf numFmtId="0" fontId="114" fillId="0" borderId="0" xfId="0" applyFont="1" applyBorder="1"/>
    <xf numFmtId="0" fontId="114" fillId="0" borderId="0" xfId="0" applyFont="1" applyBorder="1" applyAlignment="1">
      <alignment horizontal="left"/>
    </xf>
    <xf numFmtId="0" fontId="116" fillId="0" borderId="127" xfId="0" applyNumberFormat="1" applyFont="1" applyFill="1" applyBorder="1" applyAlignment="1">
      <alignment horizontal="left" vertical="center" wrapText="1"/>
    </xf>
    <xf numFmtId="0" fontId="122" fillId="0" borderId="0" xfId="0" applyFont="1"/>
    <xf numFmtId="49" fontId="103" fillId="0" borderId="96" xfId="0" applyNumberFormat="1" applyFont="1" applyFill="1" applyBorder="1" applyAlignment="1">
      <alignment horizontal="right" vertical="center"/>
    </xf>
    <xf numFmtId="0" fontId="123" fillId="0" borderId="0" xfId="0" applyFont="1" applyFill="1" applyBorder="1" applyAlignment="1"/>
    <xf numFmtId="0" fontId="114" fillId="0" borderId="0" xfId="0" applyFont="1" applyBorder="1" applyAlignment="1">
      <alignment horizontal="left" indent="1"/>
    </xf>
    <xf numFmtId="0" fontId="114" fillId="0" borderId="0" xfId="0" applyFont="1" applyBorder="1" applyAlignment="1">
      <alignment horizontal="left" indent="2"/>
    </xf>
    <xf numFmtId="49" fontId="114" fillId="0" borderId="0" xfId="0" applyNumberFormat="1" applyFont="1" applyBorder="1" applyAlignment="1">
      <alignment horizontal="left" indent="3"/>
    </xf>
    <xf numFmtId="49" fontId="114" fillId="0" borderId="0" xfId="0" applyNumberFormat="1" applyFont="1" applyBorder="1" applyAlignment="1">
      <alignment horizontal="left" indent="1"/>
    </xf>
    <xf numFmtId="49" fontId="114" fillId="0" borderId="0" xfId="0" applyNumberFormat="1" applyFont="1" applyBorder="1" applyAlignment="1">
      <alignment horizontal="left" wrapText="1" indent="2"/>
    </xf>
    <xf numFmtId="49" fontId="114" fillId="0" borderId="0" xfId="0" applyNumberFormat="1" applyFont="1" applyFill="1" applyBorder="1" applyAlignment="1">
      <alignment horizontal="left" wrapText="1" indent="3"/>
    </xf>
    <xf numFmtId="0" fontId="114" fillId="0" borderId="0" xfId="0" applyNumberFormat="1" applyFont="1" applyFill="1" applyBorder="1" applyAlignment="1">
      <alignment horizontal="left" wrapText="1" indent="1"/>
    </xf>
    <xf numFmtId="0" fontId="114" fillId="0" borderId="0" xfId="0" applyFont="1" applyFill="1" applyAlignment="1">
      <alignment horizontal="left" vertical="top" wrapText="1"/>
    </xf>
    <xf numFmtId="193" fontId="7" fillId="3" borderId="111" xfId="2" applyNumberFormat="1" applyFont="1" applyFill="1" applyBorder="1" applyAlignment="1" applyProtection="1">
      <alignment vertical="top" wrapText="1"/>
      <protection locked="0"/>
    </xf>
    <xf numFmtId="0" fontId="127" fillId="3" borderId="96" xfId="21414" applyFont="1" applyFill="1" applyBorder="1" applyAlignment="1">
      <alignment horizontal="left" vertical="center" wrapText="1"/>
    </xf>
    <xf numFmtId="0" fontId="128" fillId="0" borderId="96" xfId="21414" applyFont="1" applyFill="1" applyBorder="1" applyAlignment="1">
      <alignment horizontal="left" vertical="center" wrapText="1" indent="1"/>
    </xf>
    <xf numFmtId="0" fontId="129" fillId="3" borderId="96" xfId="21414" applyFont="1" applyFill="1" applyBorder="1" applyAlignment="1">
      <alignment horizontal="left" vertical="center" wrapText="1"/>
    </xf>
    <xf numFmtId="0" fontId="128" fillId="3" borderId="96" xfId="21414" applyFont="1" applyFill="1" applyBorder="1" applyAlignment="1">
      <alignment horizontal="left" vertical="center" wrapText="1" indent="1"/>
    </xf>
    <xf numFmtId="0" fontId="127" fillId="0" borderId="134" xfId="0" applyFont="1" applyFill="1" applyBorder="1" applyAlignment="1">
      <alignment horizontal="left" vertical="center" wrapText="1"/>
    </xf>
    <xf numFmtId="0" fontId="129" fillId="0" borderId="134" xfId="0" applyFont="1" applyFill="1" applyBorder="1" applyAlignment="1">
      <alignment horizontal="left" vertical="center" wrapText="1"/>
    </xf>
    <xf numFmtId="0" fontId="130" fillId="3" borderId="134" xfId="0" applyFont="1" applyFill="1" applyBorder="1" applyAlignment="1">
      <alignment horizontal="left" vertical="center" wrapText="1" indent="1"/>
    </xf>
    <xf numFmtId="0" fontId="129" fillId="3" borderId="134" xfId="0" applyFont="1" applyFill="1" applyBorder="1" applyAlignment="1">
      <alignment horizontal="left" vertical="center" wrapText="1"/>
    </xf>
    <xf numFmtId="0" fontId="129" fillId="3" borderId="135" xfId="0" applyFont="1" applyFill="1" applyBorder="1" applyAlignment="1">
      <alignment horizontal="left" vertical="center" wrapText="1"/>
    </xf>
    <xf numFmtId="0" fontId="130" fillId="0" borderId="134" xfId="0" applyFont="1" applyFill="1" applyBorder="1" applyAlignment="1">
      <alignment horizontal="left" vertical="center" wrapText="1" indent="1"/>
    </xf>
    <xf numFmtId="0" fontId="130" fillId="0" borderId="96" xfId="21414" applyFont="1" applyFill="1" applyBorder="1" applyAlignment="1">
      <alignment horizontal="left" vertical="center" wrapText="1" indent="1"/>
    </xf>
    <xf numFmtId="0" fontId="129" fillId="0" borderId="96" xfId="21414" applyFont="1" applyFill="1" applyBorder="1" applyAlignment="1">
      <alignment horizontal="left" vertical="center" wrapText="1"/>
    </xf>
    <xf numFmtId="0" fontId="131" fillId="0" borderId="96" xfId="21414" applyFont="1" applyFill="1" applyBorder="1" applyAlignment="1">
      <alignment horizontal="center" vertical="center" wrapText="1"/>
    </xf>
    <xf numFmtId="0" fontId="129" fillId="3" borderId="136" xfId="0" applyFont="1" applyFill="1" applyBorder="1" applyAlignment="1">
      <alignment horizontal="left" vertical="center" wrapText="1"/>
    </xf>
    <xf numFmtId="0" fontId="128" fillId="3" borderId="137" xfId="21414" applyFont="1" applyFill="1" applyBorder="1" applyAlignment="1">
      <alignment horizontal="left" vertical="center" wrapText="1" indent="1"/>
    </xf>
    <xf numFmtId="0" fontId="128" fillId="3" borderId="134" xfId="0" applyFont="1" applyFill="1" applyBorder="1" applyAlignment="1">
      <alignment horizontal="left" vertical="center" wrapText="1" indent="1"/>
    </xf>
    <xf numFmtId="0" fontId="128" fillId="0" borderId="137" xfId="21414" applyFont="1" applyFill="1" applyBorder="1" applyAlignment="1">
      <alignment horizontal="left" vertical="center" wrapText="1" indent="1"/>
    </xf>
    <xf numFmtId="0" fontId="129" fillId="0" borderId="134" xfId="0" applyFont="1" applyBorder="1" applyAlignment="1">
      <alignment horizontal="left" vertical="center" wrapText="1"/>
    </xf>
    <xf numFmtId="0" fontId="128" fillId="0" borderId="134" xfId="0" applyFont="1" applyBorder="1" applyAlignment="1">
      <alignment horizontal="left" vertical="center" wrapText="1" indent="1"/>
    </xf>
    <xf numFmtId="0" fontId="128" fillId="0" borderId="135" xfId="0" applyFont="1" applyBorder="1" applyAlignment="1">
      <alignment horizontal="left" vertical="center" wrapText="1" indent="1"/>
    </xf>
    <xf numFmtId="0" fontId="129" fillId="0" borderId="137" xfId="21414" applyFont="1" applyFill="1" applyBorder="1" applyAlignment="1">
      <alignment horizontal="left" vertical="center" wrapText="1"/>
    </xf>
    <xf numFmtId="0" fontId="129" fillId="3" borderId="137" xfId="21414" applyFont="1" applyFill="1" applyBorder="1" applyAlignment="1">
      <alignment horizontal="left" vertical="center" wrapText="1"/>
    </xf>
    <xf numFmtId="0" fontId="131" fillId="0" borderId="137" xfId="21414" applyFont="1" applyFill="1" applyBorder="1" applyAlignment="1">
      <alignment horizontal="center" vertical="center" wrapText="1"/>
    </xf>
    <xf numFmtId="0" fontId="129" fillId="0" borderId="137" xfId="21414" applyFont="1" applyBorder="1" applyAlignment="1">
      <alignment horizontal="left" vertical="center" wrapText="1"/>
    </xf>
    <xf numFmtId="0" fontId="128" fillId="0" borderId="134" xfId="0" applyFont="1" applyFill="1" applyBorder="1" applyAlignment="1">
      <alignment horizontal="left" vertical="center" wrapText="1" indent="1"/>
    </xf>
    <xf numFmtId="0" fontId="132" fillId="0" borderId="137" xfId="0" applyFont="1" applyBorder="1" applyAlignment="1">
      <alignment horizontal="left"/>
    </xf>
    <xf numFmtId="0" fontId="129" fillId="0" borderId="137" xfId="0" applyFont="1" applyFill="1" applyBorder="1" applyAlignment="1">
      <alignment horizontal="left" vertical="center" wrapText="1"/>
    </xf>
    <xf numFmtId="0" fontId="0" fillId="0" borderId="0" xfId="0" applyAlignment="1">
      <alignment horizontal="left" vertical="center"/>
    </xf>
    <xf numFmtId="0" fontId="129" fillId="0" borderId="142" xfId="0" applyFont="1" applyFill="1" applyBorder="1" applyAlignment="1">
      <alignment horizontal="justify" vertical="center" wrapText="1"/>
    </xf>
    <xf numFmtId="0" fontId="128" fillId="0" borderId="136" xfId="0" applyFont="1" applyFill="1" applyBorder="1" applyAlignment="1">
      <alignment horizontal="left" vertical="center" wrapText="1" indent="1"/>
    </xf>
    <xf numFmtId="0" fontId="128" fillId="0" borderId="135" xfId="0" applyFont="1" applyFill="1" applyBorder="1" applyAlignment="1">
      <alignment horizontal="left" vertical="center" wrapText="1" indent="1"/>
    </xf>
    <xf numFmtId="0" fontId="129" fillId="0" borderId="134" xfId="0" applyFont="1" applyFill="1" applyBorder="1" applyAlignment="1">
      <alignment horizontal="justify" vertical="center" wrapText="1"/>
    </xf>
    <xf numFmtId="0" fontId="127" fillId="0" borderId="134" xfId="0" applyFont="1" applyFill="1" applyBorder="1" applyAlignment="1">
      <alignment horizontal="justify" vertical="center" wrapText="1"/>
    </xf>
    <xf numFmtId="0" fontId="129" fillId="3" borderId="134" xfId="0" applyFont="1" applyFill="1" applyBorder="1" applyAlignment="1">
      <alignment horizontal="justify" vertical="center" wrapText="1"/>
    </xf>
    <xf numFmtId="0" fontId="129" fillId="0" borderId="135" xfId="0" applyFont="1" applyFill="1" applyBorder="1" applyAlignment="1">
      <alignment horizontal="justify" vertical="center" wrapText="1"/>
    </xf>
    <xf numFmtId="0" fontId="129" fillId="0" borderId="136" xfId="0" applyFont="1" applyFill="1" applyBorder="1" applyAlignment="1">
      <alignment horizontal="justify" vertical="center" wrapText="1"/>
    </xf>
    <xf numFmtId="0" fontId="130" fillId="0" borderId="128" xfId="0" applyFont="1" applyFill="1" applyBorder="1" applyAlignment="1">
      <alignment horizontal="left" vertical="center" wrapText="1" indent="1"/>
    </xf>
    <xf numFmtId="0" fontId="127" fillId="0" borderId="134" xfId="0" applyFont="1" applyFill="1" applyBorder="1" applyAlignment="1">
      <alignment vertical="center" wrapText="1"/>
    </xf>
    <xf numFmtId="0" fontId="129" fillId="0" borderId="134" xfId="0" applyFont="1" applyFill="1" applyBorder="1" applyAlignment="1">
      <alignment vertical="center" wrapText="1"/>
    </xf>
    <xf numFmtId="0" fontId="0" fillId="0" borderId="137" xfId="0" applyBorder="1" applyAlignment="1">
      <alignment horizontal="center"/>
    </xf>
    <xf numFmtId="0" fontId="0" fillId="0" borderId="0" xfId="0" applyAlignment="1">
      <alignment horizontal="center"/>
    </xf>
    <xf numFmtId="193" fontId="9" fillId="0" borderId="0" xfId="0" applyNumberFormat="1" applyFont="1" applyFill="1" applyBorder="1" applyAlignment="1" applyProtection="1">
      <alignment horizontal="right"/>
    </xf>
    <xf numFmtId="49" fontId="103" fillId="0" borderId="137" xfId="0" applyNumberFormat="1" applyFont="1" applyFill="1" applyBorder="1" applyAlignment="1">
      <alignment horizontal="right" vertical="center"/>
    </xf>
    <xf numFmtId="0" fontId="0" fillId="0" borderId="137" xfId="0" applyBorder="1" applyAlignment="1">
      <alignment horizontal="center" vertical="center"/>
    </xf>
    <xf numFmtId="0" fontId="0" fillId="0" borderId="141" xfId="0" applyBorder="1" applyAlignment="1">
      <alignment horizontal="center"/>
    </xf>
    <xf numFmtId="0" fontId="128" fillId="0" borderId="141" xfId="21414" applyFont="1" applyFill="1" applyBorder="1" applyAlignment="1">
      <alignment horizontal="left" vertical="center" wrapText="1" indent="1"/>
    </xf>
    <xf numFmtId="0" fontId="128" fillId="3" borderId="137" xfId="0" applyFont="1" applyFill="1" applyBorder="1" applyAlignment="1">
      <alignment horizontal="left" vertical="center" wrapText="1" indent="1"/>
    </xf>
    <xf numFmtId="0" fontId="129" fillId="0" borderId="137" xfId="0" applyFont="1" applyBorder="1" applyAlignment="1">
      <alignment horizontal="left" vertical="center" wrapText="1"/>
    </xf>
    <xf numFmtId="0" fontId="128" fillId="0" borderId="137" xfId="0" applyFont="1" applyBorder="1" applyAlignment="1">
      <alignment horizontal="left" vertical="center" wrapText="1" indent="1"/>
    </xf>
    <xf numFmtId="0" fontId="128" fillId="0" borderId="137" xfId="0" applyFont="1" applyFill="1" applyBorder="1" applyAlignment="1">
      <alignment horizontal="left" vertical="center" wrapText="1" indent="1"/>
    </xf>
    <xf numFmtId="0" fontId="130" fillId="3" borderId="137" xfId="0" applyFont="1" applyFill="1" applyBorder="1" applyAlignment="1">
      <alignment horizontal="left" vertical="center" wrapText="1" indent="1"/>
    </xf>
    <xf numFmtId="0" fontId="130" fillId="0" borderId="137" xfId="0" applyFont="1" applyFill="1" applyBorder="1" applyAlignment="1">
      <alignment horizontal="left" vertical="center" wrapText="1" indent="1"/>
    </xf>
    <xf numFmtId="0" fontId="117" fillId="0" borderId="137" xfId="0" applyFont="1" applyBorder="1"/>
    <xf numFmtId="49" fontId="119" fillId="0" borderId="137" xfId="5" applyNumberFormat="1" applyFont="1" applyFill="1" applyBorder="1" applyAlignment="1" applyProtection="1">
      <alignment horizontal="right" vertical="center"/>
      <protection locked="0"/>
    </xf>
    <xf numFmtId="0" fontId="118" fillId="3" borderId="137" xfId="13" applyFont="1" applyFill="1" applyBorder="1" applyAlignment="1" applyProtection="1">
      <alignment horizontal="left" vertical="center" wrapText="1"/>
      <protection locked="0"/>
    </xf>
    <xf numFmtId="49" fontId="118" fillId="3" borderId="137" xfId="5" applyNumberFormat="1" applyFont="1" applyFill="1" applyBorder="1" applyAlignment="1" applyProtection="1">
      <alignment horizontal="right" vertical="center"/>
      <protection locked="0"/>
    </xf>
    <xf numFmtId="0" fontId="118" fillId="0" borderId="137" xfId="13" applyFont="1" applyFill="1" applyBorder="1" applyAlignment="1" applyProtection="1">
      <alignment horizontal="left" vertical="center" wrapText="1"/>
      <protection locked="0"/>
    </xf>
    <xf numFmtId="49" fontId="118" fillId="0" borderId="137" xfId="5" applyNumberFormat="1" applyFont="1" applyFill="1" applyBorder="1" applyAlignment="1" applyProtection="1">
      <alignment horizontal="right" vertical="center"/>
      <protection locked="0"/>
    </xf>
    <xf numFmtId="0" fontId="120" fillId="0" borderId="137" xfId="13" applyFont="1" applyFill="1" applyBorder="1" applyAlignment="1" applyProtection="1">
      <alignment horizontal="left" vertical="center" wrapText="1"/>
      <protection locked="0"/>
    </xf>
    <xf numFmtId="0" fontId="117" fillId="0" borderId="137" xfId="0" applyFont="1" applyBorder="1" applyAlignment="1">
      <alignment horizontal="center" vertical="center" wrapText="1"/>
    </xf>
    <xf numFmtId="0" fontId="117" fillId="0" borderId="137" xfId="0" applyFont="1" applyFill="1" applyBorder="1" applyAlignment="1">
      <alignment horizontal="center" vertical="center" wrapText="1"/>
    </xf>
    <xf numFmtId="0" fontId="113" fillId="0" borderId="145" xfId="0" applyFont="1" applyBorder="1"/>
    <xf numFmtId="0" fontId="113" fillId="0" borderId="145" xfId="0" applyFont="1" applyFill="1" applyBorder="1"/>
    <xf numFmtId="0" fontId="113" fillId="0" borderId="145" xfId="0" applyFont="1" applyBorder="1" applyAlignment="1">
      <alignment horizontal="left" indent="8"/>
    </xf>
    <xf numFmtId="0" fontId="113" fillId="0" borderId="145" xfId="0" applyFont="1" applyBorder="1" applyAlignment="1">
      <alignment wrapText="1"/>
    </xf>
    <xf numFmtId="0" fontId="116" fillId="0" borderId="145" xfId="0" applyFont="1" applyBorder="1"/>
    <xf numFmtId="49" fontId="119" fillId="0" borderId="145" xfId="5" applyNumberFormat="1" applyFont="1" applyFill="1" applyBorder="1" applyAlignment="1" applyProtection="1">
      <alignment horizontal="right" vertical="center" wrapText="1"/>
      <protection locked="0"/>
    </xf>
    <xf numFmtId="49" fontId="118" fillId="3" borderId="145" xfId="5" applyNumberFormat="1" applyFont="1" applyFill="1" applyBorder="1" applyAlignment="1" applyProtection="1">
      <alignment horizontal="right" vertical="center" wrapText="1"/>
      <protection locked="0"/>
    </xf>
    <xf numFmtId="49" fontId="118" fillId="0" borderId="145" xfId="5" applyNumberFormat="1" applyFont="1" applyFill="1" applyBorder="1" applyAlignment="1" applyProtection="1">
      <alignment horizontal="right" vertical="center" wrapText="1"/>
      <protection locked="0"/>
    </xf>
    <xf numFmtId="0" fontId="113" fillId="0" borderId="145" xfId="0" applyFont="1" applyBorder="1" applyAlignment="1">
      <alignment horizontal="center" vertical="center" wrapText="1"/>
    </xf>
    <xf numFmtId="0" fontId="113" fillId="0" borderId="146" xfId="0" applyFont="1" applyFill="1" applyBorder="1" applyAlignment="1">
      <alignment horizontal="center" vertical="center" wrapText="1"/>
    </xf>
    <xf numFmtId="0" fontId="113" fillId="0" borderId="145" xfId="0" applyFont="1" applyBorder="1" applyAlignment="1">
      <alignment horizontal="center" vertical="center"/>
    </xf>
    <xf numFmtId="0" fontId="113" fillId="0" borderId="0" xfId="0" applyFont="1"/>
    <xf numFmtId="0" fontId="113" fillId="0" borderId="0" xfId="0" applyFont="1" applyAlignment="1">
      <alignment wrapText="1"/>
    </xf>
    <xf numFmtId="14" fontId="113" fillId="0" borderId="0" xfId="0" applyNumberFormat="1" applyFont="1"/>
    <xf numFmtId="0" fontId="116" fillId="0" borderId="145" xfId="0" applyFont="1" applyFill="1" applyBorder="1"/>
    <xf numFmtId="0" fontId="113" fillId="0" borderId="145" xfId="0" applyNumberFormat="1" applyFont="1" applyFill="1" applyBorder="1" applyAlignment="1">
      <alignment horizontal="left" vertical="center" wrapText="1"/>
    </xf>
    <xf numFmtId="0" fontId="116" fillId="0" borderId="145" xfId="0" applyFont="1" applyFill="1" applyBorder="1" applyAlignment="1">
      <alignment horizontal="left" wrapText="1" indent="1"/>
    </xf>
    <xf numFmtId="0" fontId="116" fillId="0" borderId="145" xfId="0" applyFont="1" applyFill="1" applyBorder="1" applyAlignment="1">
      <alignment horizontal="left" vertical="center" indent="1"/>
    </xf>
    <xf numFmtId="0" fontId="113" fillId="0" borderId="145" xfId="0" applyFont="1" applyFill="1" applyBorder="1" applyAlignment="1">
      <alignment horizontal="left" wrapText="1" indent="1"/>
    </xf>
    <xf numFmtId="0" fontId="113" fillId="0" borderId="145" xfId="0" applyFont="1" applyFill="1" applyBorder="1" applyAlignment="1">
      <alignment horizontal="left" indent="1"/>
    </xf>
    <xf numFmtId="0" fontId="113" fillId="0" borderId="145" xfId="0" applyFont="1" applyFill="1" applyBorder="1" applyAlignment="1">
      <alignment horizontal="left" wrapText="1" indent="4"/>
    </xf>
    <xf numFmtId="0" fontId="113" fillId="0" borderId="145" xfId="0" applyNumberFormat="1" applyFont="1" applyFill="1" applyBorder="1" applyAlignment="1">
      <alignment horizontal="left" indent="3"/>
    </xf>
    <xf numFmtId="0" fontId="116" fillId="0" borderId="145" xfId="0" applyFont="1" applyFill="1" applyBorder="1" applyAlignment="1">
      <alignment horizontal="left" indent="1"/>
    </xf>
    <xf numFmtId="0" fontId="117" fillId="0" borderId="145" xfId="0" applyFont="1" applyFill="1" applyBorder="1" applyAlignment="1">
      <alignment horizontal="center" vertical="center" wrapText="1"/>
    </xf>
    <xf numFmtId="0" fontId="113" fillId="80" borderId="145" xfId="0" applyFont="1" applyFill="1" applyBorder="1"/>
    <xf numFmtId="0" fontId="116" fillId="0" borderId="7" xfId="0" applyFont="1" applyBorder="1"/>
    <xf numFmtId="0" fontId="113" fillId="0" borderId="145" xfId="0" applyFont="1" applyFill="1" applyBorder="1" applyAlignment="1">
      <alignment horizontal="left" wrapText="1" indent="2"/>
    </xf>
    <xf numFmtId="0" fontId="113" fillId="0" borderId="145" xfId="0" applyFont="1" applyFill="1" applyBorder="1" applyAlignment="1">
      <alignment horizontal="left" wrapText="1"/>
    </xf>
    <xf numFmtId="0" fontId="113" fillId="0" borderId="0" xfId="0" applyFont="1" applyBorder="1"/>
    <xf numFmtId="0" fontId="113" fillId="0" borderId="145" xfId="0" applyFont="1" applyBorder="1" applyAlignment="1">
      <alignment horizontal="left" indent="1"/>
    </xf>
    <xf numFmtId="0" fontId="113" fillId="0" borderId="145" xfId="0" applyFont="1" applyBorder="1" applyAlignment="1">
      <alignment horizontal="center"/>
    </xf>
    <xf numFmtId="0" fontId="113" fillId="0" borderId="0" xfId="0" applyFont="1" applyBorder="1" applyAlignment="1">
      <alignment horizontal="center" vertical="center"/>
    </xf>
    <xf numFmtId="0" fontId="113" fillId="0" borderId="145" xfId="0" applyFont="1" applyFill="1" applyBorder="1" applyAlignment="1">
      <alignment horizontal="center" vertical="center" wrapText="1"/>
    </xf>
    <xf numFmtId="0" fontId="113" fillId="0" borderId="7" xfId="0" applyFont="1" applyBorder="1" applyAlignment="1">
      <alignment horizontal="center" vertical="center" wrapText="1"/>
    </xf>
    <xf numFmtId="0" fontId="113" fillId="0" borderId="11" xfId="0" applyFont="1" applyBorder="1" applyAlignment="1">
      <alignment horizontal="center" vertical="center" wrapText="1"/>
    </xf>
    <xf numFmtId="0" fontId="113" fillId="0" borderId="52" xfId="0" applyFont="1" applyBorder="1" applyAlignment="1">
      <alignment wrapText="1"/>
    </xf>
    <xf numFmtId="0" fontId="113" fillId="0" borderId="7" xfId="0" applyFont="1" applyBorder="1" applyAlignment="1">
      <alignment wrapText="1"/>
    </xf>
    <xf numFmtId="0" fontId="113" fillId="0" borderId="0" xfId="0" applyFont="1" applyBorder="1" applyAlignment="1">
      <alignment horizontal="center" vertical="center" wrapText="1"/>
    </xf>
    <xf numFmtId="0" fontId="113" fillId="0" borderId="144"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147" xfId="0" applyFont="1" applyFill="1" applyBorder="1" applyAlignment="1">
      <alignment horizontal="center" vertical="center" wrapText="1"/>
    </xf>
    <xf numFmtId="0" fontId="113" fillId="0" borderId="143" xfId="0" applyFont="1" applyFill="1" applyBorder="1" applyAlignment="1">
      <alignment horizontal="center" vertical="center" wrapText="1"/>
    </xf>
    <xf numFmtId="0" fontId="113" fillId="0" borderId="0" xfId="0" applyFont="1" applyFill="1"/>
    <xf numFmtId="0" fontId="113" fillId="0" borderId="151" xfId="0" applyFont="1" applyFill="1" applyBorder="1"/>
    <xf numFmtId="0" fontId="113" fillId="0" borderId="152" xfId="0" applyFont="1" applyFill="1" applyBorder="1"/>
    <xf numFmtId="49" fontId="113" fillId="0" borderId="153" xfId="0" applyNumberFormat="1" applyFont="1" applyFill="1" applyBorder="1" applyAlignment="1">
      <alignment horizontal="left" wrapText="1" indent="1"/>
    </xf>
    <xf numFmtId="49" fontId="113" fillId="0" borderId="151" xfId="0" applyNumberFormat="1" applyFont="1" applyFill="1" applyBorder="1" applyAlignment="1">
      <alignment horizontal="left" wrapText="1" indent="1"/>
    </xf>
    <xf numFmtId="0" fontId="113" fillId="0" borderId="153" xfId="0" applyNumberFormat="1" applyFont="1" applyFill="1" applyBorder="1" applyAlignment="1">
      <alignment horizontal="left" wrapText="1" indent="1"/>
    </xf>
    <xf numFmtId="0" fontId="113" fillId="0" borderId="154" xfId="0" applyFont="1" applyFill="1" applyBorder="1"/>
    <xf numFmtId="49" fontId="113" fillId="0" borderId="155" xfId="0" applyNumberFormat="1" applyFont="1" applyFill="1" applyBorder="1" applyAlignment="1">
      <alignment horizontal="left" wrapText="1" indent="1"/>
    </xf>
    <xf numFmtId="49" fontId="113" fillId="0" borderId="154" xfId="0" applyNumberFormat="1" applyFont="1" applyFill="1" applyBorder="1" applyAlignment="1">
      <alignment horizontal="left" wrapText="1" indent="1"/>
    </xf>
    <xf numFmtId="0" fontId="113" fillId="0" borderId="155" xfId="0" applyNumberFormat="1" applyFont="1" applyFill="1" applyBorder="1" applyAlignment="1">
      <alignment horizontal="left" wrapText="1" indent="1"/>
    </xf>
    <xf numFmtId="49" fontId="113" fillId="0" borderId="155" xfId="0" applyNumberFormat="1" applyFont="1" applyFill="1" applyBorder="1" applyAlignment="1">
      <alignment horizontal="left" wrapText="1" indent="3"/>
    </xf>
    <xf numFmtId="49" fontId="113" fillId="0" borderId="154" xfId="0" applyNumberFormat="1" applyFont="1" applyFill="1" applyBorder="1" applyAlignment="1">
      <alignment horizontal="left" wrapText="1" indent="3"/>
    </xf>
    <xf numFmtId="49" fontId="113" fillId="0" borderId="154" xfId="0" applyNumberFormat="1" applyFont="1" applyFill="1" applyBorder="1" applyAlignment="1">
      <alignment horizontal="left" wrapText="1" indent="2"/>
    </xf>
    <xf numFmtId="49" fontId="113" fillId="0" borderId="155" xfId="0" applyNumberFormat="1" applyFont="1" applyBorder="1" applyAlignment="1">
      <alignment horizontal="left" wrapText="1" indent="2"/>
    </xf>
    <xf numFmtId="49" fontId="113" fillId="0" borderId="154" xfId="0" applyNumberFormat="1" applyFont="1" applyFill="1" applyBorder="1" applyAlignment="1">
      <alignment horizontal="left" vertical="top" wrapText="1" indent="2"/>
    </xf>
    <xf numFmtId="0" fontId="113" fillId="81" borderId="154" xfId="0" applyFont="1" applyFill="1" applyBorder="1"/>
    <xf numFmtId="0" fontId="113" fillId="81" borderId="145" xfId="0" applyFont="1" applyFill="1" applyBorder="1"/>
    <xf numFmtId="49" fontId="113" fillId="0" borderId="154" xfId="0" applyNumberFormat="1" applyFont="1" applyFill="1" applyBorder="1" applyAlignment="1">
      <alignment horizontal="left" indent="1"/>
    </xf>
    <xf numFmtId="0" fontId="113" fillId="0" borderId="155" xfId="0" applyNumberFormat="1" applyFont="1" applyBorder="1" applyAlignment="1">
      <alignment horizontal="left" indent="1"/>
    </xf>
    <xf numFmtId="0" fontId="113" fillId="0" borderId="154" xfId="0" applyFont="1" applyBorder="1"/>
    <xf numFmtId="49" fontId="113" fillId="0" borderId="155" xfId="0" applyNumberFormat="1" applyFont="1" applyBorder="1" applyAlignment="1">
      <alignment horizontal="left" indent="1"/>
    </xf>
    <xf numFmtId="49" fontId="113" fillId="0" borderId="154" xfId="0" applyNumberFormat="1" applyFont="1" applyFill="1" applyBorder="1" applyAlignment="1">
      <alignment horizontal="left" indent="3"/>
    </xf>
    <xf numFmtId="49" fontId="113" fillId="0" borderId="155" xfId="0" applyNumberFormat="1" applyFont="1" applyBorder="1" applyAlignment="1">
      <alignment horizontal="left" indent="3"/>
    </xf>
    <xf numFmtId="0" fontId="113" fillId="0" borderId="155" xfId="0" applyFont="1" applyBorder="1" applyAlignment="1">
      <alignment horizontal="left" indent="2"/>
    </xf>
    <xf numFmtId="0" fontId="113" fillId="0" borderId="154" xfId="0" applyFont="1" applyBorder="1" applyAlignment="1">
      <alignment horizontal="left" indent="2"/>
    </xf>
    <xf numFmtId="0" fontId="113" fillId="0" borderId="155" xfId="0" applyFont="1" applyBorder="1" applyAlignment="1">
      <alignment horizontal="left" indent="1"/>
    </xf>
    <xf numFmtId="0" fontId="113" fillId="0" borderId="154" xfId="0" applyFont="1" applyBorder="1" applyAlignment="1">
      <alignment horizontal="left" indent="1"/>
    </xf>
    <xf numFmtId="0" fontId="116" fillId="0" borderId="62" xfId="0" applyFont="1" applyBorder="1"/>
    <xf numFmtId="0" fontId="113" fillId="0" borderId="67" xfId="0" applyFont="1" applyBorder="1"/>
    <xf numFmtId="0" fontId="113" fillId="0" borderId="0" xfId="0" applyFont="1" applyBorder="1" applyAlignment="1">
      <alignment wrapText="1"/>
    </xf>
    <xf numFmtId="0" fontId="113" fillId="0" borderId="0" xfId="0" applyFont="1" applyAlignment="1">
      <alignment horizontal="center" vertical="center"/>
    </xf>
    <xf numFmtId="0" fontId="113" fillId="0" borderId="0" xfId="0" applyFont="1" applyBorder="1" applyAlignment="1">
      <alignment horizontal="left"/>
    </xf>
    <xf numFmtId="0" fontId="116" fillId="0" borderId="145" xfId="0" applyNumberFormat="1" applyFont="1" applyFill="1" applyBorder="1" applyAlignment="1">
      <alignment horizontal="left" vertical="center" wrapText="1"/>
    </xf>
    <xf numFmtId="0" fontId="113" fillId="0" borderId="7" xfId="0" applyFont="1" applyFill="1" applyBorder="1" applyAlignment="1">
      <alignment horizontal="center" vertical="center" wrapText="1"/>
    </xf>
    <xf numFmtId="0" fontId="9" fillId="0" borderId="0" xfId="0" applyFont="1" applyFill="1" applyBorder="1" applyAlignment="1">
      <alignment wrapText="1"/>
    </xf>
    <xf numFmtId="0" fontId="118" fillId="0" borderId="145" xfId="0" applyFont="1" applyBorder="1"/>
    <xf numFmtId="0" fontId="116" fillId="0" borderId="145" xfId="0" applyFont="1" applyBorder="1" applyAlignment="1">
      <alignment horizontal="center" vertical="center" wrapText="1"/>
    </xf>
    <xf numFmtId="0" fontId="118" fillId="0" borderId="0" xfId="0" applyFont="1" applyAlignment="1">
      <alignment horizontal="center" vertical="center"/>
    </xf>
    <xf numFmtId="0" fontId="118" fillId="0" borderId="0" xfId="0" applyFont="1"/>
    <xf numFmtId="0" fontId="136" fillId="0" borderId="0" xfId="0" applyFont="1"/>
    <xf numFmtId="0" fontId="113" fillId="0" borderId="132" xfId="0" applyNumberFormat="1" applyFont="1" applyFill="1" applyBorder="1" applyAlignment="1">
      <alignment horizontal="left" vertical="center" wrapText="1" indent="1" readingOrder="1"/>
    </xf>
    <xf numFmtId="0" fontId="118" fillId="0" borderId="145" xfId="0" applyFont="1" applyBorder="1" applyAlignment="1">
      <alignment horizontal="left" indent="3"/>
    </xf>
    <xf numFmtId="0" fontId="116" fillId="0" borderId="145" xfId="0" applyNumberFormat="1" applyFont="1" applyFill="1" applyBorder="1" applyAlignment="1">
      <alignment vertical="center" wrapText="1" readingOrder="1"/>
    </xf>
    <xf numFmtId="0" fontId="118" fillId="0" borderId="145" xfId="0" applyFont="1" applyFill="1" applyBorder="1" applyAlignment="1">
      <alignment horizontal="left" indent="2"/>
    </xf>
    <xf numFmtId="0" fontId="113" fillId="0" borderId="133" xfId="0" applyNumberFormat="1" applyFont="1" applyFill="1" applyBorder="1" applyAlignment="1">
      <alignment vertical="center" wrapText="1" readingOrder="1"/>
    </xf>
    <xf numFmtId="0" fontId="118" fillId="0" borderId="146" xfId="0" applyFont="1" applyBorder="1" applyAlignment="1">
      <alignment horizontal="left" indent="2"/>
    </xf>
    <xf numFmtId="0" fontId="113" fillId="0" borderId="132" xfId="0" applyNumberFormat="1" applyFont="1" applyFill="1" applyBorder="1" applyAlignment="1">
      <alignment vertical="center" wrapText="1" readingOrder="1"/>
    </xf>
    <xf numFmtId="0" fontId="118" fillId="0" borderId="145" xfId="0" applyFont="1" applyBorder="1" applyAlignment="1">
      <alignment horizontal="left" indent="2"/>
    </xf>
    <xf numFmtId="0" fontId="113" fillId="0" borderId="131" xfId="0" applyNumberFormat="1" applyFont="1" applyFill="1" applyBorder="1" applyAlignment="1">
      <alignment vertical="center" wrapText="1" readingOrder="1"/>
    </xf>
    <xf numFmtId="0" fontId="136" fillId="0" borderId="7" xfId="0" applyFont="1" applyBorder="1"/>
    <xf numFmtId="0" fontId="103" fillId="0" borderId="145" xfId="0" applyFont="1" applyFill="1" applyBorder="1" applyAlignment="1">
      <alignment vertical="center" wrapText="1"/>
    </xf>
    <xf numFmtId="0" fontId="103" fillId="0" borderId="145" xfId="0" applyFont="1" applyBorder="1" applyAlignment="1">
      <alignment horizontal="left" vertical="center" wrapText="1"/>
    </xf>
    <xf numFmtId="0" fontId="103" fillId="0" borderId="145" xfId="0" applyFont="1" applyBorder="1" applyAlignment="1">
      <alignment horizontal="left" indent="2"/>
    </xf>
    <xf numFmtId="0" fontId="103" fillId="0" borderId="145" xfId="0" applyNumberFormat="1" applyFont="1" applyFill="1" applyBorder="1" applyAlignment="1">
      <alignment vertical="center" wrapText="1"/>
    </xf>
    <xf numFmtId="0" fontId="103" fillId="0" borderId="145" xfId="0" applyNumberFormat="1" applyFont="1" applyFill="1" applyBorder="1" applyAlignment="1">
      <alignment horizontal="left" vertical="center" indent="1"/>
    </xf>
    <xf numFmtId="0" fontId="103" fillId="0" borderId="145" xfId="0" applyNumberFormat="1" applyFont="1" applyFill="1" applyBorder="1" applyAlignment="1">
      <alignment horizontal="left" vertical="center" wrapText="1" indent="1"/>
    </xf>
    <xf numFmtId="0" fontId="103" fillId="0" borderId="145" xfId="0" applyNumberFormat="1" applyFont="1" applyFill="1" applyBorder="1" applyAlignment="1">
      <alignment horizontal="right" vertical="center"/>
    </xf>
    <xf numFmtId="49" fontId="103" fillId="0" borderId="145" xfId="0" applyNumberFormat="1" applyFont="1" applyFill="1" applyBorder="1" applyAlignment="1">
      <alignment horizontal="right" vertical="center"/>
    </xf>
    <xf numFmtId="0" fontId="103" fillId="0" borderId="146" xfId="0" applyNumberFormat="1" applyFont="1" applyFill="1" applyBorder="1" applyAlignment="1">
      <alignment horizontal="left" vertical="top" wrapText="1"/>
    </xf>
    <xf numFmtId="49" fontId="103" fillId="0" borderId="145" xfId="0" applyNumberFormat="1" applyFont="1" applyFill="1" applyBorder="1" applyAlignment="1">
      <alignment vertical="top" wrapText="1"/>
    </xf>
    <xf numFmtId="49" fontId="103" fillId="0" borderId="145" xfId="0" applyNumberFormat="1" applyFont="1" applyFill="1" applyBorder="1" applyAlignment="1">
      <alignment horizontal="left" vertical="top" wrapText="1" indent="2"/>
    </xf>
    <xf numFmtId="49" fontId="103" fillId="0" borderId="145" xfId="0" applyNumberFormat="1" applyFont="1" applyFill="1" applyBorder="1" applyAlignment="1">
      <alignment horizontal="left" vertical="center" wrapText="1" indent="3"/>
    </xf>
    <xf numFmtId="49" fontId="103" fillId="0" borderId="145" xfId="0" applyNumberFormat="1" applyFont="1" applyFill="1" applyBorder="1" applyAlignment="1">
      <alignment horizontal="left" wrapText="1" indent="2"/>
    </xf>
    <xf numFmtId="49" fontId="103" fillId="0" borderId="145" xfId="0" applyNumberFormat="1" applyFont="1" applyFill="1" applyBorder="1" applyAlignment="1">
      <alignment horizontal="left" vertical="top" wrapText="1"/>
    </xf>
    <xf numFmtId="49" fontId="103" fillId="0" borderId="145" xfId="0" applyNumberFormat="1" applyFont="1" applyFill="1" applyBorder="1" applyAlignment="1">
      <alignment horizontal="left" wrapText="1" indent="3"/>
    </xf>
    <xf numFmtId="49" fontId="103" fillId="0" borderId="145" xfId="0" applyNumberFormat="1" applyFont="1" applyFill="1" applyBorder="1" applyAlignment="1">
      <alignment vertical="center"/>
    </xf>
    <xf numFmtId="0" fontId="103" fillId="0" borderId="145" xfId="0" applyFont="1" applyFill="1" applyBorder="1" applyAlignment="1">
      <alignment horizontal="left" vertical="center" wrapText="1"/>
    </xf>
    <xf numFmtId="49" fontId="103" fillId="0" borderId="145" xfId="0" applyNumberFormat="1" applyFont="1" applyFill="1" applyBorder="1" applyAlignment="1">
      <alignment horizontal="left" indent="3"/>
    </xf>
    <xf numFmtId="0" fontId="103" fillId="0" borderId="145" xfId="0" applyFont="1" applyBorder="1" applyAlignment="1">
      <alignment horizontal="left" indent="1"/>
    </xf>
    <xf numFmtId="0" fontId="103" fillId="0" borderId="145" xfId="0" applyNumberFormat="1" applyFont="1" applyFill="1" applyBorder="1" applyAlignment="1">
      <alignment horizontal="left" vertical="center" wrapText="1"/>
    </xf>
    <xf numFmtId="0" fontId="103" fillId="0" borderId="145" xfId="0" applyFont="1" applyFill="1" applyBorder="1" applyAlignment="1">
      <alignment horizontal="left" wrapText="1" indent="2"/>
    </xf>
    <xf numFmtId="0" fontId="103" fillId="0" borderId="145" xfId="0" applyFont="1" applyBorder="1" applyAlignment="1">
      <alignment horizontal="left" vertical="top" wrapText="1"/>
    </xf>
    <xf numFmtId="0" fontId="102" fillId="0" borderId="7" xfId="0" applyFont="1" applyBorder="1" applyAlignment="1">
      <alignment wrapText="1"/>
    </xf>
    <xf numFmtId="0" fontId="103" fillId="0" borderId="145" xfId="0" applyFont="1" applyBorder="1" applyAlignment="1">
      <alignment horizontal="left" vertical="top" wrapText="1" indent="2"/>
    </xf>
    <xf numFmtId="0" fontId="103" fillId="0" borderId="145" xfId="0" applyFont="1" applyBorder="1" applyAlignment="1">
      <alignment horizontal="left" wrapText="1"/>
    </xf>
    <xf numFmtId="0" fontId="103" fillId="0" borderId="145" xfId="12672" applyFont="1" applyFill="1" applyBorder="1" applyAlignment="1">
      <alignment horizontal="left" vertical="center" wrapText="1" indent="2"/>
    </xf>
    <xf numFmtId="0" fontId="103" fillId="0" borderId="145" xfId="0" applyFont="1" applyBorder="1" applyAlignment="1">
      <alignment horizontal="left" wrapText="1" indent="2"/>
    </xf>
    <xf numFmtId="0" fontId="103" fillId="0" borderId="145" xfId="0" applyFont="1" applyBorder="1" applyAlignment="1">
      <alignment wrapText="1"/>
    </xf>
    <xf numFmtId="0" fontId="103" fillId="0" borderId="145" xfId="0" applyFont="1" applyBorder="1"/>
    <xf numFmtId="0" fontId="103" fillId="0" borderId="145" xfId="12672" applyFont="1" applyFill="1" applyBorder="1" applyAlignment="1">
      <alignment horizontal="left" vertical="center" wrapText="1"/>
    </xf>
    <xf numFmtId="0" fontId="102" fillId="0" borderId="145" xfId="0" applyFont="1" applyBorder="1" applyAlignment="1">
      <alignment wrapText="1"/>
    </xf>
    <xf numFmtId="0" fontId="103" fillId="0" borderId="147" xfId="0" applyNumberFormat="1" applyFont="1" applyFill="1" applyBorder="1" applyAlignment="1">
      <alignment horizontal="left" vertical="center" wrapText="1"/>
    </xf>
    <xf numFmtId="0" fontId="103" fillId="3" borderId="145" xfId="5" applyNumberFormat="1" applyFont="1" applyFill="1" applyBorder="1" applyAlignment="1" applyProtection="1">
      <alignment horizontal="right" vertical="center"/>
      <protection locked="0"/>
    </xf>
    <xf numFmtId="2" fontId="103" fillId="3" borderId="145" xfId="5" applyNumberFormat="1" applyFont="1" applyFill="1" applyBorder="1" applyAlignment="1" applyProtection="1">
      <alignment horizontal="right" vertical="center"/>
      <protection locked="0"/>
    </xf>
    <xf numFmtId="0" fontId="103" fillId="0" borderId="145" xfId="0" applyNumberFormat="1" applyFont="1" applyFill="1" applyBorder="1" applyAlignment="1">
      <alignment vertical="center"/>
    </xf>
    <xf numFmtId="0" fontId="103" fillId="0" borderId="147" xfId="13" applyFont="1" applyFill="1" applyBorder="1" applyAlignment="1" applyProtection="1">
      <alignment horizontal="left" vertical="top" wrapText="1"/>
      <protection locked="0"/>
    </xf>
    <xf numFmtId="0" fontId="103" fillId="0" borderId="148" xfId="13" applyFont="1" applyFill="1" applyBorder="1" applyAlignment="1" applyProtection="1">
      <alignment horizontal="left" vertical="top" wrapText="1"/>
      <protection locked="0"/>
    </xf>
    <xf numFmtId="0" fontId="103" fillId="0" borderId="146" xfId="0" applyFont="1" applyFill="1" applyBorder="1" applyAlignment="1">
      <alignment vertical="center" wrapText="1"/>
    </xf>
    <xf numFmtId="0" fontId="122" fillId="0" borderId="0" xfId="0" applyFont="1" applyBorder="1" applyAlignment="1">
      <alignment horizontal="left" indent="2"/>
    </xf>
    <xf numFmtId="0" fontId="113" fillId="0" borderId="0" xfId="0" applyNumberFormat="1" applyFont="1" applyFill="1" applyBorder="1" applyAlignment="1">
      <alignment horizontal="left" vertical="center" indent="1"/>
    </xf>
    <xf numFmtId="0" fontId="113" fillId="0" borderId="0" xfId="0" applyNumberFormat="1" applyFont="1" applyFill="1" applyBorder="1" applyAlignment="1">
      <alignment vertical="center" wrapText="1"/>
    </xf>
    <xf numFmtId="0" fontId="113" fillId="0" borderId="0" xfId="0" applyFont="1" applyFill="1" applyBorder="1" applyAlignment="1">
      <alignment vertical="center" wrapText="1"/>
    </xf>
    <xf numFmtId="0" fontId="124" fillId="0" borderId="0" xfId="0" applyNumberFormat="1" applyFont="1" applyFill="1" applyBorder="1" applyAlignment="1">
      <alignment horizontal="left" vertical="center" wrapText="1" readingOrder="1"/>
    </xf>
    <xf numFmtId="0" fontId="122" fillId="0" borderId="0" xfId="0" applyFont="1" applyBorder="1" applyAlignment="1">
      <alignment horizontal="left" vertical="center" wrapText="1"/>
    </xf>
    <xf numFmtId="0" fontId="113" fillId="0" borderId="0" xfId="0" applyFont="1" applyFill="1" applyBorder="1" applyAlignment="1">
      <alignment horizontal="left" vertical="center" wrapText="1"/>
    </xf>
    <xf numFmtId="0" fontId="103" fillId="0" borderId="146" xfId="0" applyFont="1" applyBorder="1" applyAlignment="1">
      <alignment horizontal="left" indent="2"/>
    </xf>
    <xf numFmtId="0" fontId="103" fillId="0" borderId="133" xfId="0" applyNumberFormat="1" applyFont="1" applyFill="1" applyBorder="1" applyAlignment="1">
      <alignment horizontal="left" vertical="center" wrapText="1" readingOrder="1"/>
    </xf>
    <xf numFmtId="0" fontId="103" fillId="0" borderId="145" xfId="0" applyNumberFormat="1" applyFont="1" applyFill="1" applyBorder="1" applyAlignment="1">
      <alignment horizontal="left" vertical="center" wrapText="1" readingOrder="1"/>
    </xf>
    <xf numFmtId="169" fontId="24" fillId="37" borderId="61" xfId="20" applyBorder="1"/>
    <xf numFmtId="0" fontId="11" fillId="0" borderId="96" xfId="17" applyFill="1" applyBorder="1" applyAlignment="1" applyProtection="1">
      <alignment horizontal="left" vertical="top" wrapText="1"/>
    </xf>
    <xf numFmtId="0" fontId="7" fillId="83" borderId="145" xfId="13" applyFont="1" applyFill="1" applyBorder="1" applyAlignment="1" applyProtection="1">
      <alignment wrapText="1"/>
      <protection locked="0"/>
    </xf>
    <xf numFmtId="0" fontId="7" fillId="83" borderId="3" xfId="13" applyFont="1" applyFill="1" applyBorder="1" applyAlignment="1" applyProtection="1">
      <alignment vertical="center" wrapText="1"/>
      <protection locked="0"/>
    </xf>
    <xf numFmtId="0" fontId="103" fillId="0" borderId="0" xfId="0" applyFont="1" applyFill="1" applyBorder="1" applyAlignment="1">
      <alignment wrapText="1"/>
    </xf>
    <xf numFmtId="0" fontId="139" fillId="0" borderId="145" xfId="0" applyFont="1" applyBorder="1"/>
    <xf numFmtId="0" fontId="140" fillId="0" borderId="145" xfId="17" applyFont="1" applyBorder="1" applyAlignment="1" applyProtection="1"/>
    <xf numFmtId="0" fontId="141" fillId="0" borderId="0" xfId="0" applyFont="1"/>
    <xf numFmtId="179" fontId="141" fillId="0" borderId="0" xfId="0" applyNumberFormat="1" applyFont="1" applyAlignment="1">
      <alignment horizontal="left"/>
    </xf>
    <xf numFmtId="193" fontId="2" fillId="0" borderId="148" xfId="0" applyNumberFormat="1" applyFont="1" applyFill="1" applyBorder="1" applyAlignment="1" applyProtection="1">
      <alignment vertical="center" wrapText="1"/>
      <protection locked="0"/>
    </xf>
    <xf numFmtId="169" fontId="2" fillId="37" borderId="0" xfId="20" applyFont="1" applyBorder="1"/>
    <xf numFmtId="193" fontId="2" fillId="0" borderId="148" xfId="0" applyNumberFormat="1" applyFont="1" applyFill="1" applyBorder="1" applyAlignment="1" applyProtection="1">
      <alignment horizontal="right" vertical="center" wrapText="1"/>
      <protection locked="0"/>
    </xf>
    <xf numFmtId="193" fontId="60" fillId="0" borderId="148" xfId="0" applyNumberFormat="1" applyFont="1" applyFill="1" applyBorder="1" applyAlignment="1" applyProtection="1">
      <alignment horizontal="right" vertical="center" wrapText="1"/>
      <protection locked="0"/>
    </xf>
    <xf numFmtId="10" fontId="2" fillId="0" borderId="148" xfId="20961" applyNumberFormat="1" applyFont="1" applyBorder="1" applyAlignment="1" applyProtection="1">
      <alignment horizontal="right" vertical="center" wrapText="1"/>
      <protection locked="0"/>
    </xf>
    <xf numFmtId="10" fontId="2" fillId="2" borderId="148" xfId="20961" applyNumberFormat="1" applyFont="1" applyFill="1" applyBorder="1" applyAlignment="1" applyProtection="1">
      <alignment vertical="center"/>
      <protection locked="0"/>
    </xf>
    <xf numFmtId="193" fontId="2" fillId="2" borderId="148" xfId="0" applyNumberFormat="1" applyFont="1" applyFill="1" applyBorder="1" applyAlignment="1" applyProtection="1">
      <alignment vertical="center"/>
      <protection locked="0"/>
    </xf>
    <xf numFmtId="10" fontId="2" fillId="2" borderId="144" xfId="20961" applyNumberFormat="1" applyFont="1" applyFill="1" applyBorder="1" applyAlignment="1" applyProtection="1">
      <alignment vertical="center"/>
      <protection locked="0"/>
    </xf>
    <xf numFmtId="193" fontId="2" fillId="2" borderId="144" xfId="0" applyNumberFormat="1" applyFont="1" applyFill="1" applyBorder="1" applyAlignment="1" applyProtection="1">
      <alignment vertical="center"/>
      <protection locked="0"/>
    </xf>
    <xf numFmtId="10" fontId="2" fillId="2" borderId="25" xfId="20961" applyNumberFormat="1" applyFont="1" applyFill="1" applyBorder="1" applyAlignment="1" applyProtection="1">
      <alignment vertical="center"/>
      <protection locked="0"/>
    </xf>
    <xf numFmtId="169" fontId="2" fillId="37" borderId="61" xfId="20" applyFont="1" applyBorder="1"/>
    <xf numFmtId="164" fontId="0" fillId="0" borderId="155" xfId="7" applyNumberFormat="1" applyFont="1" applyBorder="1"/>
    <xf numFmtId="164" fontId="0" fillId="0" borderId="145" xfId="7" applyNumberFormat="1" applyFont="1" applyBorder="1"/>
    <xf numFmtId="164" fontId="19" fillId="0" borderId="155" xfId="7" applyNumberFormat="1" applyFont="1" applyBorder="1" applyAlignment="1">
      <alignment vertical="center" wrapText="1"/>
    </xf>
    <xf numFmtId="164" fontId="19" fillId="0" borderId="155" xfId="7" applyNumberFormat="1" applyFont="1" applyFill="1" applyBorder="1" applyAlignment="1">
      <alignment vertical="center" wrapText="1"/>
    </xf>
    <xf numFmtId="3" fontId="143" fillId="36" borderId="96" xfId="0" applyNumberFormat="1" applyFont="1" applyFill="1" applyBorder="1" applyAlignment="1">
      <alignment vertical="center" wrapText="1"/>
    </xf>
    <xf numFmtId="3" fontId="143" fillId="36" borderId="97" xfId="0" applyNumberFormat="1" applyFont="1" applyFill="1" applyBorder="1" applyAlignment="1">
      <alignment vertical="center" wrapText="1"/>
    </xf>
    <xf numFmtId="3" fontId="143" fillId="36" borderId="111" xfId="0" applyNumberFormat="1" applyFont="1" applyFill="1" applyBorder="1" applyAlignment="1">
      <alignment vertical="center" wrapText="1"/>
    </xf>
    <xf numFmtId="3" fontId="143" fillId="36" borderId="21" xfId="0" applyNumberFormat="1" applyFont="1" applyFill="1" applyBorder="1" applyAlignment="1">
      <alignment vertical="center" wrapText="1"/>
    </xf>
    <xf numFmtId="3" fontId="143" fillId="36" borderId="23" xfId="0" applyNumberFormat="1" applyFont="1" applyFill="1" applyBorder="1" applyAlignment="1">
      <alignment vertical="center" wrapText="1"/>
    </xf>
    <xf numFmtId="3" fontId="143" fillId="36" borderId="25" xfId="0" applyNumberFormat="1" applyFont="1" applyFill="1" applyBorder="1" applyAlignment="1">
      <alignment vertical="center" wrapText="1"/>
    </xf>
    <xf numFmtId="3" fontId="143" fillId="36" borderId="24" xfId="0" applyNumberFormat="1" applyFont="1" applyFill="1" applyBorder="1" applyAlignment="1">
      <alignment vertical="center" wrapText="1"/>
    </xf>
    <xf numFmtId="3" fontId="143" fillId="36" borderId="36" xfId="0" applyNumberFormat="1" applyFont="1" applyFill="1" applyBorder="1" applyAlignment="1">
      <alignment vertical="center" wrapText="1"/>
    </xf>
    <xf numFmtId="0" fontId="13" fillId="0" borderId="148" xfId="0" applyFont="1" applyBorder="1" applyAlignment="1">
      <alignment wrapText="1"/>
    </xf>
    <xf numFmtId="0" fontId="4" fillId="0" borderId="154" xfId="0" applyFont="1" applyBorder="1" applyAlignment="1"/>
    <xf numFmtId="0" fontId="9" fillId="0" borderId="148" xfId="0" applyFont="1" applyBorder="1" applyAlignment="1">
      <alignment wrapText="1"/>
    </xf>
    <xf numFmtId="0" fontId="9" fillId="0" borderId="154" xfId="0" applyFont="1" applyBorder="1" applyAlignment="1"/>
    <xf numFmtId="9" fontId="4" fillId="0" borderId="21" xfId="0" applyNumberFormat="1" applyFont="1" applyBorder="1" applyAlignment="1"/>
    <xf numFmtId="10" fontId="4" fillId="0" borderId="21" xfId="20961" applyNumberFormat="1" applyFont="1" applyFill="1" applyBorder="1" applyAlignment="1"/>
    <xf numFmtId="10" fontId="4" fillId="0" borderId="36" xfId="20961" applyNumberFormat="1" applyFont="1" applyFill="1" applyBorder="1" applyAlignment="1"/>
    <xf numFmtId="43" fontId="144" fillId="0" borderId="145" xfId="7" applyFont="1" applyFill="1" applyBorder="1" applyAlignment="1">
      <alignment horizontal="center" vertical="center"/>
    </xf>
    <xf numFmtId="43" fontId="142" fillId="0" borderId="145" xfId="7" applyFont="1" applyFill="1" applyBorder="1" applyAlignment="1">
      <alignment horizontal="center" vertical="center"/>
    </xf>
    <xf numFmtId="43" fontId="144" fillId="0" borderId="154" xfId="7" applyFont="1" applyFill="1" applyBorder="1" applyAlignment="1">
      <alignment horizontal="center" vertical="center"/>
    </xf>
    <xf numFmtId="43" fontId="142" fillId="0" borderId="154" xfId="7" applyFont="1" applyFill="1" applyBorder="1" applyAlignment="1">
      <alignment horizontal="center" vertical="center"/>
    </xf>
    <xf numFmtId="193" fontId="145" fillId="36" borderId="152" xfId="0" applyNumberFormat="1" applyFont="1" applyFill="1" applyBorder="1" applyAlignment="1">
      <alignment horizontal="center" vertical="center"/>
    </xf>
    <xf numFmtId="193" fontId="145" fillId="36" borderId="151" xfId="0" applyNumberFormat="1" applyFont="1" applyFill="1" applyBorder="1" applyAlignment="1">
      <alignment horizontal="center" vertical="center"/>
    </xf>
    <xf numFmtId="193" fontId="146" fillId="36" borderId="18" xfId="0" applyNumberFormat="1" applyFont="1" applyFill="1" applyBorder="1" applyAlignment="1">
      <alignment horizontal="center" vertical="center"/>
    </xf>
    <xf numFmtId="193" fontId="146" fillId="36" borderId="20" xfId="0" applyNumberFormat="1" applyFont="1" applyFill="1" applyBorder="1" applyAlignment="1">
      <alignment horizontal="center" vertical="center" wrapText="1"/>
    </xf>
    <xf numFmtId="193" fontId="146" fillId="36" borderId="24" xfId="0" applyNumberFormat="1" applyFont="1" applyFill="1" applyBorder="1" applyAlignment="1">
      <alignment horizontal="center" vertical="center" wrapText="1"/>
    </xf>
    <xf numFmtId="193" fontId="142" fillId="0" borderId="154" xfId="0" applyNumberFormat="1" applyFont="1" applyBorder="1" applyAlignment="1">
      <alignment wrapText="1"/>
    </xf>
    <xf numFmtId="10" fontId="106" fillId="0" borderId="145" xfId="20961" applyNumberFormat="1" applyFont="1" applyFill="1" applyBorder="1" applyAlignment="1">
      <alignment horizontal="left" vertical="center" wrapText="1"/>
    </xf>
    <xf numFmtId="164" fontId="4" fillId="0" borderId="111" xfId="7" applyNumberFormat="1" applyFont="1" applyFill="1" applyBorder="1" applyAlignment="1">
      <alignment horizontal="right" vertical="center" wrapText="1"/>
    </xf>
    <xf numFmtId="164" fontId="6" fillId="36" borderId="111" xfId="7" applyNumberFormat="1" applyFont="1" applyFill="1" applyBorder="1" applyAlignment="1">
      <alignment horizontal="right" vertical="center" wrapText="1"/>
    </xf>
    <xf numFmtId="164" fontId="106" fillId="0" borderId="111" xfId="7" applyNumberFormat="1" applyFont="1" applyFill="1" applyBorder="1" applyAlignment="1">
      <alignment horizontal="right" vertical="center" wrapText="1"/>
    </xf>
    <xf numFmtId="164" fontId="7" fillId="0" borderId="24" xfId="7" applyNumberFormat="1" applyFont="1" applyFill="1" applyBorder="1" applyAlignment="1" applyProtection="1">
      <alignment horizontal="right" vertical="center"/>
    </xf>
    <xf numFmtId="193" fontId="144" fillId="0" borderId="160" xfId="0" applyNumberFormat="1" applyFont="1" applyBorder="1" applyAlignment="1">
      <alignment horizontal="center" vertical="center"/>
    </xf>
    <xf numFmtId="167" fontId="142" fillId="0" borderId="161" xfId="0" applyNumberFormat="1" applyFont="1" applyBorder="1" applyAlignment="1">
      <alignment horizontal="center"/>
    </xf>
    <xf numFmtId="193" fontId="142" fillId="0" borderId="12" xfId="0" applyNumberFormat="1" applyFont="1" applyBorder="1" applyAlignment="1">
      <alignment horizontal="center" vertical="center"/>
    </xf>
    <xf numFmtId="167" fontId="142" fillId="0" borderId="57" xfId="0" applyNumberFormat="1" applyFont="1" applyBorder="1" applyAlignment="1">
      <alignment horizontal="center"/>
    </xf>
    <xf numFmtId="167" fontId="142" fillId="0" borderId="57" xfId="0" applyNumberFormat="1" applyFont="1" applyFill="1" applyBorder="1" applyAlignment="1">
      <alignment horizontal="center"/>
    </xf>
    <xf numFmtId="193" fontId="144" fillId="0" borderId="12" xfId="0" applyNumberFormat="1" applyFont="1" applyBorder="1" applyAlignment="1">
      <alignment horizontal="center" vertical="center"/>
    </xf>
    <xf numFmtId="167" fontId="147" fillId="0" borderId="57" xfId="0" applyNumberFormat="1" applyFont="1" applyFill="1" applyBorder="1" applyAlignment="1">
      <alignment horizontal="center"/>
    </xf>
    <xf numFmtId="193" fontId="148" fillId="0" borderId="12" xfId="0" applyNumberFormat="1" applyFont="1" applyFill="1" applyBorder="1" applyAlignment="1">
      <alignment horizontal="center" vertical="center"/>
    </xf>
    <xf numFmtId="193" fontId="144" fillId="0" borderId="12" xfId="0" applyNumberFormat="1" applyFont="1" applyFill="1" applyBorder="1" applyAlignment="1">
      <alignment horizontal="center" vertical="center"/>
    </xf>
    <xf numFmtId="167" fontId="61" fillId="0" borderId="57" xfId="0" applyNumberFormat="1" applyFont="1" applyFill="1" applyBorder="1" applyAlignment="1">
      <alignment horizontal="center"/>
    </xf>
    <xf numFmtId="167" fontId="142" fillId="0" borderId="59" xfId="0" applyNumberFormat="1" applyFont="1" applyFill="1" applyBorder="1" applyAlignment="1">
      <alignment horizontal="center"/>
    </xf>
    <xf numFmtId="167" fontId="145" fillId="0" borderId="55" xfId="0" applyNumberFormat="1" applyFont="1" applyFill="1" applyBorder="1" applyAlignment="1">
      <alignment horizontal="center"/>
    </xf>
    <xf numFmtId="193" fontId="144" fillId="0" borderId="15" xfId="0" applyNumberFormat="1" applyFont="1" applyBorder="1" applyAlignment="1">
      <alignment horizontal="center" vertical="center"/>
    </xf>
    <xf numFmtId="167" fontId="149" fillId="84" borderId="56" xfId="0" applyNumberFormat="1" applyFont="1" applyFill="1" applyBorder="1" applyAlignment="1">
      <alignment horizontal="center"/>
    </xf>
    <xf numFmtId="167" fontId="142" fillId="0" borderId="59" xfId="0" applyNumberFormat="1" applyFont="1" applyBorder="1" applyAlignment="1">
      <alignment horizontal="center"/>
    </xf>
    <xf numFmtId="193" fontId="144" fillId="0" borderId="13" xfId="0" applyNumberFormat="1" applyFont="1" applyBorder="1" applyAlignment="1">
      <alignment horizontal="center" vertical="center"/>
    </xf>
    <xf numFmtId="193" fontId="147" fillId="0" borderId="13" xfId="0" applyNumberFormat="1" applyFont="1" applyBorder="1" applyAlignment="1">
      <alignment vertical="center"/>
    </xf>
    <xf numFmtId="167" fontId="142" fillId="0" borderId="60" xfId="0" applyNumberFormat="1" applyFont="1" applyBorder="1" applyAlignment="1">
      <alignment horizontal="center"/>
    </xf>
    <xf numFmtId="193" fontId="145" fillId="0" borderId="14" xfId="0" applyNumberFormat="1" applyFont="1" applyFill="1" applyBorder="1" applyAlignment="1">
      <alignment horizontal="center" vertical="center"/>
    </xf>
    <xf numFmtId="193" fontId="150" fillId="0" borderId="14" xfId="0" applyNumberFormat="1" applyFont="1" applyFill="1" applyBorder="1" applyAlignment="1">
      <alignment horizontal="center" vertical="center"/>
    </xf>
    <xf numFmtId="193" fontId="144" fillId="0" borderId="14" xfId="0" applyNumberFormat="1" applyFont="1" applyFill="1" applyBorder="1" applyAlignment="1">
      <alignment horizontal="center" vertical="center"/>
    </xf>
    <xf numFmtId="167" fontId="142" fillId="0" borderId="154" xfId="0" applyNumberFormat="1" applyFont="1" applyBorder="1" applyAlignment="1">
      <alignment horizontal="center"/>
    </xf>
    <xf numFmtId="167" fontId="145" fillId="0" borderId="154" xfId="0" applyNumberFormat="1" applyFont="1" applyFill="1" applyBorder="1" applyAlignment="1">
      <alignment horizontal="center"/>
    </xf>
    <xf numFmtId="0" fontId="142" fillId="0" borderId="154" xfId="0" applyFont="1" applyBorder="1"/>
    <xf numFmtId="0" fontId="142" fillId="0" borderId="145" xfId="0" applyFont="1" applyBorder="1"/>
    <xf numFmtId="0" fontId="144" fillId="0" borderId="145" xfId="0" applyFont="1" applyBorder="1" applyAlignment="1">
      <alignment horizontal="center"/>
    </xf>
    <xf numFmtId="193" fontId="144" fillId="0" borderId="162" xfId="0" applyNumberFormat="1" applyFont="1" applyBorder="1" applyAlignment="1">
      <alignment horizontal="center" vertical="center"/>
    </xf>
    <xf numFmtId="0" fontId="142" fillId="0" borderId="151" xfId="0" applyFont="1" applyBorder="1"/>
    <xf numFmtId="193" fontId="142" fillId="0" borderId="145" xfId="0" applyNumberFormat="1" applyFont="1" applyBorder="1" applyAlignment="1"/>
    <xf numFmtId="164" fontId="142" fillId="0" borderId="145" xfId="7" applyNumberFormat="1" applyFont="1" applyBorder="1" applyAlignment="1"/>
    <xf numFmtId="164" fontId="4" fillId="0" borderId="20" xfId="7" applyNumberFormat="1" applyFont="1" applyBorder="1" applyAlignment="1"/>
    <xf numFmtId="164" fontId="4" fillId="36" borderId="23" xfId="7" applyNumberFormat="1" applyFont="1" applyFill="1" applyBorder="1"/>
    <xf numFmtId="164" fontId="4" fillId="36" borderId="24" xfId="7" applyNumberFormat="1" applyFont="1" applyFill="1" applyBorder="1"/>
    <xf numFmtId="193" fontId="142" fillId="0" borderId="155" xfId="0" applyNumberFormat="1" applyFont="1" applyBorder="1" applyAlignment="1"/>
    <xf numFmtId="193" fontId="142" fillId="0" borderId="154" xfId="0" applyNumberFormat="1" applyFont="1" applyBorder="1" applyAlignment="1"/>
    <xf numFmtId="193" fontId="142" fillId="0" borderId="21" xfId="0" applyNumberFormat="1" applyFont="1" applyBorder="1" applyAlignment="1"/>
    <xf numFmtId="193" fontId="151" fillId="36" borderId="50" xfId="0" applyNumberFormat="1" applyFont="1" applyFill="1" applyBorder="1" applyAlignment="1"/>
    <xf numFmtId="193" fontId="152" fillId="36" borderId="22" xfId="0" applyNumberFormat="1" applyFont="1" applyFill="1" applyBorder="1"/>
    <xf numFmtId="193" fontId="152" fillId="36" borderId="23" xfId="0" applyNumberFormat="1" applyFont="1" applyFill="1" applyBorder="1"/>
    <xf numFmtId="193" fontId="152" fillId="36" borderId="24" xfId="0" applyNumberFormat="1" applyFont="1" applyFill="1" applyBorder="1"/>
    <xf numFmtId="193" fontId="4" fillId="0" borderId="145" xfId="0" applyNumberFormat="1" applyFont="1" applyBorder="1"/>
    <xf numFmtId="193" fontId="4" fillId="0" borderId="148" xfId="0" applyNumberFormat="1" applyFont="1" applyBorder="1"/>
    <xf numFmtId="9" fontId="151" fillId="0" borderId="154" xfId="20961" applyFont="1" applyBorder="1"/>
    <xf numFmtId="0" fontId="4" fillId="3" borderId="112" xfId="0" applyFont="1" applyFill="1" applyBorder="1" applyAlignment="1">
      <alignment vertical="center"/>
    </xf>
    <xf numFmtId="0" fontId="4" fillId="3" borderId="150" xfId="0" applyFont="1" applyFill="1" applyBorder="1" applyAlignment="1">
      <alignment vertical="center"/>
    </xf>
    <xf numFmtId="194" fontId="4" fillId="0" borderId="112" xfId="7" applyNumberFormat="1" applyFont="1" applyFill="1" applyBorder="1" applyAlignment="1">
      <alignment vertical="center"/>
    </xf>
    <xf numFmtId="194" fontId="4" fillId="0" borderId="52" xfId="7" applyNumberFormat="1" applyFont="1" applyFill="1" applyBorder="1" applyAlignment="1">
      <alignment vertical="center"/>
    </xf>
    <xf numFmtId="194" fontId="6" fillId="0" borderId="154" xfId="7" applyNumberFormat="1" applyFont="1" applyFill="1" applyBorder="1" applyAlignment="1">
      <alignment vertical="center"/>
    </xf>
    <xf numFmtId="194" fontId="4" fillId="0" borderId="150" xfId="7" applyNumberFormat="1" applyFont="1" applyFill="1" applyBorder="1" applyAlignment="1">
      <alignment vertical="center"/>
    </xf>
    <xf numFmtId="194" fontId="4" fillId="0" borderId="145" xfId="7" applyNumberFormat="1" applyFont="1" applyFill="1" applyBorder="1" applyAlignment="1">
      <alignment vertical="center"/>
    </xf>
    <xf numFmtId="194" fontId="4" fillId="0" borderId="155" xfId="7" applyNumberFormat="1" applyFont="1" applyFill="1" applyBorder="1" applyAlignment="1">
      <alignment vertical="center"/>
    </xf>
    <xf numFmtId="0" fontId="4" fillId="0" borderId="155" xfId="0" applyFont="1" applyFill="1" applyBorder="1" applyAlignment="1">
      <alignment vertical="center"/>
    </xf>
    <xf numFmtId="0" fontId="4" fillId="0" borderId="148" xfId="0" applyFont="1" applyFill="1" applyBorder="1" applyAlignment="1">
      <alignment vertical="center"/>
    </xf>
    <xf numFmtId="0" fontId="4" fillId="0" borderId="147" xfId="0" applyFont="1" applyFill="1" applyBorder="1" applyAlignment="1">
      <alignment vertical="center"/>
    </xf>
    <xf numFmtId="194" fontId="6" fillId="0" borderId="155" xfId="0" applyNumberFormat="1" applyFont="1" applyFill="1" applyBorder="1" applyAlignment="1">
      <alignment vertical="center"/>
    </xf>
    <xf numFmtId="194" fontId="6" fillId="0" borderId="150" xfId="0" applyNumberFormat="1" applyFont="1" applyFill="1" applyBorder="1" applyAlignment="1">
      <alignment vertical="center"/>
    </xf>
    <xf numFmtId="194" fontId="6" fillId="0" borderId="112" xfId="0" applyNumberFormat="1" applyFont="1" applyFill="1" applyBorder="1" applyAlignment="1">
      <alignment vertical="center"/>
    </xf>
    <xf numFmtId="194" fontId="6" fillId="0" borderId="145" xfId="0" applyNumberFormat="1" applyFont="1" applyFill="1" applyBorder="1" applyAlignment="1">
      <alignment vertical="center"/>
    </xf>
    <xf numFmtId="194" fontId="4" fillId="0" borderId="148" xfId="7" applyNumberFormat="1" applyFont="1" applyFill="1" applyBorder="1" applyAlignment="1">
      <alignment vertical="center"/>
    </xf>
    <xf numFmtId="194" fontId="4" fillId="0" borderId="147" xfId="7" applyNumberFormat="1" applyFont="1" applyFill="1" applyBorder="1" applyAlignment="1">
      <alignment vertical="center"/>
    </xf>
    <xf numFmtId="194" fontId="6" fillId="0" borderId="153" xfId="0" applyNumberFormat="1" applyFont="1" applyFill="1" applyBorder="1" applyAlignment="1">
      <alignment vertical="center"/>
    </xf>
    <xf numFmtId="194" fontId="6" fillId="0" borderId="108" xfId="0" applyNumberFormat="1" applyFont="1" applyFill="1" applyBorder="1" applyAlignment="1">
      <alignment vertical="center"/>
    </xf>
    <xf numFmtId="194" fontId="6" fillId="0" borderId="151" xfId="7" applyNumberFormat="1" applyFont="1" applyFill="1" applyBorder="1" applyAlignment="1">
      <alignment vertical="center"/>
    </xf>
    <xf numFmtId="194" fontId="6" fillId="0" borderId="163" xfId="0" applyNumberFormat="1" applyFont="1" applyFill="1" applyBorder="1" applyAlignment="1">
      <alignment vertical="center"/>
    </xf>
    <xf numFmtId="194" fontId="6" fillId="0" borderId="152" xfId="0" applyNumberFormat="1" applyFont="1" applyFill="1" applyBorder="1" applyAlignment="1">
      <alignment vertical="center"/>
    </xf>
    <xf numFmtId="194" fontId="4" fillId="0" borderId="115" xfId="7" applyNumberFormat="1" applyFont="1" applyFill="1" applyBorder="1" applyAlignment="1">
      <alignment vertical="center"/>
    </xf>
    <xf numFmtId="194" fontId="4" fillId="0" borderId="26" xfId="7" applyNumberFormat="1" applyFont="1" applyFill="1" applyBorder="1" applyAlignment="1">
      <alignment vertical="center"/>
    </xf>
    <xf numFmtId="194" fontId="6" fillId="0" borderId="18" xfId="7" applyNumberFormat="1" applyFont="1" applyFill="1" applyBorder="1" applyAlignment="1">
      <alignment vertical="center"/>
    </xf>
    <xf numFmtId="43" fontId="4" fillId="0" borderId="109" xfId="0" applyNumberFormat="1" applyFont="1" applyFill="1" applyBorder="1" applyAlignment="1">
      <alignment vertical="center"/>
    </xf>
    <xf numFmtId="164" fontId="4" fillId="0" borderId="152" xfId="0" applyNumberFormat="1" applyFont="1" applyFill="1" applyBorder="1" applyAlignment="1">
      <alignment vertical="center"/>
    </xf>
    <xf numFmtId="194" fontId="6" fillId="0" borderId="105" xfId="7" applyNumberFormat="1" applyFont="1" applyFill="1" applyBorder="1" applyAlignment="1">
      <alignment vertical="center"/>
    </xf>
    <xf numFmtId="10" fontId="6" fillId="0" borderId="158" xfId="20961" applyNumberFormat="1" applyFont="1" applyFill="1" applyBorder="1" applyAlignment="1">
      <alignment vertical="center"/>
    </xf>
    <xf numFmtId="10" fontId="6" fillId="0" borderId="91" xfId="20961" applyNumberFormat="1" applyFont="1" applyFill="1" applyBorder="1" applyAlignment="1">
      <alignment vertical="center"/>
    </xf>
    <xf numFmtId="10" fontId="6" fillId="0" borderId="107" xfId="20961" applyNumberFormat="1" applyFont="1" applyFill="1" applyBorder="1" applyAlignment="1">
      <alignment vertical="center"/>
    </xf>
    <xf numFmtId="164" fontId="110" fillId="0" borderId="145" xfId="7" applyNumberFormat="1" applyFont="1" applyFill="1" applyBorder="1" applyAlignment="1" applyProtection="1">
      <alignment horizontal="right" vertical="center"/>
      <protection locked="0"/>
    </xf>
    <xf numFmtId="10" fontId="110" fillId="79" borderId="96" xfId="20961" applyNumberFormat="1" applyFont="1" applyFill="1" applyBorder="1" applyAlignment="1" applyProtection="1">
      <alignment horizontal="right" vertical="center"/>
    </xf>
    <xf numFmtId="164" fontId="153" fillId="0" borderId="137" xfId="7" applyNumberFormat="1" applyFont="1" applyBorder="1"/>
    <xf numFmtId="164" fontId="117" fillId="0" borderId="137" xfId="7" applyNumberFormat="1" applyFont="1" applyBorder="1"/>
    <xf numFmtId="164" fontId="113" fillId="0" borderId="145" xfId="7" applyNumberFormat="1" applyFont="1" applyBorder="1"/>
    <xf numFmtId="164" fontId="113" fillId="0" borderId="145" xfId="7" applyNumberFormat="1" applyFont="1" applyFill="1" applyBorder="1"/>
    <xf numFmtId="164" fontId="116" fillId="0" borderId="145" xfId="7" applyNumberFormat="1" applyFont="1" applyBorder="1"/>
    <xf numFmtId="164" fontId="154" fillId="0" borderId="145" xfId="7" applyNumberFormat="1" applyFont="1" applyBorder="1"/>
    <xf numFmtId="164" fontId="114" fillId="0" borderId="145" xfId="7" applyNumberFormat="1" applyFont="1" applyBorder="1"/>
    <xf numFmtId="164" fontId="117" fillId="0" borderId="145" xfId="7" applyNumberFormat="1" applyFont="1" applyBorder="1"/>
    <xf numFmtId="164" fontId="155" fillId="0" borderId="145" xfId="7" applyNumberFormat="1" applyFont="1" applyBorder="1"/>
    <xf numFmtId="164" fontId="113" fillId="0" borderId="145" xfId="7" applyNumberFormat="1" applyFont="1" applyBorder="1" applyAlignment="1">
      <alignment horizontal="left" indent="1"/>
    </xf>
    <xf numFmtId="164" fontId="116" fillId="78" borderId="145" xfId="7" applyNumberFormat="1" applyFont="1" applyFill="1" applyBorder="1"/>
    <xf numFmtId="164" fontId="156" fillId="0" borderId="145" xfId="7" applyNumberFormat="1" applyFont="1" applyBorder="1"/>
    <xf numFmtId="164" fontId="155" fillId="0" borderId="155" xfId="7" applyNumberFormat="1" applyFont="1" applyBorder="1"/>
    <xf numFmtId="164" fontId="155" fillId="0" borderId="154" xfId="7" applyNumberFormat="1" applyFont="1" applyBorder="1"/>
    <xf numFmtId="164" fontId="113" fillId="0" borderId="155" xfId="7" applyNumberFormat="1" applyFont="1" applyBorder="1" applyAlignment="1">
      <alignment horizontal="left" indent="1"/>
    </xf>
    <xf numFmtId="164" fontId="113" fillId="0" borderId="154" xfId="7" applyNumberFormat="1" applyFont="1" applyBorder="1"/>
    <xf numFmtId="164" fontId="113" fillId="0" borderId="155" xfId="7" applyNumberFormat="1" applyFont="1" applyBorder="1" applyAlignment="1">
      <alignment horizontal="left" indent="2"/>
    </xf>
    <xf numFmtId="164" fontId="113" fillId="0" borderId="155" xfId="7" applyNumberFormat="1" applyFont="1" applyFill="1" applyBorder="1" applyAlignment="1">
      <alignment horizontal="left" indent="3"/>
    </xf>
    <xf numFmtId="164" fontId="113" fillId="0" borderId="155" xfId="7" applyNumberFormat="1" applyFont="1" applyFill="1" applyBorder="1" applyAlignment="1">
      <alignment horizontal="left" indent="1"/>
    </xf>
    <xf numFmtId="164" fontId="113" fillId="81" borderId="155" xfId="7" applyNumberFormat="1" applyFont="1" applyFill="1" applyBorder="1"/>
    <xf numFmtId="164" fontId="113" fillId="81" borderId="145" xfId="7" applyNumberFormat="1" applyFont="1" applyFill="1" applyBorder="1"/>
    <xf numFmtId="164" fontId="113" fillId="81" borderId="154" xfId="7" applyNumberFormat="1" applyFont="1" applyFill="1" applyBorder="1"/>
    <xf numFmtId="164" fontId="113" fillId="0" borderId="155" xfId="7" applyNumberFormat="1" applyFont="1" applyFill="1" applyBorder="1" applyAlignment="1">
      <alignment horizontal="left" vertical="top" wrapText="1" indent="2"/>
    </xf>
    <xf numFmtId="164" fontId="113" fillId="0" borderId="154" xfId="7" applyNumberFormat="1" applyFont="1" applyFill="1" applyBorder="1"/>
    <xf numFmtId="164" fontId="113" fillId="0" borderId="155" xfId="7" applyNumberFormat="1" applyFont="1" applyFill="1" applyBorder="1" applyAlignment="1">
      <alignment horizontal="left" wrapText="1" indent="3"/>
    </xf>
    <xf numFmtId="164" fontId="113" fillId="0" borderId="155" xfId="7" applyNumberFormat="1" applyFont="1" applyFill="1" applyBorder="1" applyAlignment="1">
      <alignment horizontal="left" wrapText="1" indent="2"/>
    </xf>
    <xf numFmtId="164" fontId="113" fillId="0" borderId="145" xfId="7" applyNumberFormat="1" applyFont="1" applyFill="1" applyBorder="1" applyAlignment="1">
      <alignment horizontal="left" vertical="center" wrapText="1"/>
    </xf>
    <xf numFmtId="164" fontId="113" fillId="0" borderId="145" xfId="7" applyNumberFormat="1" applyFont="1" applyBorder="1" applyAlignment="1">
      <alignment horizontal="center" vertical="center" wrapText="1"/>
    </xf>
    <xf numFmtId="164" fontId="113" fillId="0" borderId="145" xfId="7" applyNumberFormat="1" applyFont="1" applyBorder="1" applyAlignment="1">
      <alignment horizontal="center" vertical="center"/>
    </xf>
    <xf numFmtId="164" fontId="116" fillId="0" borderId="145" xfId="7" applyNumberFormat="1" applyFont="1" applyFill="1" applyBorder="1" applyAlignment="1">
      <alignment horizontal="left" vertical="center" wrapText="1"/>
    </xf>
    <xf numFmtId="164" fontId="118" fillId="0" borderId="145" xfId="7" applyNumberFormat="1" applyFont="1" applyBorder="1"/>
    <xf numFmtId="10" fontId="118" fillId="0" borderId="145" xfId="20961" applyNumberFormat="1" applyFont="1" applyBorder="1"/>
    <xf numFmtId="164" fontId="157" fillId="0" borderId="145" xfId="7" applyNumberFormat="1" applyFont="1" applyBorder="1"/>
    <xf numFmtId="164" fontId="118" fillId="0" borderId="146" xfId="7" applyNumberFormat="1" applyFont="1" applyBorder="1"/>
    <xf numFmtId="10" fontId="118" fillId="0" borderId="146" xfId="20961" applyNumberFormat="1" applyFont="1" applyBorder="1"/>
    <xf numFmtId="193" fontId="2" fillId="0" borderId="112" xfId="0" applyNumberFormat="1" applyFont="1" applyFill="1" applyBorder="1" applyAlignment="1" applyProtection="1">
      <alignment vertical="center" wrapText="1"/>
      <protection locked="0"/>
    </xf>
    <xf numFmtId="193" fontId="2" fillId="0" borderId="112" xfId="0" applyNumberFormat="1" applyFont="1" applyFill="1" applyBorder="1" applyAlignment="1" applyProtection="1">
      <alignment horizontal="right" vertical="center" wrapText="1"/>
      <protection locked="0"/>
    </xf>
    <xf numFmtId="193" fontId="60" fillId="0" borderId="112" xfId="0" applyNumberFormat="1" applyFont="1" applyFill="1" applyBorder="1" applyAlignment="1" applyProtection="1">
      <alignment horizontal="right" vertical="center" wrapText="1"/>
      <protection locked="0"/>
    </xf>
    <xf numFmtId="10" fontId="2" fillId="0" borderId="112" xfId="20961" applyNumberFormat="1" applyFont="1" applyBorder="1" applyAlignment="1" applyProtection="1">
      <alignment horizontal="right" vertical="center" wrapText="1"/>
      <protection locked="0"/>
    </xf>
    <xf numFmtId="10" fontId="2" fillId="2" borderId="112" xfId="20961" applyNumberFormat="1" applyFont="1" applyFill="1" applyBorder="1" applyAlignment="1" applyProtection="1">
      <alignment vertical="center"/>
      <protection locked="0"/>
    </xf>
    <xf numFmtId="193" fontId="2" fillId="2" borderId="112" xfId="0" applyNumberFormat="1" applyFont="1" applyFill="1" applyBorder="1" applyAlignment="1" applyProtection="1">
      <alignment vertical="center"/>
      <protection locked="0"/>
    </xf>
    <xf numFmtId="10" fontId="2" fillId="2" borderId="109" xfId="20961" applyNumberFormat="1" applyFont="1" applyFill="1" applyBorder="1" applyAlignment="1" applyProtection="1">
      <alignment vertical="center"/>
      <protection locked="0"/>
    </xf>
    <xf numFmtId="193" fontId="2" fillId="2" borderId="109" xfId="0" applyNumberFormat="1" applyFont="1" applyFill="1" applyBorder="1" applyAlignment="1" applyProtection="1">
      <alignment vertical="center"/>
      <protection locked="0"/>
    </xf>
    <xf numFmtId="193" fontId="2" fillId="0" borderId="144" xfId="0" applyNumberFormat="1" applyFont="1" applyFill="1" applyBorder="1" applyAlignment="1" applyProtection="1">
      <alignment vertical="center"/>
      <protection locked="0"/>
    </xf>
    <xf numFmtId="10" fontId="2" fillId="2" borderId="163" xfId="20961" applyNumberFormat="1" applyFont="1" applyFill="1" applyBorder="1" applyAlignment="1" applyProtection="1">
      <alignment vertical="center"/>
      <protection locked="0"/>
    </xf>
    <xf numFmtId="0" fontId="159" fillId="0" borderId="17" xfId="0" applyNumberFormat="1" applyFont="1" applyFill="1" applyBorder="1" applyAlignment="1">
      <alignment horizontal="left" vertical="center" wrapText="1" indent="1"/>
    </xf>
    <xf numFmtId="193" fontId="151" fillId="36" borderId="23" xfId="0" applyNumberFormat="1" applyFont="1" applyFill="1" applyBorder="1"/>
    <xf numFmtId="9" fontId="151" fillId="36" borderId="24" xfId="20961" applyFont="1" applyFill="1" applyBorder="1"/>
    <xf numFmtId="164" fontId="151" fillId="0" borderId="96" xfId="7" applyNumberFormat="1" applyFont="1" applyBorder="1"/>
    <xf numFmtId="164" fontId="151" fillId="0" borderId="111" xfId="7" applyNumberFormat="1" applyFont="1" applyBorder="1"/>
    <xf numFmtId="164" fontId="151" fillId="0" borderId="96" xfId="7" applyNumberFormat="1" applyFont="1" applyBorder="1" applyAlignment="1">
      <alignment vertical="center"/>
    </xf>
    <xf numFmtId="193" fontId="2" fillId="0" borderId="154" xfId="0" applyNumberFormat="1" applyFont="1" applyFill="1" applyBorder="1" applyAlignment="1" applyProtection="1">
      <alignment vertical="center" wrapText="1"/>
      <protection locked="0"/>
    </xf>
    <xf numFmtId="169" fontId="2" fillId="37" borderId="126" xfId="20" applyFont="1" applyBorder="1"/>
    <xf numFmtId="169" fontId="2" fillId="37" borderId="164" xfId="20" applyFont="1" applyBorder="1"/>
    <xf numFmtId="193" fontId="2" fillId="0" borderId="154" xfId="0" applyNumberFormat="1" applyFont="1" applyFill="1" applyBorder="1" applyAlignment="1" applyProtection="1">
      <alignment horizontal="right" vertical="center" wrapText="1"/>
      <protection locked="0"/>
    </xf>
    <xf numFmtId="193" fontId="60" fillId="0" borderId="154" xfId="0" applyNumberFormat="1" applyFont="1" applyFill="1" applyBorder="1" applyAlignment="1" applyProtection="1">
      <alignment horizontal="right" vertical="center" wrapText="1"/>
      <protection locked="0"/>
    </xf>
    <xf numFmtId="10" fontId="2" fillId="0" borderId="154" xfId="20961" applyNumberFormat="1" applyFont="1" applyBorder="1" applyAlignment="1" applyProtection="1">
      <alignment horizontal="right" vertical="center" wrapText="1"/>
      <protection locked="0"/>
    </xf>
    <xf numFmtId="10" fontId="2" fillId="2" borderId="154" xfId="20961" applyNumberFormat="1" applyFont="1" applyFill="1" applyBorder="1" applyAlignment="1" applyProtection="1">
      <alignment vertical="center"/>
      <protection locked="0"/>
    </xf>
    <xf numFmtId="193" fontId="2" fillId="2" borderId="154" xfId="0" applyNumberFormat="1" applyFont="1" applyFill="1" applyBorder="1" applyAlignment="1" applyProtection="1">
      <alignment vertical="center"/>
      <protection locked="0"/>
    </xf>
    <xf numFmtId="10" fontId="2" fillId="2" borderId="105" xfId="20961" applyNumberFormat="1" applyFont="1" applyFill="1" applyBorder="1" applyAlignment="1" applyProtection="1">
      <alignment vertical="center"/>
      <protection locked="0"/>
    </xf>
    <xf numFmtId="193" fontId="2" fillId="2" borderId="105" xfId="0" applyNumberFormat="1" applyFont="1" applyFill="1" applyBorder="1" applyAlignment="1" applyProtection="1">
      <alignment vertical="center"/>
      <protection locked="0"/>
    </xf>
    <xf numFmtId="10" fontId="2" fillId="2" borderId="151" xfId="20961" applyNumberFormat="1" applyFont="1" applyFill="1" applyBorder="1" applyAlignment="1" applyProtection="1">
      <alignment vertical="center"/>
      <protection locked="0"/>
    </xf>
    <xf numFmtId="164" fontId="146" fillId="0" borderId="155" xfId="7" applyNumberFormat="1" applyFont="1" applyBorder="1"/>
    <xf numFmtId="164" fontId="146" fillId="0" borderId="145" xfId="7" applyNumberFormat="1" applyFont="1" applyBorder="1"/>
    <xf numFmtId="38" fontId="0" fillId="0" borderId="145" xfId="7" applyNumberFormat="1" applyFont="1" applyBorder="1"/>
    <xf numFmtId="164" fontId="155" fillId="36" borderId="145" xfId="7" applyNumberFormat="1" applyFont="1" applyFill="1" applyBorder="1"/>
    <xf numFmtId="0" fontId="116" fillId="78" borderId="145" xfId="0" applyFont="1" applyFill="1" applyBorder="1"/>
    <xf numFmtId="0" fontId="113" fillId="0" borderId="147" xfId="0" applyFont="1" applyBorder="1"/>
    <xf numFmtId="0" fontId="113" fillId="81" borderId="147" xfId="0" applyFont="1" applyFill="1" applyBorder="1"/>
    <xf numFmtId="0" fontId="113" fillId="0" borderId="147" xfId="0" applyFont="1" applyFill="1" applyBorder="1"/>
    <xf numFmtId="0" fontId="113" fillId="0" borderId="114" xfId="0" applyFont="1" applyFill="1" applyBorder="1"/>
    <xf numFmtId="164" fontId="146" fillId="0" borderId="147" xfId="7" applyNumberFormat="1" applyFont="1" applyBorder="1"/>
    <xf numFmtId="164" fontId="146" fillId="36" borderId="154" xfId="7" applyNumberFormat="1" applyFont="1" applyFill="1" applyBorder="1"/>
    <xf numFmtId="164" fontId="0" fillId="0" borderId="147" xfId="7" applyNumberFormat="1" applyFont="1" applyBorder="1"/>
    <xf numFmtId="164" fontId="146" fillId="0" borderId="147" xfId="7" applyNumberFormat="1" applyFont="1" applyBorder="1" applyAlignment="1">
      <alignment vertical="center"/>
    </xf>
    <xf numFmtId="164" fontId="146" fillId="0" borderId="145" xfId="7" applyNumberFormat="1" applyFont="1" applyBorder="1" applyAlignment="1">
      <alignment vertical="center"/>
    </xf>
    <xf numFmtId="164" fontId="146" fillId="36" borderId="154" xfId="7" applyNumberFormat="1" applyFont="1" applyFill="1" applyBorder="1" applyAlignment="1">
      <alignment vertical="center"/>
    </xf>
    <xf numFmtId="164" fontId="146" fillId="0" borderId="114" xfId="7" applyNumberFormat="1" applyFont="1" applyBorder="1"/>
    <xf numFmtId="164" fontId="146" fillId="0" borderId="152" xfId="7" applyNumberFormat="1" applyFont="1" applyBorder="1"/>
    <xf numFmtId="164" fontId="146" fillId="36" borderId="151" xfId="7" applyNumberFormat="1" applyFont="1" applyFill="1" applyBorder="1"/>
    <xf numFmtId="0" fontId="9" fillId="0" borderId="145" xfId="0" applyFont="1" applyFill="1" applyBorder="1" applyAlignment="1" applyProtection="1">
      <alignment horizontal="center" vertical="center" wrapText="1"/>
    </xf>
    <xf numFmtId="0" fontId="9" fillId="0" borderId="154" xfId="0" applyFont="1" applyFill="1" applyBorder="1" applyAlignment="1" applyProtection="1">
      <alignment horizontal="center" vertical="center" wrapText="1"/>
    </xf>
    <xf numFmtId="0" fontId="3" fillId="0" borderId="145" xfId="0" applyFont="1" applyBorder="1" applyAlignment="1">
      <alignment horizontal="center" vertical="center"/>
    </xf>
    <xf numFmtId="0" fontId="0" fillId="0" borderId="155" xfId="0" applyBorder="1" applyAlignment="1">
      <alignment horizontal="center"/>
    </xf>
    <xf numFmtId="0" fontId="127" fillId="3" borderId="145" xfId="21414" applyFont="1" applyFill="1" applyBorder="1" applyAlignment="1">
      <alignment horizontal="left" vertical="center" wrapText="1"/>
    </xf>
    <xf numFmtId="164" fontId="146" fillId="36" borderId="145" xfId="7" applyNumberFormat="1" applyFont="1" applyFill="1" applyBorder="1"/>
    <xf numFmtId="0" fontId="128" fillId="0" borderId="145" xfId="21414" applyFont="1" applyFill="1" applyBorder="1" applyAlignment="1">
      <alignment horizontal="left" vertical="center" wrapText="1" indent="1"/>
    </xf>
    <xf numFmtId="164" fontId="0" fillId="36" borderId="145" xfId="7" applyNumberFormat="1" applyFont="1" applyFill="1" applyBorder="1"/>
    <xf numFmtId="0" fontId="129" fillId="3" borderId="145" xfId="21414" applyFont="1" applyFill="1" applyBorder="1" applyAlignment="1">
      <alignment horizontal="left" vertical="center" wrapText="1"/>
    </xf>
    <xf numFmtId="0" fontId="128" fillId="3" borderId="145" xfId="21414" applyFont="1" applyFill="1" applyBorder="1" applyAlignment="1">
      <alignment horizontal="left" vertical="center" wrapText="1" indent="1"/>
    </xf>
    <xf numFmtId="164" fontId="146" fillId="36" borderId="145" xfId="7" applyNumberFormat="1" applyFont="1" applyFill="1" applyBorder="1" applyAlignment="1">
      <alignment vertical="center"/>
    </xf>
    <xf numFmtId="0" fontId="130" fillId="0" borderId="145" xfId="21414" applyFont="1" applyFill="1" applyBorder="1" applyAlignment="1">
      <alignment horizontal="left" vertical="center" wrapText="1" indent="1"/>
    </xf>
    <xf numFmtId="0" fontId="129" fillId="0" borderId="145" xfId="21414" applyFont="1" applyFill="1" applyBorder="1" applyAlignment="1">
      <alignment horizontal="left" vertical="center" wrapText="1"/>
    </xf>
    <xf numFmtId="0" fontId="131" fillId="0" borderId="145" xfId="21414" applyFont="1" applyFill="1" applyBorder="1" applyAlignment="1">
      <alignment horizontal="center" vertical="center" wrapText="1"/>
    </xf>
    <xf numFmtId="0" fontId="129" fillId="0" borderId="145" xfId="21414" applyFont="1" applyBorder="1" applyAlignment="1">
      <alignment horizontal="left" vertical="center" wrapText="1"/>
    </xf>
    <xf numFmtId="0" fontId="132" fillId="0" borderId="145" xfId="0" applyFont="1" applyBorder="1" applyAlignment="1">
      <alignment horizontal="left"/>
    </xf>
    <xf numFmtId="0" fontId="0" fillId="0" borderId="153" xfId="0" applyBorder="1" applyAlignment="1">
      <alignment horizontal="center"/>
    </xf>
    <xf numFmtId="0" fontId="129" fillId="0" borderId="152" xfId="0" applyFont="1" applyFill="1" applyBorder="1" applyAlignment="1">
      <alignment horizontal="left" vertical="center" wrapText="1"/>
    </xf>
    <xf numFmtId="164" fontId="146" fillId="36" borderId="152" xfId="7" applyNumberFormat="1" applyFont="1" applyFill="1" applyBorder="1"/>
    <xf numFmtId="38" fontId="146" fillId="0" borderId="145" xfId="7" applyNumberFormat="1" applyFont="1" applyBorder="1"/>
    <xf numFmtId="38" fontId="146" fillId="36" borderId="145" xfId="7" applyNumberFormat="1" applyFont="1" applyFill="1" applyBorder="1"/>
    <xf numFmtId="0" fontId="0" fillId="0" borderId="155" xfId="0" applyBorder="1" applyAlignment="1">
      <alignment horizontal="center" vertical="center"/>
    </xf>
    <xf numFmtId="38" fontId="146" fillId="36" borderId="154" xfId="7" applyNumberFormat="1" applyFont="1" applyFill="1" applyBorder="1"/>
    <xf numFmtId="0" fontId="129" fillId="0" borderId="145" xfId="21414" applyFont="1" applyFill="1" applyBorder="1" applyAlignment="1">
      <alignment horizontal="justify" vertical="center" wrapText="1"/>
    </xf>
    <xf numFmtId="0" fontId="129" fillId="0" borderId="145" xfId="21414" applyFont="1" applyFill="1" applyBorder="1" applyAlignment="1">
      <alignment vertical="center" wrapText="1"/>
    </xf>
    <xf numFmtId="0" fontId="0" fillId="0" borderId="153" xfId="0" applyBorder="1" applyAlignment="1">
      <alignment horizontal="center" vertical="center"/>
    </xf>
    <xf numFmtId="0" fontId="129" fillId="0" borderId="152" xfId="21414" applyFont="1" applyFill="1" applyBorder="1" applyAlignment="1">
      <alignment vertical="center" wrapText="1"/>
    </xf>
    <xf numFmtId="38" fontId="146" fillId="0" borderId="152" xfId="7" applyNumberFormat="1" applyFont="1" applyBorder="1"/>
    <xf numFmtId="38" fontId="146" fillId="36" borderId="152" xfId="7" applyNumberFormat="1" applyFont="1" applyFill="1" applyBorder="1"/>
    <xf numFmtId="38" fontId="146" fillId="36" borderId="151" xfId="7" applyNumberFormat="1" applyFont="1" applyFill="1" applyBorder="1"/>
    <xf numFmtId="164" fontId="9" fillId="0" borderId="155" xfId="7" applyNumberFormat="1" applyFont="1" applyFill="1" applyBorder="1" applyAlignment="1" applyProtection="1">
      <alignment horizontal="right"/>
    </xf>
    <xf numFmtId="164" fontId="9" fillId="0" borderId="145" xfId="7" applyNumberFormat="1" applyFont="1" applyFill="1" applyBorder="1" applyAlignment="1" applyProtection="1">
      <alignment horizontal="right"/>
    </xf>
    <xf numFmtId="164" fontId="158" fillId="36" borderId="145" xfId="7" applyNumberFormat="1" applyFont="1" applyFill="1" applyBorder="1" applyAlignment="1" applyProtection="1">
      <alignment horizontal="right"/>
    </xf>
    <xf numFmtId="164" fontId="158" fillId="36" borderId="154" xfId="7" applyNumberFormat="1" applyFont="1" applyFill="1" applyBorder="1" applyAlignment="1" applyProtection="1">
      <alignment horizontal="right"/>
    </xf>
    <xf numFmtId="164" fontId="158" fillId="0" borderId="155" xfId="7" applyNumberFormat="1" applyFont="1" applyFill="1" applyBorder="1" applyAlignment="1" applyProtection="1">
      <alignment horizontal="right"/>
    </xf>
    <xf numFmtId="164" fontId="158" fillId="0" borderId="145" xfId="7" applyNumberFormat="1" applyFont="1" applyFill="1" applyBorder="1" applyAlignment="1" applyProtection="1">
      <alignment horizontal="right"/>
    </xf>
    <xf numFmtId="164" fontId="9" fillId="0" borderId="153" xfId="7" applyNumberFormat="1" applyFont="1" applyFill="1" applyBorder="1" applyAlignment="1" applyProtection="1">
      <alignment horizontal="right"/>
    </xf>
    <xf numFmtId="164" fontId="9" fillId="0" borderId="152" xfId="7" applyNumberFormat="1" applyFont="1" applyFill="1" applyBorder="1" applyAlignment="1" applyProtection="1">
      <alignment horizontal="right"/>
    </xf>
    <xf numFmtId="164" fontId="158" fillId="36" borderId="152" xfId="7" applyNumberFormat="1" applyFont="1" applyFill="1" applyBorder="1" applyAlignment="1" applyProtection="1">
      <alignment horizontal="right"/>
    </xf>
    <xf numFmtId="164" fontId="158" fillId="36" borderId="151" xfId="7" applyNumberFormat="1" applyFont="1" applyFill="1" applyBorder="1" applyAlignment="1" applyProtection="1">
      <alignment horizontal="right"/>
    </xf>
    <xf numFmtId="0" fontId="15" fillId="83" borderId="145" xfId="0" applyNumberFormat="1" applyFont="1" applyFill="1" applyBorder="1" applyAlignment="1">
      <alignment vertical="center" wrapText="1"/>
    </xf>
    <xf numFmtId="0" fontId="15" fillId="0" borderId="145" xfId="0" applyNumberFormat="1" applyFont="1" applyFill="1" applyBorder="1" applyAlignment="1">
      <alignment vertical="center" wrapText="1"/>
    </xf>
    <xf numFmtId="0" fontId="7" fillId="0" borderId="145" xfId="0" applyNumberFormat="1" applyFont="1" applyFill="1" applyBorder="1" applyAlignment="1">
      <alignment horizontal="left" vertical="center" wrapText="1" indent="1"/>
    </xf>
    <xf numFmtId="0" fontId="3" fillId="0" borderId="145" xfId="0" applyFont="1" applyBorder="1" applyAlignment="1">
      <alignment vertical="center"/>
    </xf>
    <xf numFmtId="0" fontId="133" fillId="0" borderId="145" xfId="0" applyFont="1" applyFill="1" applyBorder="1" applyAlignment="1" applyProtection="1">
      <alignment horizontal="left" vertical="center" indent="1"/>
      <protection locked="0"/>
    </xf>
    <xf numFmtId="0" fontId="134" fillId="0" borderId="145" xfId="0" applyFont="1" applyFill="1" applyBorder="1" applyAlignment="1" applyProtection="1">
      <alignment horizontal="left" vertical="center" indent="3"/>
      <protection locked="0"/>
    </xf>
    <xf numFmtId="0" fontId="135" fillId="0" borderId="145" xfId="0" applyFont="1" applyFill="1" applyBorder="1" applyAlignment="1" applyProtection="1">
      <alignment horizontal="left" vertical="center" indent="3"/>
      <protection locked="0"/>
    </xf>
    <xf numFmtId="0" fontId="3" fillId="0" borderId="145" xfId="0" applyFont="1" applyFill="1" applyBorder="1" applyAlignment="1">
      <alignment vertical="center"/>
    </xf>
    <xf numFmtId="0" fontId="3" fillId="0" borderId="152" xfId="0" applyFont="1" applyBorder="1"/>
    <xf numFmtId="193" fontId="151" fillId="36" borderId="51" xfId="0" applyNumberFormat="1" applyFont="1" applyFill="1" applyBorder="1"/>
    <xf numFmtId="0" fontId="101" fillId="0" borderId="64" xfId="0" applyFont="1" applyBorder="1" applyAlignment="1">
      <alignment horizontal="left" vertical="center" wrapText="1"/>
    </xf>
    <xf numFmtId="0" fontId="101" fillId="0" borderId="63" xfId="0" applyFont="1" applyBorder="1" applyAlignment="1">
      <alignment horizontal="left" vertical="center" wrapText="1"/>
    </xf>
    <xf numFmtId="0" fontId="138" fillId="0" borderId="158" xfId="0" applyFont="1" applyBorder="1" applyAlignment="1">
      <alignment horizontal="center" vertical="center"/>
    </xf>
    <xf numFmtId="0" fontId="138" fillId="0" borderId="29" xfId="0" applyFont="1" applyBorder="1" applyAlignment="1">
      <alignment horizontal="center" vertical="center"/>
    </xf>
    <xf numFmtId="0" fontId="138" fillId="0" borderId="159" xfId="0" applyFont="1" applyBorder="1" applyAlignment="1">
      <alignment horizontal="center" vertical="center"/>
    </xf>
    <xf numFmtId="164" fontId="0" fillId="0" borderId="148" xfId="7" applyNumberFormat="1" applyFont="1" applyBorder="1" applyAlignment="1">
      <alignment horizontal="center"/>
    </xf>
    <xf numFmtId="164" fontId="0" fillId="0" borderId="150" xfId="7" applyNumberFormat="1" applyFont="1" applyBorder="1" applyAlignment="1">
      <alignment horizontal="center"/>
    </xf>
    <xf numFmtId="164" fontId="0" fillId="0" borderId="21" xfId="7" applyNumberFormat="1" applyFont="1" applyBorder="1" applyAlignment="1">
      <alignment horizontal="center"/>
    </xf>
    <xf numFmtId="0" fontId="0" fillId="0" borderId="16" xfId="0" applyBorder="1" applyAlignment="1">
      <alignment horizontal="center" vertical="center"/>
    </xf>
    <xf numFmtId="0" fontId="0" fillId="0" borderId="155" xfId="0" applyBorder="1" applyAlignment="1">
      <alignment horizontal="center" vertical="center"/>
    </xf>
    <xf numFmtId="0" fontId="125" fillId="0" borderId="5" xfId="0" applyFont="1" applyBorder="1" applyAlignment="1">
      <alignment horizontal="center" vertical="center"/>
    </xf>
    <xf numFmtId="0" fontId="125"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48" xfId="0" applyBorder="1" applyAlignment="1">
      <alignment horizontal="center"/>
    </xf>
    <xf numFmtId="0" fontId="0" fillId="0" borderId="150" xfId="0" applyBorder="1" applyAlignment="1">
      <alignment horizontal="center"/>
    </xf>
    <xf numFmtId="0" fontId="0" fillId="0" borderId="21" xfId="0" applyBorder="1" applyAlignment="1">
      <alignment horizontal="center"/>
    </xf>
    <xf numFmtId="0" fontId="125" fillId="0" borderId="5" xfId="0" applyFont="1" applyBorder="1" applyAlignment="1">
      <alignment horizontal="center" vertical="center" wrapText="1"/>
    </xf>
    <xf numFmtId="0" fontId="125" fillId="0" borderId="7" xfId="0" applyFont="1" applyBorder="1" applyAlignment="1">
      <alignment horizontal="center" vertical="center" wrapText="1"/>
    </xf>
    <xf numFmtId="0" fontId="0" fillId="0" borderId="4" xfId="0" applyBorder="1" applyAlignment="1">
      <alignment horizontal="center" vertical="center"/>
    </xf>
    <xf numFmtId="0" fontId="0" fillId="0" borderId="67" xfId="0" applyBorder="1" applyAlignment="1">
      <alignment horizontal="center" vertical="center"/>
    </xf>
    <xf numFmtId="0" fontId="146" fillId="0" borderId="17" xfId="0" applyFont="1" applyBorder="1" applyAlignment="1">
      <alignment horizontal="center" vertical="center" wrapText="1"/>
    </xf>
    <xf numFmtId="0" fontId="146" fillId="0" borderId="145" xfId="0" applyFont="1"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6" xfId="0" applyFont="1" applyFill="1" applyBorder="1" applyAlignment="1">
      <alignment horizontal="center" vertical="center" wrapText="1"/>
    </xf>
    <xf numFmtId="0" fontId="4" fillId="0" borderId="97" xfId="0" applyFont="1" applyFill="1" applyBorder="1" applyAlignment="1">
      <alignment horizontal="center"/>
    </xf>
    <xf numFmtId="0" fontId="4" fillId="0" borderId="21" xfId="0" applyFont="1" applyFill="1" applyBorder="1" applyAlignment="1">
      <alignment horizontal="center"/>
    </xf>
    <xf numFmtId="0" fontId="6" fillId="36" borderId="115"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2" xfId="0" applyFont="1" applyFill="1" applyBorder="1" applyAlignment="1">
      <alignment horizontal="center" vertical="center" wrapText="1"/>
    </xf>
    <xf numFmtId="0" fontId="6" fillId="36" borderId="95" xfId="0" applyFont="1" applyFill="1" applyBorder="1" applyAlignment="1">
      <alignment horizontal="center" vertical="center" wrapText="1"/>
    </xf>
    <xf numFmtId="0" fontId="99" fillId="3" borderId="65" xfId="13" applyFont="1" applyFill="1" applyBorder="1" applyAlignment="1" applyProtection="1">
      <alignment horizontal="center" vertical="center" wrapText="1"/>
      <protection locked="0"/>
    </xf>
    <xf numFmtId="0" fontId="99"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8" xfId="1" applyNumberFormat="1" applyFont="1" applyFill="1" applyBorder="1" applyAlignment="1" applyProtection="1">
      <alignment horizontal="center" vertical="center" wrapText="1"/>
      <protection locked="0"/>
    </xf>
    <xf numFmtId="164" fontId="15" fillId="0" borderId="8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3" xfId="0" applyFont="1" applyFill="1" applyBorder="1" applyAlignment="1">
      <alignment horizontal="center" vertical="center" wrapText="1"/>
    </xf>
    <xf numFmtId="0" fontId="14" fillId="0" borderId="53" xfId="0" applyFont="1" applyFill="1" applyBorder="1" applyAlignment="1">
      <alignment horizontal="left" vertical="center"/>
    </xf>
    <xf numFmtId="0" fontId="14" fillId="0" borderId="54"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1" xfId="0" applyFont="1" applyBorder="1" applyAlignment="1">
      <alignment horizontal="center" vertical="center" wrapText="1"/>
    </xf>
    <xf numFmtId="0" fontId="116" fillId="0" borderId="118" xfId="0" applyNumberFormat="1" applyFont="1" applyFill="1" applyBorder="1" applyAlignment="1">
      <alignment horizontal="left" vertical="center" wrapText="1"/>
    </xf>
    <xf numFmtId="0" fontId="116" fillId="0" borderId="119" xfId="0" applyNumberFormat="1" applyFont="1" applyFill="1" applyBorder="1" applyAlignment="1">
      <alignment horizontal="left" vertical="center" wrapText="1"/>
    </xf>
    <xf numFmtId="0" fontId="116" fillId="0" borderId="121" xfId="0" applyNumberFormat="1" applyFont="1" applyFill="1" applyBorder="1" applyAlignment="1">
      <alignment horizontal="left" vertical="center" wrapText="1"/>
    </xf>
    <xf numFmtId="0" fontId="116" fillId="0" borderId="122" xfId="0" applyNumberFormat="1" applyFont="1" applyFill="1" applyBorder="1" applyAlignment="1">
      <alignment horizontal="left" vertical="center" wrapText="1"/>
    </xf>
    <xf numFmtId="0" fontId="116" fillId="0" borderId="124" xfId="0" applyNumberFormat="1" applyFont="1" applyFill="1" applyBorder="1" applyAlignment="1">
      <alignment horizontal="left" vertical="center" wrapText="1"/>
    </xf>
    <xf numFmtId="0" fontId="116" fillId="0" borderId="125" xfId="0" applyNumberFormat="1" applyFont="1" applyFill="1" applyBorder="1" applyAlignment="1">
      <alignment horizontal="left" vertical="center" wrapText="1"/>
    </xf>
    <xf numFmtId="0" fontId="117" fillId="0" borderId="144" xfId="0" applyFont="1" applyFill="1" applyBorder="1" applyAlignment="1">
      <alignment horizontal="center" vertical="center" wrapText="1"/>
    </xf>
    <xf numFmtId="0" fontId="117" fillId="0" borderId="143" xfId="0" applyFont="1" applyFill="1" applyBorder="1" applyAlignment="1">
      <alignment horizontal="center" vertical="center" wrapText="1"/>
    </xf>
    <xf numFmtId="0" fontId="117" fillId="0" borderId="120" xfId="0" applyFont="1" applyFill="1" applyBorder="1" applyAlignment="1">
      <alignment horizontal="center" vertical="center" wrapText="1"/>
    </xf>
    <xf numFmtId="0" fontId="117" fillId="0" borderId="52" xfId="0" applyFont="1" applyFill="1" applyBorder="1" applyAlignment="1">
      <alignment horizontal="center" vertical="center" wrapText="1"/>
    </xf>
    <xf numFmtId="0" fontId="117" fillId="0" borderId="123"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3" fillId="0" borderId="146" xfId="0" applyFont="1" applyBorder="1" applyAlignment="1">
      <alignment horizontal="center" vertical="center" wrapText="1"/>
    </xf>
    <xf numFmtId="0" fontId="113" fillId="0" borderId="7" xfId="0" applyFont="1" applyBorder="1" applyAlignment="1">
      <alignment horizontal="center" vertical="center" wrapText="1"/>
    </xf>
    <xf numFmtId="0" fontId="113" fillId="0" borderId="145" xfId="0" applyFont="1" applyBorder="1" applyAlignment="1">
      <alignment horizontal="center" vertical="center" wrapText="1"/>
    </xf>
    <xf numFmtId="0" fontId="113" fillId="0" borderId="148" xfId="0" applyFont="1" applyBorder="1" applyAlignment="1">
      <alignment horizontal="center" vertical="center" wrapText="1"/>
    </xf>
    <xf numFmtId="0" fontId="113" fillId="0" borderId="147" xfId="0" applyFont="1" applyBorder="1" applyAlignment="1">
      <alignment horizontal="center" vertical="center" wrapText="1"/>
    </xf>
    <xf numFmtId="0" fontId="121" fillId="0" borderId="145" xfId="0" applyFont="1" applyFill="1" applyBorder="1" applyAlignment="1">
      <alignment horizontal="center" vertical="center"/>
    </xf>
    <xf numFmtId="0" fontId="115" fillId="0" borderId="144" xfId="0" applyFont="1" applyFill="1" applyBorder="1" applyAlignment="1">
      <alignment horizontal="center" vertical="center"/>
    </xf>
    <xf numFmtId="0" fontId="115" fillId="0" borderId="149" xfId="0" applyFont="1" applyFill="1" applyBorder="1" applyAlignment="1">
      <alignment horizontal="center" vertical="center"/>
    </xf>
    <xf numFmtId="0" fontId="115" fillId="0" borderId="52" xfId="0" applyFont="1" applyFill="1" applyBorder="1" applyAlignment="1">
      <alignment horizontal="center" vertical="center"/>
    </xf>
    <xf numFmtId="0" fontId="115" fillId="0" borderId="11" xfId="0" applyFont="1" applyFill="1" applyBorder="1" applyAlignment="1">
      <alignment horizontal="center" vertical="center"/>
    </xf>
    <xf numFmtId="0" fontId="116" fillId="0" borderId="145" xfId="0" applyFont="1" applyFill="1" applyBorder="1" applyAlignment="1">
      <alignment horizontal="center" vertical="center" wrapText="1"/>
    </xf>
    <xf numFmtId="0" fontId="116" fillId="0" borderId="144" xfId="0" applyFont="1" applyFill="1" applyBorder="1" applyAlignment="1">
      <alignment horizontal="center" vertical="center" wrapText="1"/>
    </xf>
    <xf numFmtId="0" fontId="116" fillId="0" borderId="149" xfId="0" applyFont="1" applyFill="1" applyBorder="1" applyAlignment="1">
      <alignment horizontal="center" vertical="center" wrapText="1"/>
    </xf>
    <xf numFmtId="0" fontId="116" fillId="0" borderId="126" xfId="0" applyFont="1" applyFill="1" applyBorder="1" applyAlignment="1">
      <alignment horizontal="center" vertical="center" wrapText="1"/>
    </xf>
    <xf numFmtId="0" fontId="116" fillId="0" borderId="127" xfId="0" applyFont="1" applyFill="1" applyBorder="1" applyAlignment="1">
      <alignment horizontal="center" vertical="center" wrapText="1"/>
    </xf>
    <xf numFmtId="0" fontId="116" fillId="0" borderId="52" xfId="0" applyFont="1" applyFill="1" applyBorder="1" applyAlignment="1">
      <alignment horizontal="center" vertical="center" wrapText="1"/>
    </xf>
    <xf numFmtId="0" fontId="116" fillId="0" borderId="11" xfId="0" applyFont="1" applyFill="1" applyBorder="1" applyAlignment="1">
      <alignment horizontal="center" vertical="center" wrapText="1"/>
    </xf>
    <xf numFmtId="0" fontId="113" fillId="0" borderId="148" xfId="0" applyFont="1" applyFill="1" applyBorder="1" applyAlignment="1">
      <alignment horizontal="center" vertical="center" wrapText="1"/>
    </xf>
    <xf numFmtId="0" fontId="113" fillId="0" borderId="150" xfId="0" applyFont="1" applyFill="1" applyBorder="1" applyAlignment="1">
      <alignment horizontal="center" vertical="center" wrapText="1"/>
    </xf>
    <xf numFmtId="0" fontId="116" fillId="0" borderId="128"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128" xfId="0" applyFont="1" applyFill="1" applyBorder="1" applyAlignment="1">
      <alignment horizontal="center" vertical="center" wrapText="1"/>
    </xf>
    <xf numFmtId="0" fontId="113" fillId="0" borderId="144" xfId="0" applyFont="1" applyFill="1" applyBorder="1" applyAlignment="1">
      <alignment horizontal="center" vertical="center" wrapText="1"/>
    </xf>
    <xf numFmtId="0" fontId="113" fillId="0" borderId="143" xfId="0" applyFont="1" applyFill="1" applyBorder="1" applyAlignment="1">
      <alignment horizontal="center" vertical="center" wrapText="1"/>
    </xf>
    <xf numFmtId="0" fontId="113" fillId="0" borderId="149" xfId="0" applyFont="1" applyFill="1" applyBorder="1" applyAlignment="1">
      <alignment horizontal="center" vertical="center" wrapText="1"/>
    </xf>
    <xf numFmtId="0" fontId="113" fillId="0" borderId="11" xfId="0" applyFont="1" applyBorder="1" applyAlignment="1">
      <alignment horizontal="center" vertical="center" wrapText="1"/>
    </xf>
    <xf numFmtId="0" fontId="113" fillId="0" borderId="154" xfId="0" applyFont="1" applyBorder="1" applyAlignment="1">
      <alignment horizontal="center" vertical="center" wrapText="1"/>
    </xf>
    <xf numFmtId="0" fontId="113" fillId="0" borderId="53" xfId="0" applyFont="1" applyFill="1" applyBorder="1" applyAlignment="1">
      <alignment horizontal="center" vertical="center" wrapText="1"/>
    </xf>
    <xf numFmtId="0" fontId="113" fillId="0" borderId="54" xfId="0" applyFont="1" applyFill="1" applyBorder="1" applyAlignment="1">
      <alignment horizontal="center" vertical="center" wrapText="1"/>
    </xf>
    <xf numFmtId="0" fontId="113" fillId="0" borderId="103" xfId="0" applyFont="1" applyFill="1" applyBorder="1" applyAlignment="1">
      <alignment horizontal="center" vertical="center" wrapText="1"/>
    </xf>
    <xf numFmtId="0" fontId="116" fillId="0" borderId="53" xfId="0" applyNumberFormat="1" applyFont="1" applyFill="1" applyBorder="1" applyAlignment="1">
      <alignment horizontal="left" vertical="top" wrapText="1"/>
    </xf>
    <xf numFmtId="0" fontId="116" fillId="0" borderId="103" xfId="0" applyNumberFormat="1" applyFont="1" applyFill="1" applyBorder="1" applyAlignment="1">
      <alignment horizontal="left" vertical="top" wrapText="1"/>
    </xf>
    <xf numFmtId="0" fontId="116" fillId="0" borderId="61" xfId="0" applyNumberFormat="1" applyFont="1" applyFill="1" applyBorder="1" applyAlignment="1">
      <alignment horizontal="left" vertical="top" wrapText="1"/>
    </xf>
    <xf numFmtId="0" fontId="116" fillId="0" borderId="90" xfId="0" applyNumberFormat="1" applyFont="1" applyFill="1" applyBorder="1" applyAlignment="1">
      <alignment horizontal="left" vertical="top" wrapText="1"/>
    </xf>
    <xf numFmtId="0" fontId="116" fillId="0" borderId="117" xfId="0" applyNumberFormat="1" applyFont="1" applyFill="1" applyBorder="1" applyAlignment="1">
      <alignment horizontal="left" vertical="top" wrapText="1"/>
    </xf>
    <xf numFmtId="0" fontId="116" fillId="0" borderId="156" xfId="0" applyNumberFormat="1" applyFont="1" applyFill="1" applyBorder="1" applyAlignment="1">
      <alignment horizontal="left" vertical="top" wrapText="1"/>
    </xf>
    <xf numFmtId="0" fontId="113" fillId="0" borderId="146" xfId="0" applyFont="1" applyFill="1" applyBorder="1" applyAlignment="1">
      <alignment horizontal="center" vertical="center" wrapText="1"/>
    </xf>
    <xf numFmtId="0" fontId="116" fillId="0" borderId="157" xfId="0" applyFont="1" applyFill="1" applyBorder="1" applyAlignment="1">
      <alignment horizontal="center" vertical="center" wrapText="1"/>
    </xf>
    <xf numFmtId="0" fontId="116" fillId="0" borderId="67" xfId="0" applyFont="1" applyFill="1" applyBorder="1" applyAlignment="1">
      <alignment horizontal="center" vertical="center" wrapText="1"/>
    </xf>
    <xf numFmtId="0" fontId="113" fillId="0" borderId="144" xfId="0" applyFont="1" applyBorder="1" applyAlignment="1">
      <alignment horizontal="center" vertical="top" wrapText="1"/>
    </xf>
    <xf numFmtId="0" fontId="113" fillId="0" borderId="143" xfId="0" applyFont="1" applyBorder="1" applyAlignment="1">
      <alignment horizontal="center" vertical="top" wrapText="1"/>
    </xf>
    <xf numFmtId="0" fontId="113" fillId="0" borderId="144" xfId="0" applyFont="1" applyFill="1" applyBorder="1" applyAlignment="1">
      <alignment horizontal="center" vertical="top" wrapText="1"/>
    </xf>
    <xf numFmtId="0" fontId="113" fillId="0" borderId="150" xfId="0" applyFont="1" applyFill="1" applyBorder="1" applyAlignment="1">
      <alignment horizontal="center" vertical="top" wrapText="1"/>
    </xf>
    <xf numFmtId="0" fontId="113" fillId="0" borderId="147" xfId="0" applyFont="1" applyFill="1" applyBorder="1" applyAlignment="1">
      <alignment horizontal="center" vertical="top" wrapText="1"/>
    </xf>
    <xf numFmtId="0" fontId="102" fillId="0" borderId="129" xfId="0" applyNumberFormat="1" applyFont="1" applyFill="1" applyBorder="1" applyAlignment="1">
      <alignment horizontal="left" vertical="top" wrapText="1"/>
    </xf>
    <xf numFmtId="0" fontId="102" fillId="0" borderId="130" xfId="0" applyNumberFormat="1" applyFont="1" applyFill="1" applyBorder="1" applyAlignment="1">
      <alignment horizontal="left" vertical="top" wrapText="1"/>
    </xf>
    <xf numFmtId="0" fontId="119" fillId="0" borderId="145" xfId="0" applyFont="1" applyBorder="1" applyAlignment="1">
      <alignment horizontal="center" vertical="center"/>
    </xf>
    <xf numFmtId="0" fontId="118" fillId="0" borderId="145" xfId="0" applyFont="1" applyBorder="1" applyAlignment="1">
      <alignment horizontal="center" vertical="center" wrapText="1"/>
    </xf>
    <xf numFmtId="0" fontId="118" fillId="0" borderId="146" xfId="0" applyFont="1" applyBorder="1" applyAlignment="1">
      <alignment horizontal="center" vertical="center" wrapText="1"/>
    </xf>
    <xf numFmtId="0" fontId="102" fillId="76" borderId="148" xfId="0" applyFont="1" applyFill="1" applyBorder="1" applyAlignment="1">
      <alignment horizontal="center" vertical="center" wrapText="1"/>
    </xf>
    <xf numFmtId="0" fontId="102" fillId="76" borderId="147" xfId="0" applyFont="1" applyFill="1" applyBorder="1" applyAlignment="1">
      <alignment horizontal="center" vertical="center" wrapText="1"/>
    </xf>
    <xf numFmtId="0" fontId="103" fillId="0" borderId="148" xfId="0" applyFont="1" applyFill="1" applyBorder="1" applyAlignment="1">
      <alignment horizontal="left" vertical="center" wrapText="1"/>
    </xf>
    <xf numFmtId="0" fontId="103" fillId="0" borderId="147" xfId="0" applyFont="1" applyFill="1" applyBorder="1" applyAlignment="1">
      <alignment horizontal="left" vertical="center" wrapText="1"/>
    </xf>
    <xf numFmtId="0" fontId="103" fillId="0" borderId="148" xfId="13" applyFont="1" applyFill="1" applyBorder="1" applyAlignment="1" applyProtection="1">
      <alignment horizontal="left" vertical="top" wrapText="1"/>
      <protection locked="0"/>
    </xf>
    <xf numFmtId="0" fontId="103" fillId="0" borderId="147" xfId="13" applyFont="1" applyFill="1" applyBorder="1" applyAlignment="1" applyProtection="1">
      <alignment horizontal="left" vertical="top" wrapText="1"/>
      <protection locked="0"/>
    </xf>
    <xf numFmtId="0" fontId="103" fillId="0" borderId="148" xfId="0" applyNumberFormat="1" applyFont="1" applyFill="1" applyBorder="1" applyAlignment="1">
      <alignment horizontal="left" vertical="center" wrapText="1"/>
    </xf>
    <xf numFmtId="0" fontId="103" fillId="0" borderId="147" xfId="0" applyNumberFormat="1" applyFont="1" applyFill="1" applyBorder="1" applyAlignment="1">
      <alignment horizontal="left" vertical="center" wrapText="1"/>
    </xf>
    <xf numFmtId="0" fontId="103" fillId="0" borderId="148" xfId="0" applyNumberFormat="1" applyFont="1" applyFill="1" applyBorder="1" applyAlignment="1">
      <alignment horizontal="left" vertical="top" wrapText="1"/>
    </xf>
    <xf numFmtId="0" fontId="103" fillId="0" borderId="147" xfId="0" applyNumberFormat="1" applyFont="1" applyFill="1" applyBorder="1" applyAlignment="1">
      <alignment horizontal="left" vertical="top" wrapText="1"/>
    </xf>
    <xf numFmtId="49" fontId="103" fillId="0" borderId="0" xfId="0" applyNumberFormat="1" applyFont="1" applyFill="1" applyBorder="1" applyAlignment="1">
      <alignment horizontal="center" vertical="center"/>
    </xf>
    <xf numFmtId="0" fontId="103" fillId="0" borderId="145" xfId="0" applyFont="1" applyFill="1" applyBorder="1" applyAlignment="1">
      <alignment horizontal="left" vertical="top" wrapText="1"/>
    </xf>
    <xf numFmtId="0" fontId="103" fillId="0" borderId="148" xfId="0" applyFont="1" applyFill="1" applyBorder="1" applyAlignment="1">
      <alignment horizontal="left" vertical="top" wrapText="1"/>
    </xf>
    <xf numFmtId="0" fontId="103" fillId="0" borderId="145" xfId="0" applyFont="1" applyFill="1" applyBorder="1" applyAlignment="1">
      <alignment horizontal="left" vertical="center" wrapText="1"/>
    </xf>
    <xf numFmtId="0" fontId="102" fillId="76" borderId="145" xfId="0" applyFont="1" applyFill="1" applyBorder="1" applyAlignment="1">
      <alignment horizontal="center" vertical="center" wrapText="1"/>
    </xf>
    <xf numFmtId="0" fontId="103" fillId="0" borderId="145" xfId="0" applyNumberFormat="1" applyFont="1" applyFill="1" applyBorder="1" applyAlignment="1">
      <alignment horizontal="left" vertical="top" wrapText="1"/>
    </xf>
    <xf numFmtId="0" fontId="103" fillId="0" borderId="145" xfId="0" applyFont="1" applyBorder="1" applyAlignment="1">
      <alignment horizontal="center"/>
    </xf>
    <xf numFmtId="0" fontId="103" fillId="0" borderId="97" xfId="0" applyFont="1" applyFill="1" applyBorder="1" applyAlignment="1">
      <alignment horizontal="left" vertical="center" wrapText="1"/>
    </xf>
    <xf numFmtId="0" fontId="103" fillId="0" borderId="95" xfId="0" applyFont="1" applyFill="1" applyBorder="1" applyAlignment="1">
      <alignment horizontal="left" vertical="center" wrapText="1"/>
    </xf>
    <xf numFmtId="0" fontId="102" fillId="0" borderId="145" xfId="0" applyFont="1" applyFill="1" applyBorder="1" applyAlignment="1">
      <alignment horizontal="center" vertical="center"/>
    </xf>
    <xf numFmtId="0" fontId="103" fillId="3" borderId="148" xfId="13" applyFont="1" applyFill="1" applyBorder="1" applyAlignment="1" applyProtection="1">
      <alignment horizontal="left" vertical="top" wrapText="1"/>
      <protection locked="0"/>
    </xf>
    <xf numFmtId="0" fontId="103" fillId="3" borderId="147" xfId="13" applyFont="1" applyFill="1" applyBorder="1" applyAlignment="1" applyProtection="1">
      <alignment horizontal="left" vertical="top" wrapText="1"/>
      <protection locked="0"/>
    </xf>
    <xf numFmtId="0" fontId="102" fillId="0" borderId="83" xfId="0" applyFont="1" applyFill="1" applyBorder="1" applyAlignment="1">
      <alignment horizontal="center" vertical="center"/>
    </xf>
    <xf numFmtId="0" fontId="102" fillId="76" borderId="80" xfId="0" applyFont="1" applyFill="1" applyBorder="1" applyAlignment="1">
      <alignment horizontal="center" vertical="center" wrapText="1"/>
    </xf>
    <xf numFmtId="0" fontId="102" fillId="76" borderId="0" xfId="0" applyFont="1" applyFill="1" applyBorder="1" applyAlignment="1">
      <alignment horizontal="center" vertical="center" wrapText="1"/>
    </xf>
    <xf numFmtId="0" fontId="102" fillId="76" borderId="81" xfId="0" applyFont="1" applyFill="1" applyBorder="1" applyAlignment="1">
      <alignment horizontal="center" vertical="center" wrapText="1"/>
    </xf>
    <xf numFmtId="0" fontId="103" fillId="77" borderId="97" xfId="0" applyFont="1" applyFill="1" applyBorder="1" applyAlignment="1">
      <alignment vertical="center" wrapText="1"/>
    </xf>
    <xf numFmtId="0" fontId="103" fillId="77" borderId="95" xfId="0" applyFont="1" applyFill="1" applyBorder="1" applyAlignment="1">
      <alignment vertical="center" wrapText="1"/>
    </xf>
    <xf numFmtId="0" fontId="103" fillId="0" borderId="97" xfId="0" applyFont="1" applyFill="1" applyBorder="1" applyAlignment="1">
      <alignment vertical="center" wrapText="1"/>
    </xf>
    <xf numFmtId="0" fontId="103" fillId="0" borderId="95" xfId="0" applyFont="1" applyFill="1" applyBorder="1" applyAlignment="1">
      <alignment vertical="center" wrapText="1"/>
    </xf>
    <xf numFmtId="0" fontId="102" fillId="76" borderId="85" xfId="0" applyFont="1" applyFill="1" applyBorder="1" applyAlignment="1">
      <alignment horizontal="center" vertical="center"/>
    </xf>
    <xf numFmtId="0" fontId="102" fillId="76" borderId="86" xfId="0" applyFont="1" applyFill="1" applyBorder="1" applyAlignment="1">
      <alignment horizontal="center" vertical="center"/>
    </xf>
    <xf numFmtId="0" fontId="102" fillId="76" borderId="87" xfId="0" applyFont="1" applyFill="1" applyBorder="1" applyAlignment="1">
      <alignment horizontal="center" vertical="center"/>
    </xf>
    <xf numFmtId="0" fontId="103" fillId="3" borderId="97" xfId="0" applyFont="1" applyFill="1" applyBorder="1" applyAlignment="1">
      <alignment horizontal="left" vertical="center" wrapText="1"/>
    </xf>
    <xf numFmtId="0" fontId="103" fillId="3" borderId="95" xfId="0" applyFont="1" applyFill="1" applyBorder="1" applyAlignment="1">
      <alignment horizontal="left" vertical="center" wrapText="1"/>
    </xf>
    <xf numFmtId="0" fontId="103" fillId="0" borderId="75" xfId="0" applyFont="1" applyFill="1" applyBorder="1" applyAlignment="1">
      <alignment horizontal="left" vertical="center" wrapText="1"/>
    </xf>
    <xf numFmtId="0" fontId="103" fillId="0" borderId="76" xfId="0" applyFont="1" applyFill="1" applyBorder="1" applyAlignment="1">
      <alignment horizontal="left" vertical="center" wrapText="1"/>
    </xf>
    <xf numFmtId="0" fontId="102" fillId="76" borderId="71" xfId="0" applyFont="1" applyFill="1" applyBorder="1" applyAlignment="1">
      <alignment horizontal="center" vertical="center" wrapText="1"/>
    </xf>
    <xf numFmtId="0" fontId="102" fillId="76" borderId="72" xfId="0" applyFont="1" applyFill="1" applyBorder="1" applyAlignment="1">
      <alignment horizontal="center" vertical="center" wrapText="1"/>
    </xf>
    <xf numFmtId="0" fontId="102" fillId="76" borderId="73" xfId="0" applyFont="1" applyFill="1" applyBorder="1" applyAlignment="1">
      <alignment horizontal="center" vertical="center" wrapText="1"/>
    </xf>
    <xf numFmtId="0" fontId="103" fillId="0" borderId="52" xfId="0" applyFont="1" applyFill="1" applyBorder="1" applyAlignment="1">
      <alignment horizontal="left" vertical="center" wrapText="1"/>
    </xf>
    <xf numFmtId="0" fontId="103" fillId="0" borderId="11" xfId="0" applyFont="1" applyFill="1" applyBorder="1" applyAlignment="1">
      <alignment horizontal="left" vertical="center" wrapText="1"/>
    </xf>
    <xf numFmtId="0" fontId="103" fillId="82" borderId="97" xfId="0" applyFont="1" applyFill="1" applyBorder="1" applyAlignment="1">
      <alignment vertical="center" wrapText="1"/>
    </xf>
    <xf numFmtId="0" fontId="103" fillId="82" borderId="95" xfId="0" applyFont="1" applyFill="1" applyBorder="1" applyAlignment="1">
      <alignment vertical="center" wrapText="1"/>
    </xf>
    <xf numFmtId="0" fontId="103" fillId="82" borderId="138" xfId="0" applyFont="1" applyFill="1" applyBorder="1" applyAlignment="1">
      <alignment horizontal="left" vertical="center" wrapText="1"/>
    </xf>
    <xf numFmtId="0" fontId="103" fillId="82" borderId="139" xfId="0" applyFont="1" applyFill="1" applyBorder="1" applyAlignment="1">
      <alignment horizontal="left" vertical="center" wrapText="1"/>
    </xf>
    <xf numFmtId="0" fontId="103" fillId="82" borderId="140" xfId="0" applyFont="1" applyFill="1" applyBorder="1" applyAlignment="1">
      <alignment horizontal="left" vertical="center" wrapText="1"/>
    </xf>
    <xf numFmtId="0" fontId="103" fillId="3" borderId="75" xfId="0" applyFont="1" applyFill="1" applyBorder="1" applyAlignment="1">
      <alignment horizontal="left" vertical="center" wrapText="1"/>
    </xf>
    <xf numFmtId="0" fontId="103" fillId="3" borderId="76" xfId="0" applyFont="1" applyFill="1" applyBorder="1" applyAlignment="1">
      <alignment horizontal="left" vertical="center" wrapText="1"/>
    </xf>
    <xf numFmtId="0" fontId="103" fillId="82" borderId="78" xfId="0" applyFont="1" applyFill="1" applyBorder="1" applyAlignment="1">
      <alignment horizontal="left" vertical="center" wrapText="1"/>
    </xf>
    <xf numFmtId="0" fontId="103" fillId="82" borderId="79" xfId="0" applyFont="1" applyFill="1" applyBorder="1" applyAlignment="1">
      <alignment horizontal="left" vertical="center" wrapText="1"/>
    </xf>
    <xf numFmtId="0" fontId="103" fillId="82" borderId="52" xfId="0" applyFont="1" applyFill="1" applyBorder="1" applyAlignment="1">
      <alignment vertical="center" wrapText="1"/>
    </xf>
    <xf numFmtId="0" fontId="103" fillId="82" borderId="11" xfId="0" applyFont="1" applyFill="1" applyBorder="1" applyAlignment="1">
      <alignment vertical="center" wrapText="1"/>
    </xf>
    <xf numFmtId="0" fontId="103" fillId="3" borderId="97" xfId="0" applyFont="1" applyFill="1" applyBorder="1" applyAlignment="1">
      <alignment vertical="center" wrapText="1"/>
    </xf>
    <xf numFmtId="0" fontId="103" fillId="3" borderId="95" xfId="0" applyFont="1" applyFill="1" applyBorder="1" applyAlignment="1">
      <alignment vertical="center" wrapText="1"/>
    </xf>
    <xf numFmtId="0" fontId="102" fillId="0" borderId="68" xfId="0" applyFont="1" applyFill="1" applyBorder="1" applyAlignment="1">
      <alignment horizontal="center" vertical="center"/>
    </xf>
    <xf numFmtId="0" fontId="102" fillId="0" borderId="69" xfId="0" applyFont="1" applyFill="1" applyBorder="1" applyAlignment="1">
      <alignment horizontal="center" vertical="center"/>
    </xf>
    <xf numFmtId="0" fontId="102" fillId="0" borderId="70" xfId="0" applyFont="1" applyFill="1" applyBorder="1" applyAlignment="1">
      <alignment horizontal="center" vertical="center"/>
    </xf>
    <xf numFmtId="0" fontId="103" fillId="0" borderId="96" xfId="0" applyFont="1" applyFill="1" applyBorder="1" applyAlignment="1">
      <alignment horizontal="left" vertical="center" wrapText="1"/>
    </xf>
    <xf numFmtId="0" fontId="123" fillId="3" borderId="97" xfId="0" applyFont="1" applyFill="1" applyBorder="1" applyAlignment="1">
      <alignment vertical="center" wrapText="1"/>
    </xf>
    <xf numFmtId="0" fontId="123" fillId="3" borderId="95" xfId="0" applyFont="1" applyFill="1" applyBorder="1" applyAlignment="1">
      <alignment vertical="center" wrapText="1"/>
    </xf>
    <xf numFmtId="0" fontId="103" fillId="0" borderId="97" xfId="0" applyFont="1" applyFill="1" applyBorder="1" applyAlignment="1">
      <alignment horizontal="left"/>
    </xf>
    <xf numFmtId="0" fontId="103" fillId="0" borderId="95" xfId="0" applyFont="1" applyFill="1" applyBorder="1" applyAlignment="1">
      <alignment horizontal="left"/>
    </xf>
  </cellXfs>
  <cellStyles count="21415">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showGridLines="0" tabSelected="1" zoomScale="85" zoomScaleNormal="85" workbookViewId="0">
      <pane xSplit="1" ySplit="7" topLeftCell="B8" activePane="bottomRight" state="frozen"/>
      <selection pane="topRight" activeCell="B1" sqref="B1"/>
      <selection pane="bottomLeft" activeCell="A8" sqref="A8"/>
      <selection pane="bottomRight" activeCell="B1" sqref="B1"/>
    </sheetView>
  </sheetViews>
  <sheetFormatPr defaultRowHeight="15"/>
  <cols>
    <col min="1" max="1" width="10.28515625" style="2" customWidth="1"/>
    <col min="2" max="2" width="153" bestFit="1" customWidth="1"/>
    <col min="3" max="3" width="39.42578125" customWidth="1"/>
    <col min="7" max="7" width="25" customWidth="1"/>
  </cols>
  <sheetData>
    <row r="1" spans="1:3" ht="15.75">
      <c r="A1" s="9"/>
      <c r="B1" s="127" t="s">
        <v>159</v>
      </c>
      <c r="C1" s="55"/>
    </row>
    <row r="2" spans="1:3" s="124" customFormat="1" ht="15.75">
      <c r="A2" s="168">
        <v>1</v>
      </c>
      <c r="B2" s="125" t="s">
        <v>160</v>
      </c>
      <c r="C2" s="601" t="s">
        <v>953</v>
      </c>
    </row>
    <row r="3" spans="1:3" s="124" customFormat="1" ht="15.75">
      <c r="A3" s="168">
        <v>2</v>
      </c>
      <c r="B3" s="126" t="s">
        <v>161</v>
      </c>
      <c r="C3" s="601" t="s">
        <v>954</v>
      </c>
    </row>
    <row r="4" spans="1:3" s="124" customFormat="1" ht="15.75">
      <c r="A4" s="168">
        <v>3</v>
      </c>
      <c r="B4" s="126" t="s">
        <v>162</v>
      </c>
      <c r="C4" s="601" t="s">
        <v>955</v>
      </c>
    </row>
    <row r="5" spans="1:3" s="124" customFormat="1" ht="15.75">
      <c r="A5" s="169">
        <v>4</v>
      </c>
      <c r="B5" s="129" t="s">
        <v>163</v>
      </c>
      <c r="C5" s="602" t="s">
        <v>956</v>
      </c>
    </row>
    <row r="6" spans="1:3" s="128" customFormat="1" ht="65.25" customHeight="1">
      <c r="A6" s="856" t="s">
        <v>321</v>
      </c>
      <c r="B6" s="857"/>
      <c r="C6" s="857"/>
    </row>
    <row r="7" spans="1:3">
      <c r="A7" s="261" t="s">
        <v>251</v>
      </c>
      <c r="B7" s="262" t="s">
        <v>164</v>
      </c>
    </row>
    <row r="8" spans="1:3">
      <c r="A8" s="263">
        <v>1</v>
      </c>
      <c r="B8" s="259" t="s">
        <v>139</v>
      </c>
    </row>
    <row r="9" spans="1:3">
      <c r="A9" s="263">
        <v>2</v>
      </c>
      <c r="B9" s="259" t="s">
        <v>165</v>
      </c>
    </row>
    <row r="10" spans="1:3">
      <c r="A10" s="263">
        <v>3</v>
      </c>
      <c r="B10" s="259" t="s">
        <v>166</v>
      </c>
    </row>
    <row r="11" spans="1:3">
      <c r="A11" s="263">
        <v>4</v>
      </c>
      <c r="B11" s="259" t="s">
        <v>167</v>
      </c>
      <c r="C11" s="123"/>
    </row>
    <row r="12" spans="1:3">
      <c r="A12" s="263">
        <v>5</v>
      </c>
      <c r="B12" s="259" t="s">
        <v>107</v>
      </c>
    </row>
    <row r="13" spans="1:3">
      <c r="A13" s="263">
        <v>6</v>
      </c>
      <c r="B13" s="264" t="s">
        <v>91</v>
      </c>
    </row>
    <row r="14" spans="1:3">
      <c r="A14" s="263">
        <v>7</v>
      </c>
      <c r="B14" s="259" t="s">
        <v>168</v>
      </c>
    </row>
    <row r="15" spans="1:3">
      <c r="A15" s="263">
        <v>8</v>
      </c>
      <c r="B15" s="259" t="s">
        <v>171</v>
      </c>
    </row>
    <row r="16" spans="1:3">
      <c r="A16" s="263">
        <v>9</v>
      </c>
      <c r="B16" s="259" t="s">
        <v>85</v>
      </c>
    </row>
    <row r="17" spans="1:2">
      <c r="A17" s="265" t="s">
        <v>378</v>
      </c>
      <c r="B17" s="259" t="s">
        <v>358</v>
      </c>
    </row>
    <row r="18" spans="1:2">
      <c r="A18" s="263">
        <v>10</v>
      </c>
      <c r="B18" s="259" t="s">
        <v>172</v>
      </c>
    </row>
    <row r="19" spans="1:2">
      <c r="A19" s="263">
        <v>11</v>
      </c>
      <c r="B19" s="264" t="s">
        <v>155</v>
      </c>
    </row>
    <row r="20" spans="1:2">
      <c r="A20" s="263">
        <v>12</v>
      </c>
      <c r="B20" s="264" t="s">
        <v>152</v>
      </c>
    </row>
    <row r="21" spans="1:2">
      <c r="A21" s="263">
        <v>13</v>
      </c>
      <c r="B21" s="266" t="s">
        <v>297</v>
      </c>
    </row>
    <row r="22" spans="1:2">
      <c r="A22" s="263">
        <v>14</v>
      </c>
      <c r="B22" s="259" t="s">
        <v>351</v>
      </c>
    </row>
    <row r="23" spans="1:2">
      <c r="A23" s="267">
        <v>15</v>
      </c>
      <c r="B23" s="259" t="s">
        <v>74</v>
      </c>
    </row>
    <row r="24" spans="1:2">
      <c r="A24" s="267">
        <v>15.1</v>
      </c>
      <c r="B24" s="259" t="s">
        <v>387</v>
      </c>
    </row>
    <row r="25" spans="1:2">
      <c r="A25" s="267">
        <v>16</v>
      </c>
      <c r="B25" s="259" t="s">
        <v>449</v>
      </c>
    </row>
    <row r="26" spans="1:2">
      <c r="A26" s="267">
        <v>17</v>
      </c>
      <c r="B26" s="259" t="s">
        <v>673</v>
      </c>
    </row>
    <row r="27" spans="1:2">
      <c r="A27" s="267">
        <v>18</v>
      </c>
      <c r="B27" s="259" t="s">
        <v>933</v>
      </c>
    </row>
    <row r="28" spans="1:2">
      <c r="A28" s="267">
        <v>19</v>
      </c>
      <c r="B28" s="259" t="s">
        <v>934</v>
      </c>
    </row>
    <row r="29" spans="1:2">
      <c r="A29" s="267">
        <v>20</v>
      </c>
      <c r="B29" s="259" t="s">
        <v>935</v>
      </c>
    </row>
    <row r="30" spans="1:2">
      <c r="A30" s="267">
        <v>21</v>
      </c>
      <c r="B30" s="259" t="s">
        <v>542</v>
      </c>
    </row>
    <row r="31" spans="1:2">
      <c r="A31" s="267">
        <v>22</v>
      </c>
      <c r="B31" s="259" t="s">
        <v>936</v>
      </c>
    </row>
    <row r="32" spans="1:2" ht="25.5">
      <c r="A32" s="267">
        <v>23</v>
      </c>
      <c r="B32" s="597" t="s">
        <v>932</v>
      </c>
    </row>
    <row r="33" spans="1:2">
      <c r="A33" s="267">
        <v>24</v>
      </c>
      <c r="B33" s="259" t="s">
        <v>937</v>
      </c>
    </row>
    <row r="34" spans="1:2">
      <c r="A34" s="267">
        <v>25</v>
      </c>
      <c r="B34" s="259" t="s">
        <v>938</v>
      </c>
    </row>
    <row r="35" spans="1:2">
      <c r="A35" s="263">
        <v>26</v>
      </c>
      <c r="B35" s="259" t="s">
        <v>719</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6"/>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9.5703125" style="5" bestFit="1" customWidth="1"/>
    <col min="2" max="2" width="132.42578125" style="2" customWidth="1"/>
    <col min="3" max="3" width="18.42578125" style="2" customWidth="1"/>
  </cols>
  <sheetData>
    <row r="1" spans="1:6" ht="15.75">
      <c r="A1" s="17" t="s">
        <v>108</v>
      </c>
      <c r="B1" s="603" t="str">
        <f>'1. key ratios'!B1</f>
        <v>სს იშბანკი საქართველო</v>
      </c>
      <c r="D1" s="2"/>
      <c r="E1" s="2"/>
      <c r="F1" s="2"/>
    </row>
    <row r="2" spans="1:6" s="21" customFormat="1" ht="15.75" customHeight="1">
      <c r="A2" s="21" t="s">
        <v>109</v>
      </c>
      <c r="B2" s="604">
        <f>'1. key ratios'!B2</f>
        <v>45657</v>
      </c>
    </row>
    <row r="3" spans="1:6" s="21" customFormat="1" ht="15.75" customHeight="1"/>
    <row r="4" spans="1:6" ht="15.75" thickBot="1">
      <c r="A4" s="5" t="s">
        <v>257</v>
      </c>
      <c r="B4" s="30" t="s">
        <v>85</v>
      </c>
    </row>
    <row r="5" spans="1:6">
      <c r="A5" s="88" t="s">
        <v>25</v>
      </c>
      <c r="B5" s="89"/>
      <c r="C5" s="90" t="s">
        <v>26</v>
      </c>
    </row>
    <row r="6" spans="1:6">
      <c r="A6" s="91">
        <v>1</v>
      </c>
      <c r="B6" s="51" t="s">
        <v>27</v>
      </c>
      <c r="C6" s="173">
        <f>SUM(C7:C11)</f>
        <v>146025790.18153781</v>
      </c>
    </row>
    <row r="7" spans="1:6">
      <c r="A7" s="91">
        <v>2</v>
      </c>
      <c r="B7" s="48" t="s">
        <v>28</v>
      </c>
      <c r="C7" s="174">
        <f>'2. SOFP'!E55</f>
        <v>69161600</v>
      </c>
    </row>
    <row r="8" spans="1:6">
      <c r="A8" s="91">
        <v>3</v>
      </c>
      <c r="B8" s="42" t="s">
        <v>29</v>
      </c>
      <c r="C8" s="174"/>
    </row>
    <row r="9" spans="1:6">
      <c r="A9" s="91">
        <v>4</v>
      </c>
      <c r="B9" s="42" t="s">
        <v>30</v>
      </c>
      <c r="C9" s="174"/>
    </row>
    <row r="10" spans="1:6">
      <c r="A10" s="91">
        <v>5</v>
      </c>
      <c r="B10" s="42" t="s">
        <v>31</v>
      </c>
      <c r="C10" s="174"/>
    </row>
    <row r="11" spans="1:6">
      <c r="A11" s="91">
        <v>6</v>
      </c>
      <c r="B11" s="49" t="s">
        <v>32</v>
      </c>
      <c r="C11" s="174">
        <f>'2. SOFP'!E67</f>
        <v>76864190.181537807</v>
      </c>
    </row>
    <row r="12" spans="1:6" s="4" customFormat="1">
      <c r="A12" s="91">
        <v>7</v>
      </c>
      <c r="B12" s="51" t="s">
        <v>33</v>
      </c>
      <c r="C12" s="175">
        <f>SUM(C13:C28)</f>
        <v>2727053.4502263302</v>
      </c>
    </row>
    <row r="13" spans="1:6" s="4" customFormat="1">
      <c r="A13" s="91">
        <v>8</v>
      </c>
      <c r="B13" s="50" t="s">
        <v>34</v>
      </c>
      <c r="C13" s="176"/>
    </row>
    <row r="14" spans="1:6" s="4" customFormat="1" ht="25.5">
      <c r="A14" s="91">
        <v>9</v>
      </c>
      <c r="B14" s="43" t="s">
        <v>35</v>
      </c>
      <c r="C14" s="176"/>
    </row>
    <row r="15" spans="1:6" s="4" customFormat="1">
      <c r="A15" s="91">
        <v>10</v>
      </c>
      <c r="B15" s="44" t="s">
        <v>36</v>
      </c>
      <c r="C15" s="176">
        <f>'2. SOFP'!E27</f>
        <v>2727053.4502263302</v>
      </c>
    </row>
    <row r="16" spans="1:6" s="4" customFormat="1">
      <c r="A16" s="91">
        <v>11</v>
      </c>
      <c r="B16" s="45" t="s">
        <v>37</v>
      </c>
      <c r="C16" s="176"/>
    </row>
    <row r="17" spans="1:3" s="4" customFormat="1">
      <c r="A17" s="91">
        <v>12</v>
      </c>
      <c r="B17" s="44" t="s">
        <v>38</v>
      </c>
      <c r="C17" s="176"/>
    </row>
    <row r="18" spans="1:3" s="4" customFormat="1">
      <c r="A18" s="91">
        <v>13</v>
      </c>
      <c r="B18" s="44" t="s">
        <v>39</v>
      </c>
      <c r="C18" s="176"/>
    </row>
    <row r="19" spans="1:3" s="4" customFormat="1">
      <c r="A19" s="91">
        <v>14</v>
      </c>
      <c r="B19" s="44" t="s">
        <v>40</v>
      </c>
      <c r="C19" s="176"/>
    </row>
    <row r="20" spans="1:3" s="4" customFormat="1" ht="25.5">
      <c r="A20" s="91">
        <v>15</v>
      </c>
      <c r="B20" s="44" t="s">
        <v>41</v>
      </c>
      <c r="C20" s="176"/>
    </row>
    <row r="21" spans="1:3" s="4" customFormat="1" ht="25.5">
      <c r="A21" s="91">
        <v>16</v>
      </c>
      <c r="B21" s="43" t="s">
        <v>42</v>
      </c>
      <c r="C21" s="176"/>
    </row>
    <row r="22" spans="1:3" s="4" customFormat="1">
      <c r="A22" s="91">
        <v>17</v>
      </c>
      <c r="B22" s="92" t="s">
        <v>43</v>
      </c>
      <c r="C22" s="176"/>
    </row>
    <row r="23" spans="1:3" s="4" customFormat="1">
      <c r="A23" s="91">
        <v>18</v>
      </c>
      <c r="B23" s="598" t="s">
        <v>722</v>
      </c>
      <c r="C23" s="394"/>
    </row>
    <row r="24" spans="1:3" s="4" customFormat="1" ht="25.5">
      <c r="A24" s="91">
        <v>19</v>
      </c>
      <c r="B24" s="43" t="s">
        <v>44</v>
      </c>
      <c r="C24" s="176"/>
    </row>
    <row r="25" spans="1:3" s="4" customFormat="1" ht="25.5">
      <c r="A25" s="91">
        <v>20</v>
      </c>
      <c r="B25" s="43" t="s">
        <v>45</v>
      </c>
      <c r="C25" s="176"/>
    </row>
    <row r="26" spans="1:3" s="4" customFormat="1" ht="25.5">
      <c r="A26" s="91">
        <v>21</v>
      </c>
      <c r="B26" s="46" t="s">
        <v>46</v>
      </c>
      <c r="C26" s="176"/>
    </row>
    <row r="27" spans="1:3" s="4" customFormat="1">
      <c r="A27" s="91">
        <v>22</v>
      </c>
      <c r="B27" s="46" t="s">
        <v>47</v>
      </c>
      <c r="C27" s="176"/>
    </row>
    <row r="28" spans="1:3" s="4" customFormat="1" ht="25.5">
      <c r="A28" s="91">
        <v>23</v>
      </c>
      <c r="B28" s="46" t="s">
        <v>48</v>
      </c>
      <c r="C28" s="176"/>
    </row>
    <row r="29" spans="1:3" s="4" customFormat="1">
      <c r="A29" s="91">
        <v>24</v>
      </c>
      <c r="B29" s="52" t="s">
        <v>22</v>
      </c>
      <c r="C29" s="175">
        <f>C6-C12</f>
        <v>143298736.73131147</v>
      </c>
    </row>
    <row r="30" spans="1:3" s="4" customFormat="1">
      <c r="A30" s="93"/>
      <c r="B30" s="47"/>
      <c r="C30" s="176"/>
    </row>
    <row r="31" spans="1:3" s="4" customFormat="1">
      <c r="A31" s="93">
        <v>25</v>
      </c>
      <c r="B31" s="52" t="s">
        <v>49</v>
      </c>
      <c r="C31" s="175">
        <f>C32+C35</f>
        <v>0</v>
      </c>
    </row>
    <row r="32" spans="1:3" s="4" customFormat="1">
      <c r="A32" s="93">
        <v>26</v>
      </c>
      <c r="B32" s="42" t="s">
        <v>50</v>
      </c>
      <c r="C32" s="177">
        <f>C33+C34</f>
        <v>0</v>
      </c>
    </row>
    <row r="33" spans="1:3" s="4" customFormat="1">
      <c r="A33" s="93">
        <v>27</v>
      </c>
      <c r="B33" s="121" t="s">
        <v>51</v>
      </c>
      <c r="C33" s="176"/>
    </row>
    <row r="34" spans="1:3" s="4" customFormat="1">
      <c r="A34" s="93">
        <v>28</v>
      </c>
      <c r="B34" s="121" t="s">
        <v>52</v>
      </c>
      <c r="C34" s="176"/>
    </row>
    <row r="35" spans="1:3" s="4" customFormat="1">
      <c r="A35" s="93">
        <v>29</v>
      </c>
      <c r="B35" s="42" t="s">
        <v>53</v>
      </c>
      <c r="C35" s="176"/>
    </row>
    <row r="36" spans="1:3" s="4" customFormat="1">
      <c r="A36" s="93">
        <v>30</v>
      </c>
      <c r="B36" s="52" t="s">
        <v>54</v>
      </c>
      <c r="C36" s="175">
        <f>SUM(C37:C41)</f>
        <v>0</v>
      </c>
    </row>
    <row r="37" spans="1:3" s="4" customFormat="1">
      <c r="A37" s="93">
        <v>31</v>
      </c>
      <c r="B37" s="43" t="s">
        <v>55</v>
      </c>
      <c r="C37" s="176"/>
    </row>
    <row r="38" spans="1:3" s="4" customFormat="1">
      <c r="A38" s="93">
        <v>32</v>
      </c>
      <c r="B38" s="44" t="s">
        <v>56</v>
      </c>
      <c r="C38" s="176"/>
    </row>
    <row r="39" spans="1:3" s="4" customFormat="1" ht="25.5">
      <c r="A39" s="93">
        <v>33</v>
      </c>
      <c r="B39" s="43" t="s">
        <v>57</v>
      </c>
      <c r="C39" s="176"/>
    </row>
    <row r="40" spans="1:3" s="4" customFormat="1" ht="25.5">
      <c r="A40" s="93">
        <v>34</v>
      </c>
      <c r="B40" s="43" t="s">
        <v>45</v>
      </c>
      <c r="C40" s="176"/>
    </row>
    <row r="41" spans="1:3" s="4" customFormat="1" ht="25.5">
      <c r="A41" s="93">
        <v>35</v>
      </c>
      <c r="B41" s="46" t="s">
        <v>58</v>
      </c>
      <c r="C41" s="176"/>
    </row>
    <row r="42" spans="1:3" s="4" customFormat="1">
      <c r="A42" s="93">
        <v>36</v>
      </c>
      <c r="B42" s="52" t="s">
        <v>23</v>
      </c>
      <c r="C42" s="175">
        <f>C31-C36</f>
        <v>0</v>
      </c>
    </row>
    <row r="43" spans="1:3" s="4" customFormat="1">
      <c r="A43" s="93"/>
      <c r="B43" s="47"/>
      <c r="C43" s="176"/>
    </row>
    <row r="44" spans="1:3" s="4" customFormat="1">
      <c r="A44" s="93">
        <v>37</v>
      </c>
      <c r="B44" s="53" t="s">
        <v>59</v>
      </c>
      <c r="C44" s="175">
        <f>SUM(C45:C47)</f>
        <v>0</v>
      </c>
    </row>
    <row r="45" spans="1:3" s="4" customFormat="1">
      <c r="A45" s="93">
        <v>38</v>
      </c>
      <c r="B45" s="42" t="s">
        <v>60</v>
      </c>
      <c r="C45" s="176"/>
    </row>
    <row r="46" spans="1:3" s="4" customFormat="1">
      <c r="A46" s="93">
        <v>39</v>
      </c>
      <c r="B46" s="42" t="s">
        <v>61</v>
      </c>
      <c r="C46" s="176"/>
    </row>
    <row r="47" spans="1:3" s="4" customFormat="1">
      <c r="A47" s="93">
        <v>40</v>
      </c>
      <c r="B47" s="599" t="s">
        <v>721</v>
      </c>
      <c r="C47" s="176"/>
    </row>
    <row r="48" spans="1:3" s="4" customFormat="1">
      <c r="A48" s="93">
        <v>41</v>
      </c>
      <c r="B48" s="53" t="s">
        <v>62</v>
      </c>
      <c r="C48" s="175">
        <f>SUM(C49:C52)</f>
        <v>0</v>
      </c>
    </row>
    <row r="49" spans="1:3" s="4" customFormat="1">
      <c r="A49" s="93">
        <v>42</v>
      </c>
      <c r="B49" s="43" t="s">
        <v>63</v>
      </c>
      <c r="C49" s="176"/>
    </row>
    <row r="50" spans="1:3" s="4" customFormat="1">
      <c r="A50" s="93">
        <v>43</v>
      </c>
      <c r="B50" s="44" t="s">
        <v>64</v>
      </c>
      <c r="C50" s="176"/>
    </row>
    <row r="51" spans="1:3" s="4" customFormat="1" ht="25.5">
      <c r="A51" s="93">
        <v>44</v>
      </c>
      <c r="B51" s="43" t="s">
        <v>65</v>
      </c>
      <c r="C51" s="176"/>
    </row>
    <row r="52" spans="1:3" s="4" customFormat="1" ht="25.5">
      <c r="A52" s="93">
        <v>45</v>
      </c>
      <c r="B52" s="43" t="s">
        <v>45</v>
      </c>
      <c r="C52" s="176"/>
    </row>
    <row r="53" spans="1:3" s="4" customFormat="1" ht="15.75" thickBot="1">
      <c r="A53" s="93">
        <v>46</v>
      </c>
      <c r="B53" s="94" t="s">
        <v>24</v>
      </c>
      <c r="C53" s="178">
        <f>C44-C48</f>
        <v>0</v>
      </c>
    </row>
    <row r="56" spans="1:3">
      <c r="B56" s="2" t="s">
        <v>141</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showGridLines="0" workbookViewId="0">
      <selection activeCell="B4" sqref="B4"/>
    </sheetView>
  </sheetViews>
  <sheetFormatPr defaultColWidth="9.140625" defaultRowHeight="12.75"/>
  <cols>
    <col min="1" max="1" width="10.85546875" style="218" bestFit="1" customWidth="1"/>
    <col min="2" max="2" width="59" style="218" customWidth="1"/>
    <col min="3" max="3" width="16.7109375" style="218" bestFit="1" customWidth="1"/>
    <col min="4" max="4" width="13.140625" style="218" bestFit="1" customWidth="1"/>
    <col min="5" max="16384" width="9.140625" style="218"/>
  </cols>
  <sheetData>
    <row r="1" spans="1:4" ht="15">
      <c r="A1" s="17" t="s">
        <v>108</v>
      </c>
      <c r="B1" s="603" t="str">
        <f>'1. key ratios'!B1</f>
        <v>სს იშბანკი საქართველო</v>
      </c>
    </row>
    <row r="2" spans="1:4" s="21" customFormat="1" ht="15.75" customHeight="1">
      <c r="A2" s="21" t="s">
        <v>109</v>
      </c>
      <c r="B2" s="604">
        <f>'1. key ratios'!B2</f>
        <v>45657</v>
      </c>
    </row>
    <row r="3" spans="1:4" s="21" customFormat="1" ht="15.75" customHeight="1"/>
    <row r="4" spans="1:4" ht="13.5" thickBot="1">
      <c r="A4" s="219" t="s">
        <v>357</v>
      </c>
      <c r="B4" s="248" t="s">
        <v>358</v>
      </c>
    </row>
    <row r="5" spans="1:4" s="249" customFormat="1">
      <c r="A5" s="888" t="s">
        <v>359</v>
      </c>
      <c r="B5" s="889"/>
      <c r="C5" s="238" t="s">
        <v>360</v>
      </c>
      <c r="D5" s="239" t="s">
        <v>361</v>
      </c>
    </row>
    <row r="6" spans="1:4" s="250" customFormat="1">
      <c r="A6" s="240">
        <v>1</v>
      </c>
      <c r="B6" s="241" t="s">
        <v>362</v>
      </c>
      <c r="C6" s="241"/>
      <c r="D6" s="242"/>
    </row>
    <row r="7" spans="1:4" s="250" customFormat="1">
      <c r="A7" s="243" t="s">
        <v>363</v>
      </c>
      <c r="B7" s="244" t="s">
        <v>364</v>
      </c>
      <c r="C7" s="295">
        <v>4.4999999999999998E-2</v>
      </c>
      <c r="D7" s="646">
        <f>C7*'5. RWA'!$C$13</f>
        <v>25307958.615541235</v>
      </c>
    </row>
    <row r="8" spans="1:4" s="250" customFormat="1">
      <c r="A8" s="243" t="s">
        <v>365</v>
      </c>
      <c r="B8" s="244" t="s">
        <v>366</v>
      </c>
      <c r="C8" s="296">
        <v>0.06</v>
      </c>
      <c r="D8" s="646">
        <f>C8*'5. RWA'!$C$13</f>
        <v>33743944.820721641</v>
      </c>
    </row>
    <row r="9" spans="1:4" s="250" customFormat="1">
      <c r="A9" s="243" t="s">
        <v>367</v>
      </c>
      <c r="B9" s="244" t="s">
        <v>368</v>
      </c>
      <c r="C9" s="296">
        <v>0.08</v>
      </c>
      <c r="D9" s="646">
        <f>C9*'5. RWA'!$C$13</f>
        <v>44991926.42762886</v>
      </c>
    </row>
    <row r="10" spans="1:4" s="250" customFormat="1">
      <c r="A10" s="240" t="s">
        <v>369</v>
      </c>
      <c r="B10" s="241" t="s">
        <v>370</v>
      </c>
      <c r="C10" s="297"/>
      <c r="D10" s="647"/>
    </row>
    <row r="11" spans="1:4" s="251" customFormat="1">
      <c r="A11" s="245" t="s">
        <v>371</v>
      </c>
      <c r="B11" s="246" t="s">
        <v>433</v>
      </c>
      <c r="C11" s="645">
        <v>2.5000000000000001E-2</v>
      </c>
      <c r="D11" s="648">
        <f>C11*'5. RWA'!$C$13</f>
        <v>14059977.00863402</v>
      </c>
    </row>
    <row r="12" spans="1:4" s="251" customFormat="1">
      <c r="A12" s="245" t="s">
        <v>372</v>
      </c>
      <c r="B12" s="246" t="s">
        <v>373</v>
      </c>
      <c r="C12" s="645">
        <v>2.5000000000000001E-3</v>
      </c>
      <c r="D12" s="648">
        <f>C12*'5. RWA'!$C$13</f>
        <v>1405997.7008634019</v>
      </c>
    </row>
    <row r="13" spans="1:4" s="251" customFormat="1">
      <c r="A13" s="245" t="s">
        <v>374</v>
      </c>
      <c r="B13" s="246" t="s">
        <v>375</v>
      </c>
      <c r="C13" s="298"/>
      <c r="D13" s="648">
        <f>C13*'5. RWA'!$C$13</f>
        <v>0</v>
      </c>
    </row>
    <row r="14" spans="1:4" s="250" customFormat="1">
      <c r="A14" s="240" t="s">
        <v>376</v>
      </c>
      <c r="B14" s="241" t="s">
        <v>431</v>
      </c>
      <c r="C14" s="299"/>
      <c r="D14" s="647"/>
    </row>
    <row r="15" spans="1:4" s="250" customFormat="1">
      <c r="A15" s="260" t="s">
        <v>379</v>
      </c>
      <c r="B15" s="246" t="s">
        <v>432</v>
      </c>
      <c r="C15" s="645">
        <v>7.0058639151248436E-2</v>
      </c>
      <c r="D15" s="648">
        <f>C15*'5. RWA'!$C$13</f>
        <v>39400914.228909604</v>
      </c>
    </row>
    <row r="16" spans="1:4" s="250" customFormat="1">
      <c r="A16" s="260" t="s">
        <v>380</v>
      </c>
      <c r="B16" s="246" t="s">
        <v>382</v>
      </c>
      <c r="C16" s="645">
        <v>8.9375650990568101E-2</v>
      </c>
      <c r="D16" s="648">
        <f>C16*'5. RWA'!$C$13</f>
        <v>50264783.92236343</v>
      </c>
    </row>
    <row r="17" spans="1:6" s="250" customFormat="1">
      <c r="A17" s="260" t="s">
        <v>381</v>
      </c>
      <c r="B17" s="246" t="s">
        <v>429</v>
      </c>
      <c r="C17" s="645">
        <v>0.11479277183177819</v>
      </c>
      <c r="D17" s="648">
        <f>C17*'5. RWA'!$C$13</f>
        <v>64559349.308486886</v>
      </c>
    </row>
    <row r="18" spans="1:6" s="249" customFormat="1">
      <c r="A18" s="890" t="s">
        <v>430</v>
      </c>
      <c r="B18" s="891"/>
      <c r="C18" s="300" t="s">
        <v>360</v>
      </c>
      <c r="D18" s="294" t="s">
        <v>361</v>
      </c>
    </row>
    <row r="19" spans="1:6" s="250" customFormat="1">
      <c r="A19" s="247">
        <v>4</v>
      </c>
      <c r="B19" s="246" t="s">
        <v>22</v>
      </c>
      <c r="C19" s="298">
        <f>C7+C11+C12+C13+C15</f>
        <v>0.14255863915124845</v>
      </c>
      <c r="D19" s="646">
        <f>C19*'5. RWA'!$C$13</f>
        <v>80174847.553948268</v>
      </c>
    </row>
    <row r="20" spans="1:6" s="250" customFormat="1">
      <c r="A20" s="247">
        <v>5</v>
      </c>
      <c r="B20" s="246" t="s">
        <v>86</v>
      </c>
      <c r="C20" s="298">
        <f>C8+C11+C12+C13+C16</f>
        <v>0.1768756509905681</v>
      </c>
      <c r="D20" s="646">
        <f>C20*'5. RWA'!$C$13</f>
        <v>99474703.452582493</v>
      </c>
    </row>
    <row r="21" spans="1:6" s="250" customFormat="1" ht="13.5" thickBot="1">
      <c r="A21" s="252" t="s">
        <v>377</v>
      </c>
      <c r="B21" s="253" t="s">
        <v>85</v>
      </c>
      <c r="C21" s="301">
        <f>C9+C11+C12+C13+C17</f>
        <v>0.2222927718317782</v>
      </c>
      <c r="D21" s="649">
        <f>C21*'5. RWA'!$C$13</f>
        <v>125017250.44561318</v>
      </c>
    </row>
    <row r="22" spans="1:6">
      <c r="F22" s="219"/>
    </row>
    <row r="23" spans="1:6">
      <c r="B23" s="23"/>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8"/>
  <sheetViews>
    <sheetView showGridLines="0" zoomScale="80" zoomScaleNormal="80" workbookViewId="0">
      <pane xSplit="1" ySplit="5" topLeftCell="B6" activePane="bottomRight" state="frozen"/>
      <selection pane="topRight" activeCell="B1" sqref="B1"/>
      <selection pane="bottomLeft" activeCell="A5" sqref="A5"/>
      <selection pane="bottomRight" activeCell="B4" sqref="B4"/>
    </sheetView>
  </sheetViews>
  <sheetFormatPr defaultRowHeight="15.75"/>
  <cols>
    <col min="1" max="1" width="10.7109375" style="39" customWidth="1"/>
    <col min="2" max="2" width="91.85546875" style="39" customWidth="1"/>
    <col min="3" max="3" width="53.140625" style="39" customWidth="1"/>
    <col min="4" max="4" width="32.28515625" style="39" customWidth="1"/>
    <col min="5" max="5" width="9.42578125" customWidth="1"/>
  </cols>
  <sheetData>
    <row r="1" spans="1:6">
      <c r="A1" s="17" t="s">
        <v>108</v>
      </c>
      <c r="B1" s="603" t="str">
        <f>'1. key ratios'!B1</f>
        <v>სს იშბანკი საქართველო</v>
      </c>
      <c r="E1" s="2"/>
      <c r="F1" s="2"/>
    </row>
    <row r="2" spans="1:6" s="21" customFormat="1" ht="15.75" customHeight="1">
      <c r="A2" s="21" t="s">
        <v>109</v>
      </c>
      <c r="B2" s="604">
        <f>'1. key ratios'!B2</f>
        <v>45657</v>
      </c>
    </row>
    <row r="3" spans="1:6" s="21" customFormat="1" ht="15.75" customHeight="1">
      <c r="A3" s="26"/>
    </row>
    <row r="4" spans="1:6" s="21" customFormat="1" ht="15.75" customHeight="1" thickBot="1">
      <c r="A4" s="21" t="s">
        <v>258</v>
      </c>
      <c r="B4" s="144" t="s">
        <v>172</v>
      </c>
      <c r="D4" s="146" t="s">
        <v>87</v>
      </c>
    </row>
    <row r="5" spans="1:6" ht="25.5">
      <c r="A5" s="95" t="s">
        <v>25</v>
      </c>
      <c r="B5" s="96" t="s">
        <v>144</v>
      </c>
      <c r="C5" s="97" t="s">
        <v>854</v>
      </c>
      <c r="D5" s="145" t="s">
        <v>173</v>
      </c>
    </row>
    <row r="6" spans="1:6" ht="15">
      <c r="A6" s="434">
        <v>1</v>
      </c>
      <c r="B6" s="395" t="s">
        <v>839</v>
      </c>
      <c r="C6" s="650">
        <f>SUM(C7:C9)</f>
        <v>87996665.767722651</v>
      </c>
      <c r="D6" s="651"/>
      <c r="E6" s="7"/>
    </row>
    <row r="7" spans="1:6" ht="15">
      <c r="A7" s="434">
        <v>1.1000000000000001</v>
      </c>
      <c r="B7" s="396" t="s">
        <v>96</v>
      </c>
      <c r="C7" s="652">
        <f>'7. LI1'!C9</f>
        <v>1711926.8074999999</v>
      </c>
      <c r="D7" s="653"/>
      <c r="E7" s="7"/>
    </row>
    <row r="8" spans="1:6" ht="15">
      <c r="A8" s="434">
        <v>1.2</v>
      </c>
      <c r="B8" s="396" t="s">
        <v>97</v>
      </c>
      <c r="C8" s="652">
        <f>'7. LI1'!C10</f>
        <v>46612417.211592808</v>
      </c>
      <c r="D8" s="653"/>
      <c r="E8" s="7"/>
    </row>
    <row r="9" spans="1:6" ht="15">
      <c r="A9" s="434">
        <v>1.3</v>
      </c>
      <c r="B9" s="396" t="s">
        <v>98</v>
      </c>
      <c r="C9" s="652">
        <f>'7. LI1'!C11</f>
        <v>39672321.748629846</v>
      </c>
      <c r="D9" s="654"/>
      <c r="E9" s="7"/>
    </row>
    <row r="10" spans="1:6" ht="15">
      <c r="A10" s="434">
        <v>2</v>
      </c>
      <c r="B10" s="397" t="s">
        <v>726</v>
      </c>
      <c r="C10" s="655">
        <f>C11</f>
        <v>0</v>
      </c>
      <c r="D10" s="654"/>
      <c r="E10" s="7"/>
    </row>
    <row r="11" spans="1:6" ht="15">
      <c r="A11" s="434">
        <v>2.1</v>
      </c>
      <c r="B11" s="398" t="s">
        <v>727</v>
      </c>
      <c r="C11" s="652">
        <f>'7. LI1'!C13</f>
        <v>0</v>
      </c>
      <c r="D11" s="656"/>
      <c r="E11" s="8"/>
    </row>
    <row r="12" spans="1:6" ht="23.45" customHeight="1">
      <c r="A12" s="434">
        <v>3</v>
      </c>
      <c r="B12" s="399" t="s">
        <v>728</v>
      </c>
      <c r="C12" s="652">
        <f>'7. LI1'!C14</f>
        <v>0</v>
      </c>
      <c r="D12" s="656"/>
      <c r="E12" s="8"/>
    </row>
    <row r="13" spans="1:6" ht="23.1" customHeight="1">
      <c r="A13" s="434">
        <v>4</v>
      </c>
      <c r="B13" s="400" t="s">
        <v>729</v>
      </c>
      <c r="C13" s="652">
        <f>'7. LI1'!C15</f>
        <v>0</v>
      </c>
      <c r="D13" s="656"/>
      <c r="E13" s="8"/>
    </row>
    <row r="14" spans="1:6" ht="15">
      <c r="A14" s="434">
        <v>5</v>
      </c>
      <c r="B14" s="400" t="s">
        <v>730</v>
      </c>
      <c r="C14" s="657">
        <f>SUM(C15:C17)</f>
        <v>0</v>
      </c>
      <c r="D14" s="656"/>
      <c r="E14" s="8"/>
    </row>
    <row r="15" spans="1:6" ht="15">
      <c r="A15" s="434">
        <v>5.0999999999999996</v>
      </c>
      <c r="B15" s="401" t="s">
        <v>731</v>
      </c>
      <c r="C15" s="652">
        <f>'7. LI1'!C17</f>
        <v>0</v>
      </c>
      <c r="D15" s="656"/>
      <c r="E15" s="7"/>
    </row>
    <row r="16" spans="1:6" ht="15">
      <c r="A16" s="434">
        <v>5.2</v>
      </c>
      <c r="B16" s="401" t="s">
        <v>565</v>
      </c>
      <c r="C16" s="652">
        <f>'7. LI1'!C18</f>
        <v>0</v>
      </c>
      <c r="D16" s="654"/>
      <c r="E16" s="7"/>
    </row>
    <row r="17" spans="1:5" ht="15">
      <c r="A17" s="434">
        <v>5.3</v>
      </c>
      <c r="B17" s="401" t="s">
        <v>732</v>
      </c>
      <c r="C17" s="652">
        <f>'7. LI1'!C19</f>
        <v>0</v>
      </c>
      <c r="D17" s="654"/>
      <c r="E17" s="7"/>
    </row>
    <row r="18" spans="1:5" ht="15">
      <c r="A18" s="434">
        <v>6</v>
      </c>
      <c r="B18" s="399" t="s">
        <v>733</v>
      </c>
      <c r="C18" s="658">
        <f>SUM(C19:C20)</f>
        <v>379815379.08618951</v>
      </c>
      <c r="D18" s="654"/>
      <c r="E18" s="7"/>
    </row>
    <row r="19" spans="1:5" ht="15">
      <c r="A19" s="434">
        <v>6.1</v>
      </c>
      <c r="B19" s="401" t="s">
        <v>565</v>
      </c>
      <c r="C19" s="652">
        <f>'7. LI1'!C21</f>
        <v>56214343.559903294</v>
      </c>
      <c r="D19" s="654"/>
      <c r="E19" s="7"/>
    </row>
    <row r="20" spans="1:5" ht="15">
      <c r="A20" s="434">
        <v>6.2</v>
      </c>
      <c r="B20" s="401" t="s">
        <v>732</v>
      </c>
      <c r="C20" s="652">
        <f>'7. LI1'!C22</f>
        <v>323601035.52628618</v>
      </c>
      <c r="D20" s="654"/>
      <c r="E20" s="7"/>
    </row>
    <row r="21" spans="1:5" ht="15">
      <c r="A21" s="434">
        <v>7</v>
      </c>
      <c r="B21" s="402" t="s">
        <v>734</v>
      </c>
      <c r="C21" s="652">
        <f>'7. LI1'!C23</f>
        <v>0</v>
      </c>
      <c r="D21" s="654"/>
      <c r="E21" s="7"/>
    </row>
    <row r="22" spans="1:5" ht="15">
      <c r="A22" s="434">
        <v>8</v>
      </c>
      <c r="B22" s="403" t="s">
        <v>735</v>
      </c>
      <c r="C22" s="652">
        <f>'7. LI1'!C24</f>
        <v>0</v>
      </c>
      <c r="D22" s="654"/>
      <c r="E22" s="7"/>
    </row>
    <row r="23" spans="1:5" ht="15">
      <c r="A23" s="434">
        <v>9</v>
      </c>
      <c r="B23" s="400" t="s">
        <v>736</v>
      </c>
      <c r="C23" s="658">
        <f>SUM(C24:C25)</f>
        <v>6782728.7300000004</v>
      </c>
      <c r="D23" s="659"/>
      <c r="E23" s="7"/>
    </row>
    <row r="24" spans="1:5" ht="15">
      <c r="A24" s="434">
        <v>9.1</v>
      </c>
      <c r="B24" s="404" t="s">
        <v>737</v>
      </c>
      <c r="C24" s="652">
        <f>'7. LI1'!C26</f>
        <v>6782728.7300000004</v>
      </c>
      <c r="D24" s="660"/>
      <c r="E24" s="7"/>
    </row>
    <row r="25" spans="1:5" ht="15">
      <c r="A25" s="434">
        <v>9.1999999999999993</v>
      </c>
      <c r="B25" s="404" t="s">
        <v>738</v>
      </c>
      <c r="C25" s="652">
        <f>'7. LI1'!C27</f>
        <v>0</v>
      </c>
      <c r="D25" s="661"/>
      <c r="E25" s="6"/>
    </row>
    <row r="26" spans="1:5">
      <c r="A26" s="434">
        <v>10</v>
      </c>
      <c r="B26" s="400" t="s">
        <v>36</v>
      </c>
      <c r="C26" s="662">
        <f>SUM(C27:C28)</f>
        <v>2727053.4502263302</v>
      </c>
      <c r="D26" s="663" t="s">
        <v>973</v>
      </c>
      <c r="E26" s="7"/>
    </row>
    <row r="27" spans="1:5" ht="15">
      <c r="A27" s="434">
        <v>10.1</v>
      </c>
      <c r="B27" s="404" t="s">
        <v>739</v>
      </c>
      <c r="C27" s="652">
        <f>'7. LI1'!C29</f>
        <v>0</v>
      </c>
      <c r="D27" s="653"/>
      <c r="E27" s="7"/>
    </row>
    <row r="28" spans="1:5" ht="15">
      <c r="A28" s="434">
        <v>10.199999999999999</v>
      </c>
      <c r="B28" s="404" t="s">
        <v>740</v>
      </c>
      <c r="C28" s="652">
        <f>'7. LI1'!C30</f>
        <v>2727053.4502263302</v>
      </c>
      <c r="D28" s="653"/>
      <c r="E28" s="7"/>
    </row>
    <row r="29" spans="1:5" ht="15">
      <c r="A29" s="434">
        <v>11</v>
      </c>
      <c r="B29" s="400" t="s">
        <v>741</v>
      </c>
      <c r="C29" s="655">
        <f>SUM(C30:C31)</f>
        <v>6617042.8200000003</v>
      </c>
      <c r="D29" s="653"/>
      <c r="E29" s="7"/>
    </row>
    <row r="30" spans="1:5" ht="15">
      <c r="A30" s="434">
        <v>11.1</v>
      </c>
      <c r="B30" s="404" t="s">
        <v>742</v>
      </c>
      <c r="C30" s="652">
        <f>'7. LI1'!C32</f>
        <v>6617042.8200000003</v>
      </c>
      <c r="D30" s="653"/>
      <c r="E30" s="7"/>
    </row>
    <row r="31" spans="1:5" ht="15">
      <c r="A31" s="434">
        <v>11.2</v>
      </c>
      <c r="B31" s="404" t="s">
        <v>743</v>
      </c>
      <c r="C31" s="652">
        <f>'7. LI1'!C33</f>
        <v>0</v>
      </c>
      <c r="D31" s="653"/>
      <c r="E31" s="7"/>
    </row>
    <row r="32" spans="1:5" ht="15">
      <c r="A32" s="434">
        <v>13</v>
      </c>
      <c r="B32" s="400" t="s">
        <v>99</v>
      </c>
      <c r="C32" s="652">
        <f>'7. LI1'!C34</f>
        <v>6008004.7179079996</v>
      </c>
      <c r="D32" s="653"/>
      <c r="E32" s="7"/>
    </row>
    <row r="33" spans="1:5" ht="15">
      <c r="A33" s="434">
        <v>13.1</v>
      </c>
      <c r="B33" s="405" t="s">
        <v>744</v>
      </c>
      <c r="C33" s="652">
        <f>'7. LI1'!C35</f>
        <v>1349093.18</v>
      </c>
      <c r="D33" s="653"/>
      <c r="E33" s="7"/>
    </row>
    <row r="34" spans="1:5" ht="15">
      <c r="A34" s="434">
        <v>13.2</v>
      </c>
      <c r="B34" s="405" t="s">
        <v>745</v>
      </c>
      <c r="C34" s="652">
        <f>'7. LI1'!C36</f>
        <v>0</v>
      </c>
      <c r="D34" s="664"/>
      <c r="E34" s="7"/>
    </row>
    <row r="35" spans="1:5" ht="15">
      <c r="A35" s="434">
        <v>14</v>
      </c>
      <c r="B35" s="406" t="s">
        <v>746</v>
      </c>
      <c r="C35" s="665">
        <f>SUM(C6,C10,C12,C13,C14,C18,C21,C22,C23,C26,C29,C32)</f>
        <v>489946874.57204652</v>
      </c>
      <c r="D35" s="664"/>
      <c r="E35" s="7"/>
    </row>
    <row r="36" spans="1:5" ht="15">
      <c r="A36" s="434"/>
      <c r="B36" s="407" t="s">
        <v>104</v>
      </c>
      <c r="C36" s="666"/>
      <c r="D36" s="667"/>
      <c r="E36" s="7"/>
    </row>
    <row r="37" spans="1:5" ht="15">
      <c r="A37" s="434">
        <v>15</v>
      </c>
      <c r="B37" s="408" t="s">
        <v>747</v>
      </c>
      <c r="C37" s="668">
        <f>C38</f>
        <v>0</v>
      </c>
      <c r="D37" s="661"/>
      <c r="E37" s="6"/>
    </row>
    <row r="38" spans="1:5" ht="15">
      <c r="A38" s="434">
        <v>15.1</v>
      </c>
      <c r="B38" s="409" t="s">
        <v>727</v>
      </c>
      <c r="C38" s="669">
        <f>'2. SOFP'!E39</f>
        <v>0</v>
      </c>
      <c r="D38" s="653"/>
      <c r="E38" s="7"/>
    </row>
    <row r="39" spans="1:5" ht="21">
      <c r="A39" s="434">
        <v>16</v>
      </c>
      <c r="B39" s="402" t="s">
        <v>748</v>
      </c>
      <c r="C39" s="669">
        <f>'2. SOFP'!E40</f>
        <v>0</v>
      </c>
      <c r="D39" s="653"/>
      <c r="E39" s="7"/>
    </row>
    <row r="40" spans="1:5" ht="15">
      <c r="A40" s="434">
        <v>17</v>
      </c>
      <c r="B40" s="402" t="s">
        <v>749</v>
      </c>
      <c r="C40" s="655">
        <f>SUM(C41:C44)</f>
        <v>333900119.52815598</v>
      </c>
      <c r="D40" s="653"/>
      <c r="E40" s="7"/>
    </row>
    <row r="41" spans="1:5" ht="15">
      <c r="A41" s="434">
        <v>17.100000000000001</v>
      </c>
      <c r="B41" s="410" t="s">
        <v>750</v>
      </c>
      <c r="C41" s="669">
        <f>'2. SOFP'!E42</f>
        <v>230726274.46088099</v>
      </c>
      <c r="D41" s="653"/>
      <c r="E41" s="7"/>
    </row>
    <row r="42" spans="1:5" ht="15">
      <c r="A42" s="439">
        <v>17.2</v>
      </c>
      <c r="B42" s="440" t="s">
        <v>100</v>
      </c>
      <c r="C42" s="669">
        <f>'2. SOFP'!E43</f>
        <v>98834127.610918984</v>
      </c>
      <c r="D42" s="653"/>
      <c r="E42" s="7"/>
    </row>
    <row r="43" spans="1:5" ht="15">
      <c r="A43" s="434">
        <v>17.3</v>
      </c>
      <c r="B43" s="441" t="s">
        <v>751</v>
      </c>
      <c r="C43" s="669">
        <f>'2. SOFP'!E44</f>
        <v>0</v>
      </c>
      <c r="D43" s="664"/>
      <c r="E43" s="7"/>
    </row>
    <row r="44" spans="1:5" ht="15">
      <c r="A44" s="434">
        <v>17.399999999999999</v>
      </c>
      <c r="B44" s="441" t="s">
        <v>752</v>
      </c>
      <c r="C44" s="669">
        <f>'2. SOFP'!E45</f>
        <v>4339717.4563560002</v>
      </c>
      <c r="D44" s="671"/>
      <c r="E44" s="7"/>
    </row>
    <row r="45" spans="1:5" ht="15">
      <c r="A45" s="434">
        <v>18</v>
      </c>
      <c r="B45" s="442" t="s">
        <v>753</v>
      </c>
      <c r="C45" s="669">
        <f>'2. SOFP'!E46</f>
        <v>414173.16731168155</v>
      </c>
      <c r="D45" s="672"/>
      <c r="E45" s="6"/>
    </row>
    <row r="46" spans="1:5" ht="15">
      <c r="A46" s="434">
        <v>19</v>
      </c>
      <c r="B46" s="442" t="s">
        <v>754</v>
      </c>
      <c r="C46" s="670">
        <f>SUM(C47:C48)</f>
        <v>2794477.0510511133</v>
      </c>
      <c r="D46" s="673"/>
    </row>
    <row r="47" spans="1:5" ht="15">
      <c r="A47" s="434">
        <v>19.100000000000001</v>
      </c>
      <c r="B47" s="443" t="s">
        <v>755</v>
      </c>
      <c r="C47" s="669">
        <f>'2. SOFP'!E48</f>
        <v>2794477.0510511133</v>
      </c>
      <c r="D47" s="673"/>
    </row>
    <row r="48" spans="1:5" ht="15">
      <c r="A48" s="434">
        <v>19.2</v>
      </c>
      <c r="B48" s="443" t="s">
        <v>756</v>
      </c>
      <c r="C48" s="669">
        <f>'2. SOFP'!E49</f>
        <v>0</v>
      </c>
      <c r="D48" s="673"/>
    </row>
    <row r="49" spans="1:4" ht="15">
      <c r="A49" s="434">
        <v>20</v>
      </c>
      <c r="B49" s="415" t="s">
        <v>101</v>
      </c>
      <c r="C49" s="669">
        <f>'2. SOFP'!E50</f>
        <v>0</v>
      </c>
      <c r="D49" s="673"/>
    </row>
    <row r="50" spans="1:4" ht="15">
      <c r="A50" s="434">
        <v>21</v>
      </c>
      <c r="B50" s="416" t="s">
        <v>89</v>
      </c>
      <c r="C50" s="669">
        <f>'2. SOFP'!E51</f>
        <v>6812314.6439900659</v>
      </c>
      <c r="D50" s="673"/>
    </row>
    <row r="51" spans="1:4" ht="15">
      <c r="A51" s="434">
        <v>21.1</v>
      </c>
      <c r="B51" s="411" t="s">
        <v>757</v>
      </c>
      <c r="C51" s="669">
        <f>'2. SOFP'!E52</f>
        <v>0</v>
      </c>
      <c r="D51" s="673"/>
    </row>
    <row r="52" spans="1:4" ht="15">
      <c r="A52" s="434">
        <v>22</v>
      </c>
      <c r="B52" s="415" t="s">
        <v>758</v>
      </c>
      <c r="C52" s="665">
        <f>SUM(C37,C39,C40,C45,C46,C49,C50)</f>
        <v>343921084.39050883</v>
      </c>
      <c r="D52" s="673"/>
    </row>
    <row r="53" spans="1:4" ht="15">
      <c r="A53" s="434"/>
      <c r="B53" s="417" t="s">
        <v>759</v>
      </c>
      <c r="C53" s="674"/>
      <c r="D53" s="673"/>
    </row>
    <row r="54" spans="1:4">
      <c r="A54" s="434">
        <v>23</v>
      </c>
      <c r="B54" s="415" t="s">
        <v>105</v>
      </c>
      <c r="C54" s="669">
        <f>'2. SOFP'!E55</f>
        <v>69161600</v>
      </c>
      <c r="D54" s="663" t="s">
        <v>974</v>
      </c>
    </row>
    <row r="55" spans="1:4" ht="15">
      <c r="A55" s="434">
        <v>24</v>
      </c>
      <c r="B55" s="415" t="s">
        <v>760</v>
      </c>
      <c r="C55" s="669">
        <f>'2. SOFP'!E56</f>
        <v>0</v>
      </c>
      <c r="D55" s="673"/>
    </row>
    <row r="56" spans="1:4" ht="15">
      <c r="A56" s="434">
        <v>25</v>
      </c>
      <c r="B56" s="418" t="s">
        <v>102</v>
      </c>
      <c r="C56" s="669">
        <f>'2. SOFP'!E57</f>
        <v>0</v>
      </c>
      <c r="D56" s="673"/>
    </row>
    <row r="57" spans="1:4" ht="15">
      <c r="A57" s="434">
        <v>26</v>
      </c>
      <c r="B57" s="442" t="s">
        <v>761</v>
      </c>
      <c r="C57" s="669">
        <f>'2. SOFP'!E58</f>
        <v>0</v>
      </c>
      <c r="D57" s="673"/>
    </row>
    <row r="58" spans="1:4" ht="15">
      <c r="A58" s="434">
        <v>27</v>
      </c>
      <c r="B58" s="442" t="s">
        <v>762</v>
      </c>
      <c r="C58" s="675">
        <f>SUM(C59:C60)</f>
        <v>0</v>
      </c>
      <c r="D58" s="673"/>
    </row>
    <row r="59" spans="1:4" ht="15">
      <c r="A59" s="434">
        <v>27.1</v>
      </c>
      <c r="B59" s="444" t="s">
        <v>763</v>
      </c>
      <c r="C59" s="669">
        <f>'2. SOFP'!E60</f>
        <v>0</v>
      </c>
      <c r="D59" s="673"/>
    </row>
    <row r="60" spans="1:4" ht="15">
      <c r="A60" s="434">
        <v>27.2</v>
      </c>
      <c r="B60" s="441" t="s">
        <v>764</v>
      </c>
      <c r="C60" s="669">
        <f>'2. SOFP'!E61</f>
        <v>0</v>
      </c>
      <c r="D60" s="673"/>
    </row>
    <row r="61" spans="1:4" ht="15">
      <c r="A61" s="434">
        <v>28</v>
      </c>
      <c r="B61" s="416" t="s">
        <v>765</v>
      </c>
      <c r="C61" s="669">
        <f>'2. SOFP'!E62</f>
        <v>0</v>
      </c>
      <c r="D61" s="673"/>
    </row>
    <row r="62" spans="1:4" ht="15">
      <c r="A62" s="434">
        <v>29</v>
      </c>
      <c r="B62" s="442" t="s">
        <v>766</v>
      </c>
      <c r="C62" s="675">
        <f>SUM(C63:C65)</f>
        <v>0</v>
      </c>
      <c r="D62" s="673"/>
    </row>
    <row r="63" spans="1:4" ht="15">
      <c r="A63" s="434">
        <v>29.1</v>
      </c>
      <c r="B63" s="445" t="s">
        <v>767</v>
      </c>
      <c r="C63" s="669">
        <f>'2. SOFP'!E64</f>
        <v>0</v>
      </c>
      <c r="D63" s="673"/>
    </row>
    <row r="64" spans="1:4" ht="24" customHeight="1">
      <c r="A64" s="434">
        <v>29.2</v>
      </c>
      <c r="B64" s="444" t="s">
        <v>768</v>
      </c>
      <c r="C64" s="669">
        <f>'2. SOFP'!E65</f>
        <v>0</v>
      </c>
      <c r="D64" s="673"/>
    </row>
    <row r="65" spans="1:4" ht="21.95" customHeight="1">
      <c r="A65" s="434">
        <v>29.3</v>
      </c>
      <c r="B65" s="446" t="s">
        <v>769</v>
      </c>
      <c r="C65" s="669">
        <f>'2. SOFP'!E66</f>
        <v>0</v>
      </c>
      <c r="D65" s="673"/>
    </row>
    <row r="66" spans="1:4">
      <c r="A66" s="434">
        <v>30</v>
      </c>
      <c r="B66" s="421" t="s">
        <v>103</v>
      </c>
      <c r="C66" s="669">
        <f>'2. SOFP'!E67</f>
        <v>76864190.181537807</v>
      </c>
      <c r="D66" s="663" t="s">
        <v>975</v>
      </c>
    </row>
    <row r="67" spans="1:4" ht="15">
      <c r="A67" s="434">
        <v>31</v>
      </c>
      <c r="B67" s="420" t="s">
        <v>770</v>
      </c>
      <c r="C67" s="665">
        <f>SUM(C54,C55,C56,C57,C58,C61,C62,C66)</f>
        <v>146025790.18153781</v>
      </c>
      <c r="D67" s="673"/>
    </row>
    <row r="68" spans="1:4" thickBot="1">
      <c r="A68" s="434">
        <v>32</v>
      </c>
      <c r="B68" s="421" t="s">
        <v>771</v>
      </c>
      <c r="C68" s="676">
        <f>SUM(C52,C67)</f>
        <v>489946874.57204664</v>
      </c>
      <c r="D68" s="67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C8" activePane="bottomRight" state="frozen"/>
      <selection pane="topRight" activeCell="C1" sqref="C1"/>
      <selection pane="bottomLeft" activeCell="A8" sqref="A8"/>
      <selection pane="bottomRight" activeCell="B4" sqref="B4"/>
    </sheetView>
  </sheetViews>
  <sheetFormatPr defaultColWidth="9.140625" defaultRowHeight="12.75"/>
  <cols>
    <col min="1" max="1" width="10.5703125" style="2" bestFit="1" customWidth="1"/>
    <col min="2" max="2" width="97" style="2" bestFit="1" customWidth="1"/>
    <col min="3" max="3" width="12.85546875" style="2" bestFit="1" customWidth="1"/>
    <col min="4" max="4" width="13.42578125" style="2" bestFit="1" customWidth="1"/>
    <col min="5" max="5" width="12.85546875" style="2" bestFit="1" customWidth="1"/>
    <col min="6" max="6" width="13.42578125" style="2" bestFit="1" customWidth="1"/>
    <col min="7" max="7" width="9.5703125" style="2" bestFit="1" customWidth="1"/>
    <col min="8" max="8" width="13.42578125" style="2" bestFit="1" customWidth="1"/>
    <col min="9" max="9" width="14" style="2" bestFit="1" customWidth="1"/>
    <col min="10" max="10" width="13.42578125" style="2" bestFit="1" customWidth="1"/>
    <col min="11" max="11" width="9.5703125" style="2" bestFit="1" customWidth="1"/>
    <col min="12" max="12" width="13.42578125" style="2" bestFit="1" customWidth="1"/>
    <col min="13" max="13" width="15" style="2" bestFit="1" customWidth="1"/>
    <col min="14" max="14" width="14" style="2" bestFit="1" customWidth="1"/>
    <col min="15" max="15" width="9.5703125" style="2" bestFit="1" customWidth="1"/>
    <col min="16" max="16" width="13.42578125" style="2" bestFit="1" customWidth="1"/>
    <col min="17" max="17" width="9.5703125" style="2" bestFit="1" customWidth="1"/>
    <col min="18" max="18" width="13.42578125" style="2" bestFit="1" customWidth="1"/>
    <col min="19" max="19" width="31.7109375" style="2" bestFit="1" customWidth="1"/>
    <col min="20" max="16384" width="9.140625" style="12"/>
  </cols>
  <sheetData>
    <row r="1" spans="1:19">
      <c r="A1" s="2" t="s">
        <v>108</v>
      </c>
      <c r="B1" s="603" t="str">
        <f>'1. key ratios'!B1</f>
        <v>სს იშბანკი საქართველო</v>
      </c>
    </row>
    <row r="2" spans="1:19">
      <c r="A2" s="2" t="s">
        <v>109</v>
      </c>
      <c r="B2" s="604">
        <f>'1. key ratios'!B2</f>
        <v>45657</v>
      </c>
    </row>
    <row r="4" spans="1:19" ht="26.25" thickBot="1">
      <c r="A4" s="38" t="s">
        <v>259</v>
      </c>
      <c r="B4" s="192" t="s">
        <v>294</v>
      </c>
    </row>
    <row r="5" spans="1:19">
      <c r="A5" s="85"/>
      <c r="B5" s="87"/>
      <c r="C5" s="79" t="s">
        <v>0</v>
      </c>
      <c r="D5" s="79" t="s">
        <v>1</v>
      </c>
      <c r="E5" s="79" t="s">
        <v>2</v>
      </c>
      <c r="F5" s="79" t="s">
        <v>3</v>
      </c>
      <c r="G5" s="79" t="s">
        <v>4</v>
      </c>
      <c r="H5" s="79" t="s">
        <v>5</v>
      </c>
      <c r="I5" s="79" t="s">
        <v>145</v>
      </c>
      <c r="J5" s="79" t="s">
        <v>146</v>
      </c>
      <c r="K5" s="79" t="s">
        <v>147</v>
      </c>
      <c r="L5" s="79" t="s">
        <v>148</v>
      </c>
      <c r="M5" s="79" t="s">
        <v>149</v>
      </c>
      <c r="N5" s="79" t="s">
        <v>150</v>
      </c>
      <c r="O5" s="79" t="s">
        <v>281</v>
      </c>
      <c r="P5" s="79" t="s">
        <v>282</v>
      </c>
      <c r="Q5" s="79" t="s">
        <v>283</v>
      </c>
      <c r="R5" s="187" t="s">
        <v>284</v>
      </c>
      <c r="S5" s="80" t="s">
        <v>285</v>
      </c>
    </row>
    <row r="6" spans="1:19" ht="46.5" customHeight="1">
      <c r="A6" s="99"/>
      <c r="B6" s="896" t="s">
        <v>286</v>
      </c>
      <c r="C6" s="894">
        <v>0</v>
      </c>
      <c r="D6" s="895"/>
      <c r="E6" s="894">
        <v>0.2</v>
      </c>
      <c r="F6" s="895"/>
      <c r="G6" s="894">
        <v>0.35</v>
      </c>
      <c r="H6" s="895"/>
      <c r="I6" s="894">
        <v>0.5</v>
      </c>
      <c r="J6" s="895"/>
      <c r="K6" s="894">
        <v>0.75</v>
      </c>
      <c r="L6" s="895"/>
      <c r="M6" s="894">
        <v>1</v>
      </c>
      <c r="N6" s="895"/>
      <c r="O6" s="894">
        <v>1.5</v>
      </c>
      <c r="P6" s="895"/>
      <c r="Q6" s="894">
        <v>2.5</v>
      </c>
      <c r="R6" s="895"/>
      <c r="S6" s="892" t="s">
        <v>156</v>
      </c>
    </row>
    <row r="7" spans="1:19">
      <c r="A7" s="99"/>
      <c r="B7" s="897"/>
      <c r="C7" s="191" t="s">
        <v>279</v>
      </c>
      <c r="D7" s="191" t="s">
        <v>280</v>
      </c>
      <c r="E7" s="191" t="s">
        <v>279</v>
      </c>
      <c r="F7" s="191" t="s">
        <v>280</v>
      </c>
      <c r="G7" s="191" t="s">
        <v>279</v>
      </c>
      <c r="H7" s="191" t="s">
        <v>280</v>
      </c>
      <c r="I7" s="191" t="s">
        <v>279</v>
      </c>
      <c r="J7" s="191" t="s">
        <v>280</v>
      </c>
      <c r="K7" s="191" t="s">
        <v>279</v>
      </c>
      <c r="L7" s="191" t="s">
        <v>280</v>
      </c>
      <c r="M7" s="191" t="s">
        <v>279</v>
      </c>
      <c r="N7" s="191" t="s">
        <v>280</v>
      </c>
      <c r="O7" s="191" t="s">
        <v>279</v>
      </c>
      <c r="P7" s="191" t="s">
        <v>280</v>
      </c>
      <c r="Q7" s="191" t="s">
        <v>279</v>
      </c>
      <c r="R7" s="191" t="s">
        <v>280</v>
      </c>
      <c r="S7" s="893"/>
    </row>
    <row r="8" spans="1:19" s="102" customFormat="1">
      <c r="A8" s="83">
        <v>1</v>
      </c>
      <c r="B8" s="120" t="s">
        <v>134</v>
      </c>
      <c r="C8" s="679">
        <v>8189090.7944636233</v>
      </c>
      <c r="D8" s="679"/>
      <c r="E8" s="679"/>
      <c r="F8" s="679"/>
      <c r="G8" s="679"/>
      <c r="H8" s="679"/>
      <c r="I8" s="679"/>
      <c r="J8" s="679"/>
      <c r="K8" s="679"/>
      <c r="L8" s="679"/>
      <c r="M8" s="679">
        <v>41399528.187801927</v>
      </c>
      <c r="N8" s="679"/>
      <c r="O8" s="679"/>
      <c r="P8" s="679"/>
      <c r="Q8" s="679"/>
      <c r="R8" s="679"/>
      <c r="S8" s="680">
        <f>$C$6*SUM(C8:D8)+$E$6*SUM(E8:F8)+$G$6*SUM(G8:H8)+$I$6*SUM(I8:J8)+$K$6*SUM(K8:L8)+$M$6*SUM(M8:N8)+$O$6*SUM(O8:P8)+$Q$6*SUM(Q8:R8)</f>
        <v>41399528.187801927</v>
      </c>
    </row>
    <row r="9" spans="1:19" s="102" customFormat="1">
      <c r="A9" s="83">
        <v>2</v>
      </c>
      <c r="B9" s="120" t="s">
        <v>135</v>
      </c>
      <c r="C9" s="679"/>
      <c r="D9" s="679"/>
      <c r="E9" s="679"/>
      <c r="F9" s="679"/>
      <c r="G9" s="679"/>
      <c r="H9" s="679"/>
      <c r="I9" s="679"/>
      <c r="J9" s="679"/>
      <c r="K9" s="679"/>
      <c r="L9" s="679"/>
      <c r="M9" s="679"/>
      <c r="N9" s="679"/>
      <c r="O9" s="679"/>
      <c r="P9" s="679"/>
      <c r="Q9" s="679"/>
      <c r="R9" s="679"/>
      <c r="S9" s="680">
        <f t="shared" ref="S9:S21" si="0">$C$6*SUM(C9:D9)+$E$6*SUM(E9:F9)+$G$6*SUM(G9:H9)+$I$6*SUM(I9:J9)+$K$6*SUM(K9:L9)+$M$6*SUM(M9:N9)+$O$6*SUM(O9:P9)+$Q$6*SUM(Q9:R9)</f>
        <v>0</v>
      </c>
    </row>
    <row r="10" spans="1:19" s="102" customFormat="1">
      <c r="A10" s="83">
        <v>3</v>
      </c>
      <c r="B10" s="120" t="s">
        <v>136</v>
      </c>
      <c r="C10" s="679"/>
      <c r="D10" s="679"/>
      <c r="E10" s="679"/>
      <c r="F10" s="679"/>
      <c r="G10" s="679"/>
      <c r="H10" s="679"/>
      <c r="I10" s="679"/>
      <c r="J10" s="679"/>
      <c r="K10" s="679"/>
      <c r="L10" s="679"/>
      <c r="M10" s="679"/>
      <c r="N10" s="679"/>
      <c r="O10" s="679"/>
      <c r="P10" s="679"/>
      <c r="Q10" s="679"/>
      <c r="R10" s="679"/>
      <c r="S10" s="680">
        <f t="shared" si="0"/>
        <v>0</v>
      </c>
    </row>
    <row r="11" spans="1:19" s="102" customFormat="1">
      <c r="A11" s="83">
        <v>4</v>
      </c>
      <c r="B11" s="120" t="s">
        <v>137</v>
      </c>
      <c r="C11" s="679"/>
      <c r="D11" s="679"/>
      <c r="E11" s="679"/>
      <c r="F11" s="679"/>
      <c r="G11" s="679"/>
      <c r="H11" s="679"/>
      <c r="I11" s="679"/>
      <c r="J11" s="679"/>
      <c r="K11" s="679"/>
      <c r="L11" s="679"/>
      <c r="M11" s="679"/>
      <c r="N11" s="679"/>
      <c r="O11" s="679"/>
      <c r="P11" s="679"/>
      <c r="Q11" s="679"/>
      <c r="R11" s="679"/>
      <c r="S11" s="680">
        <f t="shared" si="0"/>
        <v>0</v>
      </c>
    </row>
    <row r="12" spans="1:19" s="102" customFormat="1">
      <c r="A12" s="83">
        <v>5</v>
      </c>
      <c r="B12" s="120" t="s">
        <v>942</v>
      </c>
      <c r="C12" s="679"/>
      <c r="D12" s="679"/>
      <c r="E12" s="679"/>
      <c r="F12" s="679"/>
      <c r="G12" s="679"/>
      <c r="H12" s="679"/>
      <c r="I12" s="679"/>
      <c r="J12" s="679"/>
      <c r="K12" s="679"/>
      <c r="L12" s="679"/>
      <c r="M12" s="679"/>
      <c r="N12" s="679"/>
      <c r="O12" s="679"/>
      <c r="P12" s="679"/>
      <c r="Q12" s="679"/>
      <c r="R12" s="679"/>
      <c r="S12" s="680">
        <f t="shared" si="0"/>
        <v>0</v>
      </c>
    </row>
    <row r="13" spans="1:19" s="102" customFormat="1">
      <c r="A13" s="83">
        <v>6</v>
      </c>
      <c r="B13" s="120" t="s">
        <v>138</v>
      </c>
      <c r="C13" s="679"/>
      <c r="D13" s="679"/>
      <c r="E13" s="679">
        <v>4252.2999217221413</v>
      </c>
      <c r="F13" s="679">
        <v>1417936.0788344056</v>
      </c>
      <c r="G13" s="679"/>
      <c r="H13" s="679"/>
      <c r="I13" s="679">
        <v>39574476.996430248</v>
      </c>
      <c r="J13" s="679">
        <v>22595541.061952904</v>
      </c>
      <c r="K13" s="679"/>
      <c r="L13" s="679"/>
      <c r="M13" s="679">
        <v>8602943.6311885715</v>
      </c>
      <c r="N13" s="679">
        <v>44987017.731433123</v>
      </c>
      <c r="O13" s="679"/>
      <c r="P13" s="679"/>
      <c r="Q13" s="679"/>
      <c r="R13" s="679"/>
      <c r="S13" s="680">
        <f t="shared" si="0"/>
        <v>84959408.067564487</v>
      </c>
    </row>
    <row r="14" spans="1:19" s="102" customFormat="1">
      <c r="A14" s="83">
        <v>7</v>
      </c>
      <c r="B14" s="120" t="s">
        <v>71</v>
      </c>
      <c r="C14" s="679"/>
      <c r="D14" s="679"/>
      <c r="E14" s="679"/>
      <c r="F14" s="679"/>
      <c r="G14" s="679"/>
      <c r="H14" s="679"/>
      <c r="I14" s="679"/>
      <c r="J14" s="679"/>
      <c r="K14" s="679"/>
      <c r="L14" s="679"/>
      <c r="M14" s="679">
        <v>363361941.60747164</v>
      </c>
      <c r="N14" s="679">
        <v>14629342.456183262</v>
      </c>
      <c r="O14" s="679"/>
      <c r="P14" s="679"/>
      <c r="Q14" s="679"/>
      <c r="R14" s="679"/>
      <c r="S14" s="680">
        <f t="shared" si="0"/>
        <v>377991284.0636549</v>
      </c>
    </row>
    <row r="15" spans="1:19" s="102" customFormat="1">
      <c r="A15" s="83">
        <v>8</v>
      </c>
      <c r="B15" s="120" t="s">
        <v>72</v>
      </c>
      <c r="C15" s="679"/>
      <c r="D15" s="679"/>
      <c r="E15" s="679"/>
      <c r="F15" s="679"/>
      <c r="G15" s="679"/>
      <c r="H15" s="679"/>
      <c r="I15" s="679"/>
      <c r="J15" s="679"/>
      <c r="K15" s="679"/>
      <c r="L15" s="679"/>
      <c r="M15" s="679"/>
      <c r="N15" s="679">
        <v>0</v>
      </c>
      <c r="O15" s="679"/>
      <c r="P15" s="679"/>
      <c r="Q15" s="679"/>
      <c r="R15" s="679"/>
      <c r="S15" s="680">
        <f t="shared" si="0"/>
        <v>0</v>
      </c>
    </row>
    <row r="16" spans="1:19" s="102" customFormat="1">
      <c r="A16" s="83">
        <v>9</v>
      </c>
      <c r="B16" s="120" t="s">
        <v>943</v>
      </c>
      <c r="C16" s="679"/>
      <c r="D16" s="679"/>
      <c r="E16" s="679"/>
      <c r="F16" s="679"/>
      <c r="G16" s="679"/>
      <c r="H16" s="679"/>
      <c r="I16" s="679"/>
      <c r="J16" s="679"/>
      <c r="K16" s="679"/>
      <c r="L16" s="679"/>
      <c r="M16" s="679"/>
      <c r="N16" s="679"/>
      <c r="O16" s="679"/>
      <c r="P16" s="679"/>
      <c r="Q16" s="679"/>
      <c r="R16" s="679"/>
      <c r="S16" s="680">
        <f t="shared" si="0"/>
        <v>0</v>
      </c>
    </row>
    <row r="17" spans="1:19" s="102" customFormat="1">
      <c r="A17" s="83">
        <v>10</v>
      </c>
      <c r="B17" s="120" t="s">
        <v>67</v>
      </c>
      <c r="C17" s="679"/>
      <c r="D17" s="679"/>
      <c r="E17" s="679"/>
      <c r="F17" s="679"/>
      <c r="G17" s="679"/>
      <c r="H17" s="679"/>
      <c r="I17" s="679"/>
      <c r="J17" s="679"/>
      <c r="K17" s="679"/>
      <c r="L17" s="679"/>
      <c r="M17" s="679">
        <v>14590.606700938077</v>
      </c>
      <c r="N17" s="679"/>
      <c r="O17" s="679"/>
      <c r="P17" s="679"/>
      <c r="Q17" s="679"/>
      <c r="R17" s="679"/>
      <c r="S17" s="680">
        <f t="shared" si="0"/>
        <v>14590.606700938077</v>
      </c>
    </row>
    <row r="18" spans="1:19" s="102" customFormat="1">
      <c r="A18" s="83">
        <v>11</v>
      </c>
      <c r="B18" s="120" t="s">
        <v>68</v>
      </c>
      <c r="C18" s="679"/>
      <c r="D18" s="679"/>
      <c r="E18" s="679"/>
      <c r="F18" s="679"/>
      <c r="G18" s="679"/>
      <c r="H18" s="679"/>
      <c r="I18" s="679"/>
      <c r="J18" s="679"/>
      <c r="K18" s="679"/>
      <c r="L18" s="679"/>
      <c r="M18" s="679"/>
      <c r="N18" s="679"/>
      <c r="O18" s="679"/>
      <c r="P18" s="679"/>
      <c r="Q18" s="679"/>
      <c r="R18" s="679"/>
      <c r="S18" s="680">
        <f t="shared" si="0"/>
        <v>0</v>
      </c>
    </row>
    <row r="19" spans="1:19" s="102" customFormat="1">
      <c r="A19" s="83">
        <v>12</v>
      </c>
      <c r="B19" s="120" t="s">
        <v>69</v>
      </c>
      <c r="C19" s="679"/>
      <c r="D19" s="679"/>
      <c r="E19" s="679"/>
      <c r="F19" s="679"/>
      <c r="G19" s="679"/>
      <c r="H19" s="679"/>
      <c r="I19" s="679"/>
      <c r="J19" s="679"/>
      <c r="K19" s="679"/>
      <c r="L19" s="679"/>
      <c r="M19" s="679"/>
      <c r="N19" s="679"/>
      <c r="O19" s="679"/>
      <c r="P19" s="679"/>
      <c r="Q19" s="679"/>
      <c r="R19" s="679"/>
      <c r="S19" s="680">
        <f t="shared" si="0"/>
        <v>0</v>
      </c>
    </row>
    <row r="20" spans="1:19" s="102" customFormat="1">
      <c r="A20" s="83">
        <v>13</v>
      </c>
      <c r="B20" s="120" t="s">
        <v>70</v>
      </c>
      <c r="C20" s="679"/>
      <c r="D20" s="679"/>
      <c r="E20" s="679"/>
      <c r="F20" s="679"/>
      <c r="G20" s="679"/>
      <c r="H20" s="679"/>
      <c r="I20" s="679"/>
      <c r="J20" s="679"/>
      <c r="K20" s="679"/>
      <c r="L20" s="679"/>
      <c r="M20" s="679"/>
      <c r="N20" s="679"/>
      <c r="O20" s="679"/>
      <c r="P20" s="679"/>
      <c r="Q20" s="679"/>
      <c r="R20" s="679"/>
      <c r="S20" s="680">
        <f t="shared" si="0"/>
        <v>0</v>
      </c>
    </row>
    <row r="21" spans="1:19" s="102" customFormat="1">
      <c r="A21" s="83">
        <v>14</v>
      </c>
      <c r="B21" s="120" t="s">
        <v>154</v>
      </c>
      <c r="C21" s="679">
        <v>1711926.8074999999</v>
      </c>
      <c r="D21" s="679"/>
      <c r="E21" s="679"/>
      <c r="F21" s="679"/>
      <c r="G21" s="679"/>
      <c r="H21" s="679"/>
      <c r="I21" s="679"/>
      <c r="J21" s="679"/>
      <c r="K21" s="679"/>
      <c r="L21" s="679"/>
      <c r="M21" s="679">
        <v>24361070.190341543</v>
      </c>
      <c r="N21" s="679"/>
      <c r="O21" s="679"/>
      <c r="P21" s="679"/>
      <c r="Q21" s="679"/>
      <c r="R21" s="679"/>
      <c r="S21" s="680">
        <f t="shared" si="0"/>
        <v>24361070.190341543</v>
      </c>
    </row>
    <row r="22" spans="1:19" ht="13.5" thickBot="1">
      <c r="A22" s="65"/>
      <c r="B22" s="104" t="s">
        <v>66</v>
      </c>
      <c r="C22" s="681">
        <f>SUM(C8:C21)</f>
        <v>9901017.6019636225</v>
      </c>
      <c r="D22" s="681">
        <f t="shared" ref="D22:S22" si="1">SUM(D8:D21)</f>
        <v>0</v>
      </c>
      <c r="E22" s="681">
        <f t="shared" si="1"/>
        <v>4252.2999217221413</v>
      </c>
      <c r="F22" s="681">
        <f t="shared" si="1"/>
        <v>1417936.0788344056</v>
      </c>
      <c r="G22" s="681">
        <f t="shared" si="1"/>
        <v>0</v>
      </c>
      <c r="H22" s="681">
        <f t="shared" si="1"/>
        <v>0</v>
      </c>
      <c r="I22" s="681">
        <f t="shared" si="1"/>
        <v>39574476.996430248</v>
      </c>
      <c r="J22" s="681">
        <f t="shared" si="1"/>
        <v>22595541.061952904</v>
      </c>
      <c r="K22" s="681">
        <f t="shared" si="1"/>
        <v>0</v>
      </c>
      <c r="L22" s="681">
        <f t="shared" si="1"/>
        <v>0</v>
      </c>
      <c r="M22" s="681">
        <f t="shared" si="1"/>
        <v>437740074.22350466</v>
      </c>
      <c r="N22" s="681">
        <f t="shared" si="1"/>
        <v>59616360.187616386</v>
      </c>
      <c r="O22" s="681">
        <f t="shared" si="1"/>
        <v>0</v>
      </c>
      <c r="P22" s="681">
        <f t="shared" si="1"/>
        <v>0</v>
      </c>
      <c r="Q22" s="681">
        <f t="shared" si="1"/>
        <v>0</v>
      </c>
      <c r="R22" s="681">
        <f t="shared" si="1"/>
        <v>0</v>
      </c>
      <c r="S22" s="682">
        <f t="shared" si="1"/>
        <v>528725881.11606383</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108</v>
      </c>
      <c r="B1" s="603" t="str">
        <f>'1. key ratios'!B1</f>
        <v>სს იშბანკი საქართველო</v>
      </c>
    </row>
    <row r="2" spans="1:22">
      <c r="A2" s="2" t="s">
        <v>109</v>
      </c>
      <c r="B2" s="604">
        <f>'1. key ratios'!B2</f>
        <v>45657</v>
      </c>
    </row>
    <row r="4" spans="1:22" ht="27.75" thickBot="1">
      <c r="A4" s="2" t="s">
        <v>260</v>
      </c>
      <c r="B4" s="193" t="s">
        <v>295</v>
      </c>
      <c r="V4" s="146" t="s">
        <v>87</v>
      </c>
    </row>
    <row r="5" spans="1:22">
      <c r="A5" s="63"/>
      <c r="B5" s="64"/>
      <c r="C5" s="898" t="s">
        <v>116</v>
      </c>
      <c r="D5" s="899"/>
      <c r="E5" s="899"/>
      <c r="F5" s="899"/>
      <c r="G5" s="899"/>
      <c r="H5" s="899"/>
      <c r="I5" s="899"/>
      <c r="J5" s="899"/>
      <c r="K5" s="899"/>
      <c r="L5" s="900"/>
      <c r="M5" s="898" t="s">
        <v>117</v>
      </c>
      <c r="N5" s="899"/>
      <c r="O5" s="899"/>
      <c r="P5" s="899"/>
      <c r="Q5" s="899"/>
      <c r="R5" s="899"/>
      <c r="S5" s="900"/>
      <c r="T5" s="903" t="s">
        <v>293</v>
      </c>
      <c r="U5" s="903" t="s">
        <v>292</v>
      </c>
      <c r="V5" s="901" t="s">
        <v>118</v>
      </c>
    </row>
    <row r="6" spans="1:22" s="38" customFormat="1" ht="127.5">
      <c r="A6" s="81"/>
      <c r="B6" s="122"/>
      <c r="C6" s="61" t="s">
        <v>119</v>
      </c>
      <c r="D6" s="60" t="s">
        <v>120</v>
      </c>
      <c r="E6" s="57" t="s">
        <v>121</v>
      </c>
      <c r="F6" s="194" t="s">
        <v>287</v>
      </c>
      <c r="G6" s="60" t="s">
        <v>122</v>
      </c>
      <c r="H6" s="60" t="s">
        <v>123</v>
      </c>
      <c r="I6" s="60" t="s">
        <v>124</v>
      </c>
      <c r="J6" s="60" t="s">
        <v>153</v>
      </c>
      <c r="K6" s="60" t="s">
        <v>125</v>
      </c>
      <c r="L6" s="62" t="s">
        <v>126</v>
      </c>
      <c r="M6" s="61" t="s">
        <v>127</v>
      </c>
      <c r="N6" s="60" t="s">
        <v>128</v>
      </c>
      <c r="O6" s="60" t="s">
        <v>129</v>
      </c>
      <c r="P6" s="60" t="s">
        <v>130</v>
      </c>
      <c r="Q6" s="60" t="s">
        <v>131</v>
      </c>
      <c r="R6" s="60" t="s">
        <v>132</v>
      </c>
      <c r="S6" s="62" t="s">
        <v>133</v>
      </c>
      <c r="T6" s="904"/>
      <c r="U6" s="904"/>
      <c r="V6" s="902"/>
    </row>
    <row r="7" spans="1:22" s="102" customFormat="1">
      <c r="A7" s="103">
        <v>1</v>
      </c>
      <c r="B7" s="120" t="s">
        <v>134</v>
      </c>
      <c r="C7" s="683"/>
      <c r="D7" s="678"/>
      <c r="E7" s="678"/>
      <c r="F7" s="678"/>
      <c r="G7" s="678"/>
      <c r="H7" s="678"/>
      <c r="I7" s="678"/>
      <c r="J7" s="678"/>
      <c r="K7" s="678"/>
      <c r="L7" s="684"/>
      <c r="M7" s="683"/>
      <c r="N7" s="678"/>
      <c r="O7" s="678"/>
      <c r="P7" s="678"/>
      <c r="Q7" s="678"/>
      <c r="R7" s="678"/>
      <c r="S7" s="684"/>
      <c r="T7" s="685"/>
      <c r="U7" s="685"/>
      <c r="V7" s="686">
        <f>SUM(C7:S7)</f>
        <v>0</v>
      </c>
    </row>
    <row r="8" spans="1:22" s="102" customFormat="1">
      <c r="A8" s="103">
        <v>2</v>
      </c>
      <c r="B8" s="120" t="s">
        <v>135</v>
      </c>
      <c r="C8" s="683"/>
      <c r="D8" s="678"/>
      <c r="E8" s="678"/>
      <c r="F8" s="678"/>
      <c r="G8" s="678"/>
      <c r="H8" s="678"/>
      <c r="I8" s="678"/>
      <c r="J8" s="678"/>
      <c r="K8" s="678"/>
      <c r="L8" s="684"/>
      <c r="M8" s="683"/>
      <c r="N8" s="678"/>
      <c r="O8" s="678"/>
      <c r="P8" s="678"/>
      <c r="Q8" s="678"/>
      <c r="R8" s="678"/>
      <c r="S8" s="684"/>
      <c r="T8" s="685"/>
      <c r="U8" s="685"/>
      <c r="V8" s="686">
        <f t="shared" ref="V8:V20" si="0">SUM(C8:S8)</f>
        <v>0</v>
      </c>
    </row>
    <row r="9" spans="1:22" s="102" customFormat="1">
      <c r="A9" s="103">
        <v>3</v>
      </c>
      <c r="B9" s="120" t="s">
        <v>136</v>
      </c>
      <c r="C9" s="683"/>
      <c r="D9" s="678"/>
      <c r="E9" s="678"/>
      <c r="F9" s="678"/>
      <c r="G9" s="678"/>
      <c r="H9" s="678"/>
      <c r="I9" s="678"/>
      <c r="J9" s="678"/>
      <c r="K9" s="678"/>
      <c r="L9" s="684"/>
      <c r="M9" s="683"/>
      <c r="N9" s="678"/>
      <c r="O9" s="678"/>
      <c r="P9" s="678"/>
      <c r="Q9" s="678"/>
      <c r="R9" s="678"/>
      <c r="S9" s="684"/>
      <c r="T9" s="685"/>
      <c r="U9" s="685"/>
      <c r="V9" s="686">
        <f>SUM(C9:S9)</f>
        <v>0</v>
      </c>
    </row>
    <row r="10" spans="1:22" s="102" customFormat="1">
      <c r="A10" s="103">
        <v>4</v>
      </c>
      <c r="B10" s="120" t="s">
        <v>137</v>
      </c>
      <c r="C10" s="683"/>
      <c r="D10" s="678"/>
      <c r="E10" s="678"/>
      <c r="F10" s="678"/>
      <c r="G10" s="678"/>
      <c r="H10" s="678"/>
      <c r="I10" s="678"/>
      <c r="J10" s="678"/>
      <c r="K10" s="678"/>
      <c r="L10" s="684"/>
      <c r="M10" s="683"/>
      <c r="N10" s="678"/>
      <c r="O10" s="678"/>
      <c r="P10" s="678"/>
      <c r="Q10" s="678"/>
      <c r="R10" s="678"/>
      <c r="S10" s="684"/>
      <c r="T10" s="685"/>
      <c r="U10" s="685"/>
      <c r="V10" s="686">
        <f t="shared" si="0"/>
        <v>0</v>
      </c>
    </row>
    <row r="11" spans="1:22" s="102" customFormat="1">
      <c r="A11" s="103">
        <v>5</v>
      </c>
      <c r="B11" s="120" t="s">
        <v>942</v>
      </c>
      <c r="C11" s="683"/>
      <c r="D11" s="678"/>
      <c r="E11" s="678"/>
      <c r="F11" s="678"/>
      <c r="G11" s="678"/>
      <c r="H11" s="678"/>
      <c r="I11" s="678"/>
      <c r="J11" s="678"/>
      <c r="K11" s="678"/>
      <c r="L11" s="684"/>
      <c r="M11" s="683"/>
      <c r="N11" s="678"/>
      <c r="O11" s="678"/>
      <c r="P11" s="678"/>
      <c r="Q11" s="678"/>
      <c r="R11" s="678"/>
      <c r="S11" s="684"/>
      <c r="T11" s="685"/>
      <c r="U11" s="685"/>
      <c r="V11" s="686">
        <f t="shared" si="0"/>
        <v>0</v>
      </c>
    </row>
    <row r="12" spans="1:22" s="102" customFormat="1">
      <c r="A12" s="103">
        <v>6</v>
      </c>
      <c r="B12" s="120" t="s">
        <v>138</v>
      </c>
      <c r="C12" s="683"/>
      <c r="D12" s="678"/>
      <c r="E12" s="678"/>
      <c r="F12" s="678"/>
      <c r="G12" s="678"/>
      <c r="H12" s="678"/>
      <c r="I12" s="678"/>
      <c r="J12" s="678"/>
      <c r="K12" s="678"/>
      <c r="L12" s="684"/>
      <c r="M12" s="683"/>
      <c r="N12" s="678"/>
      <c r="O12" s="678"/>
      <c r="P12" s="678"/>
      <c r="Q12" s="678"/>
      <c r="R12" s="678"/>
      <c r="S12" s="684"/>
      <c r="T12" s="685"/>
      <c r="U12" s="685"/>
      <c r="V12" s="686">
        <f t="shared" si="0"/>
        <v>0</v>
      </c>
    </row>
    <row r="13" spans="1:22" s="102" customFormat="1">
      <c r="A13" s="103">
        <v>7</v>
      </c>
      <c r="B13" s="120" t="s">
        <v>71</v>
      </c>
      <c r="C13" s="683"/>
      <c r="D13" s="678">
        <v>22496027.653699998</v>
      </c>
      <c r="E13" s="678"/>
      <c r="F13" s="678"/>
      <c r="G13" s="678"/>
      <c r="H13" s="678"/>
      <c r="I13" s="678"/>
      <c r="J13" s="678"/>
      <c r="K13" s="678"/>
      <c r="L13" s="684"/>
      <c r="M13" s="683"/>
      <c r="N13" s="678"/>
      <c r="O13" s="678"/>
      <c r="P13" s="678"/>
      <c r="Q13" s="678"/>
      <c r="R13" s="678"/>
      <c r="S13" s="684"/>
      <c r="T13" s="685">
        <v>20551112.039999999</v>
      </c>
      <c r="U13" s="685">
        <v>1944915.6137000003</v>
      </c>
      <c r="V13" s="686">
        <f t="shared" si="0"/>
        <v>22496027.653699998</v>
      </c>
    </row>
    <row r="14" spans="1:22" s="102" customFormat="1">
      <c r="A14" s="103">
        <v>8</v>
      </c>
      <c r="B14" s="120" t="s">
        <v>72</v>
      </c>
      <c r="C14" s="683"/>
      <c r="D14" s="678"/>
      <c r="E14" s="678"/>
      <c r="F14" s="678"/>
      <c r="G14" s="678"/>
      <c r="H14" s="678"/>
      <c r="I14" s="678"/>
      <c r="J14" s="678"/>
      <c r="K14" s="678"/>
      <c r="L14" s="684"/>
      <c r="M14" s="683"/>
      <c r="N14" s="678"/>
      <c r="O14" s="678"/>
      <c r="P14" s="678"/>
      <c r="Q14" s="678"/>
      <c r="R14" s="678"/>
      <c r="S14" s="684"/>
      <c r="T14" s="685"/>
      <c r="U14" s="685"/>
      <c r="V14" s="686">
        <f t="shared" si="0"/>
        <v>0</v>
      </c>
    </row>
    <row r="15" spans="1:22" s="102" customFormat="1">
      <c r="A15" s="103">
        <v>9</v>
      </c>
      <c r="B15" s="120" t="s">
        <v>943</v>
      </c>
      <c r="C15" s="683"/>
      <c r="D15" s="678"/>
      <c r="E15" s="678"/>
      <c r="F15" s="678"/>
      <c r="G15" s="678"/>
      <c r="H15" s="678"/>
      <c r="I15" s="678"/>
      <c r="J15" s="678"/>
      <c r="K15" s="678"/>
      <c r="L15" s="684"/>
      <c r="M15" s="683"/>
      <c r="N15" s="678"/>
      <c r="O15" s="678"/>
      <c r="P15" s="678"/>
      <c r="Q15" s="678"/>
      <c r="R15" s="678"/>
      <c r="S15" s="684"/>
      <c r="T15" s="685"/>
      <c r="U15" s="685"/>
      <c r="V15" s="686">
        <f t="shared" si="0"/>
        <v>0</v>
      </c>
    </row>
    <row r="16" spans="1:22" s="102" customFormat="1">
      <c r="A16" s="103">
        <v>10</v>
      </c>
      <c r="B16" s="120" t="s">
        <v>67</v>
      </c>
      <c r="C16" s="683"/>
      <c r="D16" s="678"/>
      <c r="E16" s="678"/>
      <c r="F16" s="678"/>
      <c r="G16" s="678"/>
      <c r="H16" s="678"/>
      <c r="I16" s="678"/>
      <c r="J16" s="678"/>
      <c r="K16" s="678"/>
      <c r="L16" s="684"/>
      <c r="M16" s="683"/>
      <c r="N16" s="678"/>
      <c r="O16" s="678"/>
      <c r="P16" s="678"/>
      <c r="Q16" s="678"/>
      <c r="R16" s="678"/>
      <c r="S16" s="684"/>
      <c r="T16" s="685"/>
      <c r="U16" s="685"/>
      <c r="V16" s="686">
        <f t="shared" si="0"/>
        <v>0</v>
      </c>
    </row>
    <row r="17" spans="1:22" s="102" customFormat="1">
      <c r="A17" s="103">
        <v>11</v>
      </c>
      <c r="B17" s="120" t="s">
        <v>68</v>
      </c>
      <c r="C17" s="683"/>
      <c r="D17" s="678"/>
      <c r="E17" s="678"/>
      <c r="F17" s="678"/>
      <c r="G17" s="678"/>
      <c r="H17" s="678"/>
      <c r="I17" s="678"/>
      <c r="J17" s="678"/>
      <c r="K17" s="678"/>
      <c r="L17" s="684"/>
      <c r="M17" s="683"/>
      <c r="N17" s="678"/>
      <c r="O17" s="678"/>
      <c r="P17" s="678"/>
      <c r="Q17" s="678"/>
      <c r="R17" s="678"/>
      <c r="S17" s="684"/>
      <c r="T17" s="685"/>
      <c r="U17" s="685"/>
      <c r="V17" s="686">
        <f t="shared" si="0"/>
        <v>0</v>
      </c>
    </row>
    <row r="18" spans="1:22" s="102" customFormat="1">
      <c r="A18" s="103">
        <v>12</v>
      </c>
      <c r="B18" s="120" t="s">
        <v>69</v>
      </c>
      <c r="C18" s="683"/>
      <c r="D18" s="678"/>
      <c r="E18" s="678"/>
      <c r="F18" s="678"/>
      <c r="G18" s="678"/>
      <c r="H18" s="678"/>
      <c r="I18" s="678"/>
      <c r="J18" s="678"/>
      <c r="K18" s="678"/>
      <c r="L18" s="684"/>
      <c r="M18" s="683"/>
      <c r="N18" s="678"/>
      <c r="O18" s="678"/>
      <c r="P18" s="678"/>
      <c r="Q18" s="678"/>
      <c r="R18" s="678"/>
      <c r="S18" s="684"/>
      <c r="T18" s="685"/>
      <c r="U18" s="685"/>
      <c r="V18" s="686">
        <f t="shared" si="0"/>
        <v>0</v>
      </c>
    </row>
    <row r="19" spans="1:22" s="102" customFormat="1">
      <c r="A19" s="103">
        <v>13</v>
      </c>
      <c r="B19" s="120" t="s">
        <v>70</v>
      </c>
      <c r="C19" s="683"/>
      <c r="D19" s="678"/>
      <c r="E19" s="678"/>
      <c r="F19" s="678"/>
      <c r="G19" s="678"/>
      <c r="H19" s="678"/>
      <c r="I19" s="678"/>
      <c r="J19" s="678"/>
      <c r="K19" s="678"/>
      <c r="L19" s="684"/>
      <c r="M19" s="683"/>
      <c r="N19" s="678"/>
      <c r="O19" s="678"/>
      <c r="P19" s="678"/>
      <c r="Q19" s="678"/>
      <c r="R19" s="678"/>
      <c r="S19" s="684"/>
      <c r="T19" s="685"/>
      <c r="U19" s="685"/>
      <c r="V19" s="686">
        <f t="shared" si="0"/>
        <v>0</v>
      </c>
    </row>
    <row r="20" spans="1:22" s="102" customFormat="1">
      <c r="A20" s="103">
        <v>14</v>
      </c>
      <c r="B20" s="120" t="s">
        <v>154</v>
      </c>
      <c r="C20" s="683"/>
      <c r="D20" s="678">
        <v>309233.04459863243</v>
      </c>
      <c r="E20" s="678"/>
      <c r="F20" s="678"/>
      <c r="G20" s="678"/>
      <c r="H20" s="678"/>
      <c r="I20" s="678"/>
      <c r="J20" s="678"/>
      <c r="K20" s="678"/>
      <c r="L20" s="684"/>
      <c r="M20" s="683"/>
      <c r="N20" s="678"/>
      <c r="O20" s="678"/>
      <c r="P20" s="678"/>
      <c r="Q20" s="678"/>
      <c r="R20" s="678"/>
      <c r="S20" s="684"/>
      <c r="T20" s="685">
        <v>309233.04459863243</v>
      </c>
      <c r="U20" s="685"/>
      <c r="V20" s="686">
        <f t="shared" si="0"/>
        <v>309233.04459863243</v>
      </c>
    </row>
    <row r="21" spans="1:22" ht="13.5" thickBot="1">
      <c r="A21" s="65"/>
      <c r="B21" s="66" t="s">
        <v>66</v>
      </c>
      <c r="C21" s="687">
        <f>SUM(C7:C20)</f>
        <v>0</v>
      </c>
      <c r="D21" s="688">
        <f t="shared" ref="D21:V21" si="1">SUM(D7:D20)</f>
        <v>22805260.698298629</v>
      </c>
      <c r="E21" s="688">
        <f t="shared" si="1"/>
        <v>0</v>
      </c>
      <c r="F21" s="688">
        <f t="shared" si="1"/>
        <v>0</v>
      </c>
      <c r="G21" s="688">
        <f t="shared" si="1"/>
        <v>0</v>
      </c>
      <c r="H21" s="688">
        <f t="shared" si="1"/>
        <v>0</v>
      </c>
      <c r="I21" s="688">
        <f t="shared" si="1"/>
        <v>0</v>
      </c>
      <c r="J21" s="688">
        <f t="shared" si="1"/>
        <v>0</v>
      </c>
      <c r="K21" s="688">
        <f t="shared" si="1"/>
        <v>0</v>
      </c>
      <c r="L21" s="689">
        <f t="shared" si="1"/>
        <v>0</v>
      </c>
      <c r="M21" s="687">
        <f t="shared" si="1"/>
        <v>0</v>
      </c>
      <c r="N21" s="688">
        <f t="shared" si="1"/>
        <v>0</v>
      </c>
      <c r="O21" s="688">
        <f t="shared" si="1"/>
        <v>0</v>
      </c>
      <c r="P21" s="688">
        <f t="shared" si="1"/>
        <v>0</v>
      </c>
      <c r="Q21" s="688">
        <f t="shared" si="1"/>
        <v>0</v>
      </c>
      <c r="R21" s="688">
        <f t="shared" si="1"/>
        <v>0</v>
      </c>
      <c r="S21" s="689">
        <f t="shared" si="1"/>
        <v>0</v>
      </c>
      <c r="T21" s="689">
        <f>SUM(T7:T20)</f>
        <v>20860345.084598631</v>
      </c>
      <c r="U21" s="689">
        <f t="shared" si="1"/>
        <v>1944915.6137000003</v>
      </c>
      <c r="V21" s="855">
        <f t="shared" si="1"/>
        <v>22805260.698298629</v>
      </c>
    </row>
    <row r="24" spans="1:22">
      <c r="A24" s="18"/>
      <c r="B24" s="18"/>
      <c r="C24" s="41"/>
      <c r="D24" s="41"/>
      <c r="E24" s="41"/>
    </row>
    <row r="25" spans="1:22">
      <c r="A25" s="58"/>
      <c r="B25" s="58"/>
      <c r="C25" s="18"/>
      <c r="D25" s="41"/>
      <c r="E25" s="41"/>
    </row>
    <row r="26" spans="1:22">
      <c r="A26" s="58"/>
      <c r="B26" s="59"/>
      <c r="C26" s="18"/>
      <c r="D26" s="41"/>
      <c r="E26" s="41"/>
    </row>
    <row r="27" spans="1:22">
      <c r="A27" s="58"/>
      <c r="B27" s="58"/>
      <c r="C27" s="18"/>
      <c r="D27" s="41"/>
      <c r="E27" s="41"/>
    </row>
    <row r="28" spans="1:22">
      <c r="A28" s="58"/>
      <c r="B28" s="59"/>
      <c r="C28" s="18"/>
      <c r="D28" s="41"/>
      <c r="E28" s="41"/>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2"/>
  </cols>
  <sheetData>
    <row r="1" spans="1:9">
      <c r="A1" s="2" t="s">
        <v>108</v>
      </c>
      <c r="B1" s="603" t="str">
        <f>'1. key ratios'!B1</f>
        <v>სს იშბანკი საქართველო</v>
      </c>
    </row>
    <row r="2" spans="1:9">
      <c r="A2" s="2" t="s">
        <v>109</v>
      </c>
      <c r="B2" s="604">
        <f>'1. key ratios'!B2</f>
        <v>45657</v>
      </c>
    </row>
    <row r="4" spans="1:9" ht="13.5" thickBot="1">
      <c r="A4" s="2" t="s">
        <v>261</v>
      </c>
      <c r="B4" s="190" t="s">
        <v>296</v>
      </c>
    </row>
    <row r="5" spans="1:9">
      <c r="A5" s="63"/>
      <c r="B5" s="100"/>
      <c r="C5" s="105" t="s">
        <v>0</v>
      </c>
      <c r="D5" s="105" t="s">
        <v>1</v>
      </c>
      <c r="E5" s="105" t="s">
        <v>2</v>
      </c>
      <c r="F5" s="105" t="s">
        <v>3</v>
      </c>
      <c r="G5" s="188" t="s">
        <v>4</v>
      </c>
      <c r="H5" s="106" t="s">
        <v>5</v>
      </c>
      <c r="I5" s="24"/>
    </row>
    <row r="6" spans="1:9" ht="15" customHeight="1">
      <c r="A6" s="99"/>
      <c r="B6" s="22"/>
      <c r="C6" s="905" t="s">
        <v>288</v>
      </c>
      <c r="D6" s="909" t="s">
        <v>309</v>
      </c>
      <c r="E6" s="910"/>
      <c r="F6" s="905" t="s">
        <v>315</v>
      </c>
      <c r="G6" s="905" t="s">
        <v>316</v>
      </c>
      <c r="H6" s="907" t="s">
        <v>290</v>
      </c>
      <c r="I6" s="24"/>
    </row>
    <row r="7" spans="1:9" ht="63.75">
      <c r="A7" s="99"/>
      <c r="B7" s="22"/>
      <c r="C7" s="906"/>
      <c r="D7" s="189" t="s">
        <v>291</v>
      </c>
      <c r="E7" s="189" t="s">
        <v>289</v>
      </c>
      <c r="F7" s="906"/>
      <c r="G7" s="906"/>
      <c r="H7" s="908"/>
      <c r="I7" s="24"/>
    </row>
    <row r="8" spans="1:9">
      <c r="A8" s="54">
        <v>1</v>
      </c>
      <c r="B8" s="120" t="s">
        <v>134</v>
      </c>
      <c r="C8" s="690">
        <f>'11. CRWA'!C8+'11. CRWA'!E8+'11. CRWA'!G8+'11. CRWA'!I8+'11. CRWA'!K8+'11. CRWA'!M8+'11. CRWA'!O8+'11. CRWA'!Q8</f>
        <v>49588618.982265547</v>
      </c>
      <c r="D8" s="690">
        <f>'11. CRWA'!D8+'11. CRWA'!F8+'11. CRWA'!H8+'11. CRWA'!J8+'11. CRWA'!L8+'11. CRWA'!N8+'11. CRWA'!P8+'11. CRWA'!R8</f>
        <v>0</v>
      </c>
      <c r="E8" s="690">
        <f>'11. CRWA'!D8+'11. CRWA'!F8+'11. CRWA'!H8+'11. CRWA'!J8+'11. CRWA'!L8+'11. CRWA'!N8+'11. CRWA'!P8+'11. CRWA'!R8</f>
        <v>0</v>
      </c>
      <c r="F8" s="690">
        <f>'11. CRWA'!S8</f>
        <v>41399528.187801927</v>
      </c>
      <c r="G8" s="691">
        <f>F8-'12. CRM'!V7</f>
        <v>41399528.187801927</v>
      </c>
      <c r="H8" s="692">
        <f>IFERROR(G8/(C8+E8),0)</f>
        <v>0.83485947052906839</v>
      </c>
    </row>
    <row r="9" spans="1:9" ht="15" customHeight="1">
      <c r="A9" s="54">
        <v>2</v>
      </c>
      <c r="B9" s="120" t="s">
        <v>135</v>
      </c>
      <c r="C9" s="690">
        <f>'11. CRWA'!C9+'11. CRWA'!E9+'11. CRWA'!G9+'11. CRWA'!I9+'11. CRWA'!K9+'11. CRWA'!M9+'11. CRWA'!O9+'11. CRWA'!Q9</f>
        <v>0</v>
      </c>
      <c r="D9" s="690">
        <f>'11. CRWA'!D9+'11. CRWA'!F9+'11. CRWA'!H9+'11. CRWA'!J9+'11. CRWA'!L9+'11. CRWA'!N9+'11. CRWA'!P9+'11. CRWA'!R9</f>
        <v>0</v>
      </c>
      <c r="E9" s="690">
        <f>'11. CRWA'!D9+'11. CRWA'!F9+'11. CRWA'!H9+'11. CRWA'!J9+'11. CRWA'!L9+'11. CRWA'!N9+'11. CRWA'!P9+'11. CRWA'!R9</f>
        <v>0</v>
      </c>
      <c r="F9" s="690">
        <f>'11. CRWA'!S9</f>
        <v>0</v>
      </c>
      <c r="G9" s="691">
        <f>F9-'12. CRM'!V8</f>
        <v>0</v>
      </c>
      <c r="H9" s="692">
        <f t="shared" ref="H9:H21" si="0">IFERROR(G9/(C9+E9),0)</f>
        <v>0</v>
      </c>
    </row>
    <row r="10" spans="1:9">
      <c r="A10" s="54">
        <v>3</v>
      </c>
      <c r="B10" s="120" t="s">
        <v>136</v>
      </c>
      <c r="C10" s="690">
        <f>'11. CRWA'!C10+'11. CRWA'!E10+'11. CRWA'!G10+'11. CRWA'!I10+'11. CRWA'!K10+'11. CRWA'!M10+'11. CRWA'!O10+'11. CRWA'!Q10</f>
        <v>0</v>
      </c>
      <c r="D10" s="690">
        <f>'11. CRWA'!D10+'11. CRWA'!F10+'11. CRWA'!H10+'11. CRWA'!J10+'11. CRWA'!L10+'11. CRWA'!N10+'11. CRWA'!P10+'11. CRWA'!R10</f>
        <v>0</v>
      </c>
      <c r="E10" s="690">
        <f>'11. CRWA'!D10+'11. CRWA'!F10+'11. CRWA'!H10+'11. CRWA'!J10+'11. CRWA'!L10+'11. CRWA'!N10+'11. CRWA'!P10+'11. CRWA'!R10</f>
        <v>0</v>
      </c>
      <c r="F10" s="690">
        <f>'11. CRWA'!S10</f>
        <v>0</v>
      </c>
      <c r="G10" s="691">
        <f>F10-'12. CRM'!V9</f>
        <v>0</v>
      </c>
      <c r="H10" s="692">
        <f t="shared" si="0"/>
        <v>0</v>
      </c>
    </row>
    <row r="11" spans="1:9">
      <c r="A11" s="54">
        <v>4</v>
      </c>
      <c r="B11" s="120" t="s">
        <v>137</v>
      </c>
      <c r="C11" s="690">
        <f>'11. CRWA'!C11+'11. CRWA'!E11+'11. CRWA'!G11+'11. CRWA'!I11+'11. CRWA'!K11+'11. CRWA'!M11+'11. CRWA'!O11+'11. CRWA'!Q11</f>
        <v>0</v>
      </c>
      <c r="D11" s="690">
        <f>'11. CRWA'!D11+'11. CRWA'!F11+'11. CRWA'!H11+'11. CRWA'!J11+'11. CRWA'!L11+'11. CRWA'!N11+'11. CRWA'!P11+'11. CRWA'!R11</f>
        <v>0</v>
      </c>
      <c r="E11" s="690">
        <f>'11. CRWA'!D11+'11. CRWA'!F11+'11. CRWA'!H11+'11. CRWA'!J11+'11. CRWA'!L11+'11. CRWA'!N11+'11. CRWA'!P11+'11. CRWA'!R11</f>
        <v>0</v>
      </c>
      <c r="F11" s="690">
        <f>'11. CRWA'!S11</f>
        <v>0</v>
      </c>
      <c r="G11" s="691">
        <f>F11-'12. CRM'!V10</f>
        <v>0</v>
      </c>
      <c r="H11" s="692">
        <f t="shared" si="0"/>
        <v>0</v>
      </c>
    </row>
    <row r="12" spans="1:9">
      <c r="A12" s="54">
        <v>5</v>
      </c>
      <c r="B12" s="120" t="s">
        <v>942</v>
      </c>
      <c r="C12" s="690">
        <f>'11. CRWA'!C12+'11. CRWA'!E12+'11. CRWA'!G12+'11. CRWA'!I12+'11. CRWA'!K12+'11. CRWA'!M12+'11. CRWA'!O12+'11. CRWA'!Q12</f>
        <v>0</v>
      </c>
      <c r="D12" s="690">
        <f>'11. CRWA'!D12+'11. CRWA'!F12+'11. CRWA'!H12+'11. CRWA'!J12+'11. CRWA'!L12+'11. CRWA'!N12+'11. CRWA'!P12+'11. CRWA'!R12</f>
        <v>0</v>
      </c>
      <c r="E12" s="690">
        <f>'11. CRWA'!D12+'11. CRWA'!F12+'11. CRWA'!H12+'11. CRWA'!J12+'11. CRWA'!L12+'11. CRWA'!N12+'11. CRWA'!P12+'11. CRWA'!R12</f>
        <v>0</v>
      </c>
      <c r="F12" s="690">
        <f>'11. CRWA'!S12</f>
        <v>0</v>
      </c>
      <c r="G12" s="691">
        <f>F12-'12. CRM'!V11</f>
        <v>0</v>
      </c>
      <c r="H12" s="692">
        <f t="shared" si="0"/>
        <v>0</v>
      </c>
    </row>
    <row r="13" spans="1:9">
      <c r="A13" s="54">
        <v>6</v>
      </c>
      <c r="B13" s="120" t="s">
        <v>138</v>
      </c>
      <c r="C13" s="690">
        <f>'11. CRWA'!C13+'11. CRWA'!E13+'11. CRWA'!G13+'11. CRWA'!I13+'11. CRWA'!K13+'11. CRWA'!M13+'11. CRWA'!O13+'11. CRWA'!Q13</f>
        <v>48181672.927540541</v>
      </c>
      <c r="D13" s="690">
        <f>'11. CRWA'!D13+'11. CRWA'!F13+'11. CRWA'!H13+'11. CRWA'!J13+'11. CRWA'!L13+'11. CRWA'!N13+'11. CRWA'!P13+'11. CRWA'!R13</f>
        <v>69000494.872220427</v>
      </c>
      <c r="E13" s="690">
        <f>'11. CRWA'!D13+'11. CRWA'!F13+'11. CRWA'!H13+'11. CRWA'!J13+'11. CRWA'!L13+'11. CRWA'!N13+'11. CRWA'!P13+'11. CRWA'!R13</f>
        <v>69000494.872220427</v>
      </c>
      <c r="F13" s="690">
        <f>'11. CRWA'!S13</f>
        <v>84959408.067564487</v>
      </c>
      <c r="G13" s="691">
        <f>F13-'12. CRM'!V12</f>
        <v>84959408.067564487</v>
      </c>
      <c r="H13" s="692">
        <f t="shared" si="0"/>
        <v>0.72501993829591704</v>
      </c>
    </row>
    <row r="14" spans="1:9">
      <c r="A14" s="54">
        <v>7</v>
      </c>
      <c r="B14" s="120" t="s">
        <v>71</v>
      </c>
      <c r="C14" s="690">
        <f>'11. CRWA'!C14+'11. CRWA'!E14+'11. CRWA'!G14+'11. CRWA'!I14+'11. CRWA'!K14+'11. CRWA'!M14+'11. CRWA'!O14+'11. CRWA'!Q14</f>
        <v>363361941.60747164</v>
      </c>
      <c r="D14" s="690">
        <f>'11. CRWA'!D14+'11. CRWA'!F14+'11. CRWA'!H14+'11. CRWA'!J14+'11. CRWA'!L14+'11. CRWA'!N14+'11. CRWA'!P14+'11. CRWA'!R14</f>
        <v>14629342.456183262</v>
      </c>
      <c r="E14" s="690">
        <f>'11. CRWA'!D14+'11. CRWA'!F14+'11. CRWA'!H14+'11. CRWA'!J14+'11. CRWA'!L14+'11. CRWA'!N14+'11. CRWA'!P14+'11. CRWA'!R14</f>
        <v>14629342.456183262</v>
      </c>
      <c r="F14" s="690">
        <f>'11. CRWA'!S14</f>
        <v>377991284.0636549</v>
      </c>
      <c r="G14" s="691">
        <f>F14-'12. CRM'!V13</f>
        <v>355495256.40995491</v>
      </c>
      <c r="H14" s="692">
        <f t="shared" si="0"/>
        <v>0.94048532703756316</v>
      </c>
    </row>
    <row r="15" spans="1:9">
      <c r="A15" s="54">
        <v>8</v>
      </c>
      <c r="B15" s="120" t="s">
        <v>72</v>
      </c>
      <c r="C15" s="690">
        <f>'11. CRWA'!C15+'11. CRWA'!E15+'11. CRWA'!G15+'11. CRWA'!I15+'11. CRWA'!K15+'11. CRWA'!M15+'11. CRWA'!O15+'11. CRWA'!Q15</f>
        <v>0</v>
      </c>
      <c r="D15" s="690">
        <f>'11. CRWA'!D15+'11. CRWA'!F15+'11. CRWA'!H15+'11. CRWA'!J15+'11. CRWA'!L15+'11. CRWA'!N15+'11. CRWA'!P15+'11. CRWA'!R15</f>
        <v>0</v>
      </c>
      <c r="E15" s="690">
        <f>'11. CRWA'!D15+'11. CRWA'!F15+'11. CRWA'!H15+'11. CRWA'!J15+'11. CRWA'!L15+'11. CRWA'!N15+'11. CRWA'!P15+'11. CRWA'!R15</f>
        <v>0</v>
      </c>
      <c r="F15" s="690">
        <f>'11. CRWA'!S15</f>
        <v>0</v>
      </c>
      <c r="G15" s="691">
        <f>F15-'12. CRM'!V14</f>
        <v>0</v>
      </c>
      <c r="H15" s="692">
        <f t="shared" si="0"/>
        <v>0</v>
      </c>
    </row>
    <row r="16" spans="1:9">
      <c r="A16" s="54">
        <v>9</v>
      </c>
      <c r="B16" s="120" t="s">
        <v>943</v>
      </c>
      <c r="C16" s="690">
        <f>'11. CRWA'!C16+'11. CRWA'!E16+'11. CRWA'!G16+'11. CRWA'!I16+'11. CRWA'!K16+'11. CRWA'!M16+'11. CRWA'!O16+'11. CRWA'!Q16</f>
        <v>0</v>
      </c>
      <c r="D16" s="690">
        <f>'11. CRWA'!D16+'11. CRWA'!F16+'11. CRWA'!H16+'11. CRWA'!J16+'11. CRWA'!L16+'11. CRWA'!N16+'11. CRWA'!P16+'11. CRWA'!R16</f>
        <v>0</v>
      </c>
      <c r="E16" s="690">
        <f>'11. CRWA'!D16+'11. CRWA'!F16+'11. CRWA'!H16+'11. CRWA'!J16+'11. CRWA'!L16+'11. CRWA'!N16+'11. CRWA'!P16+'11. CRWA'!R16</f>
        <v>0</v>
      </c>
      <c r="F16" s="690">
        <f>'11. CRWA'!S16</f>
        <v>0</v>
      </c>
      <c r="G16" s="691">
        <f>F16-'12. CRM'!V15</f>
        <v>0</v>
      </c>
      <c r="H16" s="692">
        <f t="shared" si="0"/>
        <v>0</v>
      </c>
    </row>
    <row r="17" spans="1:8">
      <c r="A17" s="54">
        <v>10</v>
      </c>
      <c r="B17" s="120" t="s">
        <v>67</v>
      </c>
      <c r="C17" s="690">
        <f>'11. CRWA'!C17+'11. CRWA'!E17+'11. CRWA'!G17+'11. CRWA'!I17+'11. CRWA'!K17+'11. CRWA'!M17+'11. CRWA'!O17+'11. CRWA'!Q17</f>
        <v>14590.606700938077</v>
      </c>
      <c r="D17" s="690">
        <f>'11. CRWA'!D17+'11. CRWA'!F17+'11. CRWA'!H17+'11. CRWA'!J17+'11. CRWA'!L17+'11. CRWA'!N17+'11. CRWA'!P17+'11. CRWA'!R17</f>
        <v>0</v>
      </c>
      <c r="E17" s="690">
        <f>'11. CRWA'!D17+'11. CRWA'!F17+'11. CRWA'!H17+'11. CRWA'!J17+'11. CRWA'!L17+'11. CRWA'!N17+'11. CRWA'!P17+'11. CRWA'!R17</f>
        <v>0</v>
      </c>
      <c r="F17" s="690">
        <f>'11. CRWA'!S17</f>
        <v>14590.606700938077</v>
      </c>
      <c r="G17" s="691">
        <f>F17-'12. CRM'!V16</f>
        <v>14590.606700938077</v>
      </c>
      <c r="H17" s="692">
        <f t="shared" si="0"/>
        <v>1</v>
      </c>
    </row>
    <row r="18" spans="1:8">
      <c r="A18" s="54">
        <v>11</v>
      </c>
      <c r="B18" s="120" t="s">
        <v>68</v>
      </c>
      <c r="C18" s="690">
        <f>'11. CRWA'!C18+'11. CRWA'!E18+'11. CRWA'!G18+'11. CRWA'!I18+'11. CRWA'!K18+'11. CRWA'!M18+'11. CRWA'!O18+'11. CRWA'!Q18</f>
        <v>0</v>
      </c>
      <c r="D18" s="690">
        <f>'11. CRWA'!D18+'11. CRWA'!F18+'11. CRWA'!H18+'11. CRWA'!J18+'11. CRWA'!L18+'11. CRWA'!N18+'11. CRWA'!P18+'11. CRWA'!R18</f>
        <v>0</v>
      </c>
      <c r="E18" s="690">
        <f>'11. CRWA'!D18+'11. CRWA'!F18+'11. CRWA'!H18+'11. CRWA'!J18+'11. CRWA'!L18+'11. CRWA'!N18+'11. CRWA'!P18+'11. CRWA'!R18</f>
        <v>0</v>
      </c>
      <c r="F18" s="690">
        <f>'11. CRWA'!S18</f>
        <v>0</v>
      </c>
      <c r="G18" s="691">
        <f>F18-'12. CRM'!V17</f>
        <v>0</v>
      </c>
      <c r="H18" s="692">
        <f t="shared" si="0"/>
        <v>0</v>
      </c>
    </row>
    <row r="19" spans="1:8">
      <c r="A19" s="54">
        <v>12</v>
      </c>
      <c r="B19" s="120" t="s">
        <v>69</v>
      </c>
      <c r="C19" s="690">
        <f>'11. CRWA'!C19+'11. CRWA'!E19+'11. CRWA'!G19+'11. CRWA'!I19+'11. CRWA'!K19+'11. CRWA'!M19+'11. CRWA'!O19+'11. CRWA'!Q19</f>
        <v>0</v>
      </c>
      <c r="D19" s="690">
        <f>'11. CRWA'!D19+'11. CRWA'!F19+'11. CRWA'!H19+'11. CRWA'!J19+'11. CRWA'!L19+'11. CRWA'!N19+'11. CRWA'!P19+'11. CRWA'!R19</f>
        <v>0</v>
      </c>
      <c r="E19" s="690">
        <f>'11. CRWA'!D19+'11. CRWA'!F19+'11. CRWA'!H19+'11. CRWA'!J19+'11. CRWA'!L19+'11. CRWA'!N19+'11. CRWA'!P19+'11. CRWA'!R19</f>
        <v>0</v>
      </c>
      <c r="F19" s="690">
        <f>'11. CRWA'!S19</f>
        <v>0</v>
      </c>
      <c r="G19" s="691">
        <f>F19-'12. CRM'!V18</f>
        <v>0</v>
      </c>
      <c r="H19" s="692">
        <f t="shared" si="0"/>
        <v>0</v>
      </c>
    </row>
    <row r="20" spans="1:8">
      <c r="A20" s="54">
        <v>13</v>
      </c>
      <c r="B20" s="120" t="s">
        <v>70</v>
      </c>
      <c r="C20" s="690">
        <f>'11. CRWA'!C20+'11. CRWA'!E20+'11. CRWA'!G20+'11. CRWA'!I20+'11. CRWA'!K20+'11. CRWA'!M20+'11. CRWA'!O20+'11. CRWA'!Q20</f>
        <v>0</v>
      </c>
      <c r="D20" s="690">
        <f>'11. CRWA'!D20+'11. CRWA'!F20+'11. CRWA'!H20+'11. CRWA'!J20+'11. CRWA'!L20+'11. CRWA'!N20+'11. CRWA'!P20+'11. CRWA'!R20</f>
        <v>0</v>
      </c>
      <c r="E20" s="690">
        <f>'11. CRWA'!D20+'11. CRWA'!F20+'11. CRWA'!H20+'11. CRWA'!J20+'11. CRWA'!L20+'11. CRWA'!N20+'11. CRWA'!P20+'11. CRWA'!R20</f>
        <v>0</v>
      </c>
      <c r="F20" s="690">
        <f>'11. CRWA'!S20</f>
        <v>0</v>
      </c>
      <c r="G20" s="691">
        <f>F20-'12. CRM'!V19</f>
        <v>0</v>
      </c>
      <c r="H20" s="692">
        <f t="shared" si="0"/>
        <v>0</v>
      </c>
    </row>
    <row r="21" spans="1:8">
      <c r="A21" s="54">
        <v>14</v>
      </c>
      <c r="B21" s="120" t="s">
        <v>154</v>
      </c>
      <c r="C21" s="690">
        <f>'11. CRWA'!C21+'11. CRWA'!E21+'11. CRWA'!G21+'11. CRWA'!I21+'11. CRWA'!K21+'11. CRWA'!M21+'11. CRWA'!O21+'11. CRWA'!Q21</f>
        <v>26072996.997841544</v>
      </c>
      <c r="D21" s="690">
        <f>'11. CRWA'!D21+'11. CRWA'!F21+'11. CRWA'!H21+'11. CRWA'!J21+'11. CRWA'!L21+'11. CRWA'!N21+'11. CRWA'!P21+'11. CRWA'!R21</f>
        <v>0</v>
      </c>
      <c r="E21" s="690">
        <f>'11. CRWA'!D21+'11. CRWA'!F21+'11. CRWA'!H21+'11. CRWA'!J21+'11. CRWA'!L21+'11. CRWA'!N21+'11. CRWA'!P21+'11. CRWA'!R21</f>
        <v>0</v>
      </c>
      <c r="F21" s="690">
        <f>'11. CRWA'!S21</f>
        <v>24361070.190341543</v>
      </c>
      <c r="G21" s="691">
        <f>F21-'12. CRM'!V20</f>
        <v>24051837.145742912</v>
      </c>
      <c r="H21" s="692">
        <f t="shared" si="0"/>
        <v>0.92248072393572733</v>
      </c>
    </row>
    <row r="22" spans="1:8" ht="13.5" thickBot="1">
      <c r="A22" s="101"/>
      <c r="B22" s="107" t="s">
        <v>66</v>
      </c>
      <c r="C22" s="772">
        <f>SUM(C8:C21)</f>
        <v>487219821.12182021</v>
      </c>
      <c r="D22" s="772">
        <f>SUM(D8:D21)</f>
        <v>83629837.328403682</v>
      </c>
      <c r="E22" s="772">
        <f>SUM(E8:E21)</f>
        <v>83629837.328403682</v>
      </c>
      <c r="F22" s="772">
        <f>SUM(F8:F21)</f>
        <v>528725881.11606383</v>
      </c>
      <c r="G22" s="772">
        <f>SUM(G8:G21)</f>
        <v>505920620.4177652</v>
      </c>
      <c r="H22" s="773">
        <f>G22/(C22+E22)</f>
        <v>0.88625895264835253</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18" bestFit="1" customWidth="1"/>
    <col min="2" max="2" width="89.5703125" style="218" customWidth="1"/>
    <col min="3" max="5" width="12.7109375" style="218" customWidth="1"/>
    <col min="6" max="6" width="13.5703125" style="218" bestFit="1" customWidth="1"/>
    <col min="7" max="11" width="12.7109375" style="218" customWidth="1"/>
    <col min="12" max="16384" width="9.140625" style="218"/>
  </cols>
  <sheetData>
    <row r="1" spans="1:11">
      <c r="A1" s="218" t="s">
        <v>108</v>
      </c>
      <c r="B1" s="603" t="str">
        <f>'1. key ratios'!B1</f>
        <v>სს იშბანკი საქართველო</v>
      </c>
    </row>
    <row r="2" spans="1:11">
      <c r="A2" s="218" t="s">
        <v>109</v>
      </c>
      <c r="B2" s="604">
        <f>'1. key ratios'!B2</f>
        <v>45657</v>
      </c>
      <c r="C2" s="219"/>
      <c r="D2" s="219"/>
    </row>
    <row r="3" spans="1:11">
      <c r="B3" s="219"/>
      <c r="C3" s="219"/>
      <c r="D3" s="219"/>
    </row>
    <row r="4" spans="1:11" ht="13.5" thickBot="1">
      <c r="A4" s="218" t="s">
        <v>352</v>
      </c>
      <c r="B4" s="190" t="s">
        <v>351</v>
      </c>
      <c r="C4" s="219"/>
      <c r="D4" s="219"/>
    </row>
    <row r="5" spans="1:11" ht="30" customHeight="1">
      <c r="A5" s="914"/>
      <c r="B5" s="915"/>
      <c r="C5" s="912" t="s">
        <v>384</v>
      </c>
      <c r="D5" s="912"/>
      <c r="E5" s="912"/>
      <c r="F5" s="912" t="s">
        <v>385</v>
      </c>
      <c r="G5" s="912"/>
      <c r="H5" s="912"/>
      <c r="I5" s="912" t="s">
        <v>386</v>
      </c>
      <c r="J5" s="912"/>
      <c r="K5" s="913"/>
    </row>
    <row r="6" spans="1:11">
      <c r="A6" s="216"/>
      <c r="B6" s="217"/>
      <c r="C6" s="220" t="s">
        <v>26</v>
      </c>
      <c r="D6" s="220" t="s">
        <v>90</v>
      </c>
      <c r="E6" s="220" t="s">
        <v>66</v>
      </c>
      <c r="F6" s="220" t="s">
        <v>26</v>
      </c>
      <c r="G6" s="220" t="s">
        <v>90</v>
      </c>
      <c r="H6" s="220" t="s">
        <v>66</v>
      </c>
      <c r="I6" s="220" t="s">
        <v>26</v>
      </c>
      <c r="J6" s="220" t="s">
        <v>90</v>
      </c>
      <c r="K6" s="222" t="s">
        <v>66</v>
      </c>
    </row>
    <row r="7" spans="1:11">
      <c r="A7" s="223" t="s">
        <v>322</v>
      </c>
      <c r="B7" s="215"/>
      <c r="C7" s="693"/>
      <c r="D7" s="694"/>
      <c r="E7" s="224"/>
      <c r="F7" s="693"/>
      <c r="G7" s="694"/>
      <c r="H7" s="224"/>
      <c r="I7" s="694"/>
      <c r="J7" s="694"/>
      <c r="K7" s="224"/>
    </row>
    <row r="8" spans="1:11">
      <c r="A8" s="214">
        <v>1</v>
      </c>
      <c r="B8" s="199" t="s">
        <v>322</v>
      </c>
      <c r="C8" s="596"/>
      <c r="D8" s="197"/>
      <c r="E8" s="198"/>
      <c r="F8" s="695">
        <v>40487277.259055056</v>
      </c>
      <c r="G8" s="696">
        <v>73868059.89878948</v>
      </c>
      <c r="H8" s="697">
        <f>G8+F8</f>
        <v>114355337.15784454</v>
      </c>
      <c r="I8" s="698">
        <v>36081171.981226712</v>
      </c>
      <c r="J8" s="696">
        <v>61786945.834106803</v>
      </c>
      <c r="K8" s="697">
        <f>I8+J8</f>
        <v>97868117.815333515</v>
      </c>
    </row>
    <row r="9" spans="1:11">
      <c r="A9" s="223" t="s">
        <v>323</v>
      </c>
      <c r="B9" s="215"/>
      <c r="C9" s="693"/>
      <c r="D9" s="694"/>
      <c r="E9" s="224"/>
      <c r="F9" s="693"/>
      <c r="G9" s="694"/>
      <c r="H9" s="224"/>
      <c r="I9" s="694"/>
      <c r="J9" s="694"/>
      <c r="K9" s="224"/>
    </row>
    <row r="10" spans="1:11">
      <c r="A10" s="225">
        <v>2</v>
      </c>
      <c r="B10" s="200" t="s">
        <v>324</v>
      </c>
      <c r="C10" s="695">
        <v>4511225.9664754076</v>
      </c>
      <c r="D10" s="699">
        <v>19339630.385042239</v>
      </c>
      <c r="E10" s="697">
        <f>C10+D10</f>
        <v>23850856.351517648</v>
      </c>
      <c r="F10" s="695">
        <v>1600010.3411475401</v>
      </c>
      <c r="G10" s="699">
        <v>3502193.2949475003</v>
      </c>
      <c r="H10" s="697">
        <f>G10+F10</f>
        <v>5102203.6360950405</v>
      </c>
      <c r="I10" s="698">
        <v>431493.69116803334</v>
      </c>
      <c r="J10" s="699">
        <v>1007432.4051575068</v>
      </c>
      <c r="K10" s="697">
        <f>I10+J10</f>
        <v>1438926.0963255402</v>
      </c>
    </row>
    <row r="11" spans="1:11">
      <c r="A11" s="225">
        <v>3</v>
      </c>
      <c r="B11" s="200" t="s">
        <v>325</v>
      </c>
      <c r="C11" s="695">
        <v>41166165.673606612</v>
      </c>
      <c r="D11" s="699">
        <v>210853881.16653684</v>
      </c>
      <c r="E11" s="697">
        <f t="shared" ref="E11:E16" si="0">C11+D11</f>
        <v>252020046.84014344</v>
      </c>
      <c r="F11" s="700">
        <v>22705572.546122275</v>
      </c>
      <c r="G11" s="698">
        <v>48937542.417814501</v>
      </c>
      <c r="H11" s="697">
        <f t="shared" ref="H11:H16" si="1">G11+F11</f>
        <v>71643114.963936776</v>
      </c>
      <c r="I11" s="700">
        <v>19662402.509540971</v>
      </c>
      <c r="J11" s="698">
        <v>45611333.111099899</v>
      </c>
      <c r="K11" s="697">
        <f t="shared" ref="K11:K16" si="2">I11+J11</f>
        <v>65273735.620640874</v>
      </c>
    </row>
    <row r="12" spans="1:11">
      <c r="A12" s="225">
        <v>4</v>
      </c>
      <c r="B12" s="200" t="s">
        <v>326</v>
      </c>
      <c r="C12" s="701"/>
      <c r="D12" s="702"/>
      <c r="E12" s="697">
        <f t="shared" si="0"/>
        <v>0</v>
      </c>
      <c r="F12" s="701"/>
      <c r="G12" s="702"/>
      <c r="H12" s="697">
        <f t="shared" si="1"/>
        <v>0</v>
      </c>
      <c r="I12" s="703"/>
      <c r="J12" s="702"/>
      <c r="K12" s="697">
        <f t="shared" si="2"/>
        <v>0</v>
      </c>
    </row>
    <row r="13" spans="1:11">
      <c r="A13" s="225">
        <v>5</v>
      </c>
      <c r="B13" s="200" t="s">
        <v>327</v>
      </c>
      <c r="C13" s="695">
        <v>60149110.130710386</v>
      </c>
      <c r="D13" s="699">
        <v>64577388.740415365</v>
      </c>
      <c r="E13" s="697">
        <f t="shared" si="0"/>
        <v>124726498.87112576</v>
      </c>
      <c r="F13" s="695">
        <v>6039211.5083224066</v>
      </c>
      <c r="G13" s="699">
        <v>6691010.7281821175</v>
      </c>
      <c r="H13" s="697">
        <f t="shared" si="1"/>
        <v>12730222.236504525</v>
      </c>
      <c r="I13" s="698">
        <v>3007455.5065355231</v>
      </c>
      <c r="J13" s="699">
        <v>3228869.4370207707</v>
      </c>
      <c r="K13" s="697">
        <f t="shared" si="2"/>
        <v>6236324.9435562938</v>
      </c>
    </row>
    <row r="14" spans="1:11">
      <c r="A14" s="225">
        <v>6</v>
      </c>
      <c r="B14" s="200" t="s">
        <v>342</v>
      </c>
      <c r="C14" s="701"/>
      <c r="D14" s="702"/>
      <c r="E14" s="697">
        <f t="shared" si="0"/>
        <v>0</v>
      </c>
      <c r="F14" s="701"/>
      <c r="G14" s="702"/>
      <c r="H14" s="697">
        <f t="shared" si="1"/>
        <v>0</v>
      </c>
      <c r="I14" s="703"/>
      <c r="J14" s="702"/>
      <c r="K14" s="697">
        <f t="shared" si="2"/>
        <v>0</v>
      </c>
    </row>
    <row r="15" spans="1:11">
      <c r="A15" s="225">
        <v>7</v>
      </c>
      <c r="B15" s="200" t="s">
        <v>329</v>
      </c>
      <c r="C15" s="695">
        <v>2365231.7505587423</v>
      </c>
      <c r="D15" s="699">
        <v>2684465.4116479834</v>
      </c>
      <c r="E15" s="697">
        <f t="shared" si="0"/>
        <v>5049697.1622067261</v>
      </c>
      <c r="F15" s="695">
        <v>0</v>
      </c>
      <c r="G15" s="699">
        <v>19011.754929344228</v>
      </c>
      <c r="H15" s="697">
        <f t="shared" si="1"/>
        <v>19011.754929344228</v>
      </c>
      <c r="I15" s="698">
        <v>0</v>
      </c>
      <c r="J15" s="699">
        <v>19011.754929344228</v>
      </c>
      <c r="K15" s="697">
        <f t="shared" si="2"/>
        <v>19011.754929344228</v>
      </c>
    </row>
    <row r="16" spans="1:11">
      <c r="A16" s="225">
        <v>8</v>
      </c>
      <c r="B16" s="201" t="s">
        <v>330</v>
      </c>
      <c r="C16" s="704">
        <f>SUM(C10:C15)</f>
        <v>108191733.52135114</v>
      </c>
      <c r="D16" s="705">
        <f>SUM(D10:D15)</f>
        <v>297455365.70364243</v>
      </c>
      <c r="E16" s="697">
        <f t="shared" si="0"/>
        <v>405647099.22499359</v>
      </c>
      <c r="F16" s="706">
        <f>SUM(F10:F15)</f>
        <v>30344794.395592224</v>
      </c>
      <c r="G16" s="707">
        <f>SUM(G10:G15)</f>
        <v>59149758.195873454</v>
      </c>
      <c r="H16" s="697">
        <f t="shared" si="1"/>
        <v>89494552.591465682</v>
      </c>
      <c r="I16" s="705">
        <f>SUM(I10:I15)</f>
        <v>23101351.707244527</v>
      </c>
      <c r="J16" s="707">
        <f>SUM(J10:J15)</f>
        <v>49866646.708207518</v>
      </c>
      <c r="K16" s="697">
        <f t="shared" si="2"/>
        <v>72967998.415452048</v>
      </c>
    </row>
    <row r="17" spans="1:11">
      <c r="A17" s="223" t="s">
        <v>331</v>
      </c>
      <c r="B17" s="215"/>
      <c r="C17" s="693"/>
      <c r="D17" s="694"/>
      <c r="E17" s="224"/>
      <c r="F17" s="693"/>
      <c r="G17" s="694"/>
      <c r="H17" s="224"/>
      <c r="I17" s="694"/>
      <c r="J17" s="694"/>
      <c r="K17" s="224"/>
    </row>
    <row r="18" spans="1:11">
      <c r="A18" s="225">
        <v>9</v>
      </c>
      <c r="B18" s="200" t="s">
        <v>332</v>
      </c>
      <c r="C18" s="701"/>
      <c r="D18" s="702"/>
      <c r="E18" s="697">
        <f>C18+D18</f>
        <v>0</v>
      </c>
      <c r="F18" s="701"/>
      <c r="G18" s="702"/>
      <c r="H18" s="697">
        <f>F18+G18</f>
        <v>0</v>
      </c>
      <c r="I18" s="703"/>
      <c r="J18" s="702"/>
      <c r="K18" s="697">
        <f>I18+J18</f>
        <v>0</v>
      </c>
    </row>
    <row r="19" spans="1:11">
      <c r="A19" s="225">
        <v>10</v>
      </c>
      <c r="B19" s="200" t="s">
        <v>333</v>
      </c>
      <c r="C19" s="695">
        <v>141655202.90716478</v>
      </c>
      <c r="D19" s="699">
        <v>179506743.20837548</v>
      </c>
      <c r="E19" s="697">
        <f t="shared" ref="E19:E21" si="3">C19+D19</f>
        <v>321161946.11554027</v>
      </c>
      <c r="F19" s="695">
        <v>13397752.471427185</v>
      </c>
      <c r="G19" s="699">
        <v>5999904.7318426464</v>
      </c>
      <c r="H19" s="697">
        <f t="shared" ref="H19:H21" si="4">F19+G19</f>
        <v>19397657.203269832</v>
      </c>
      <c r="I19" s="698">
        <v>22512998.084267173</v>
      </c>
      <c r="J19" s="699">
        <v>51407470.422015771</v>
      </c>
      <c r="K19" s="697">
        <f t="shared" ref="K19:K21" si="5">I19+J19</f>
        <v>73920468.506282941</v>
      </c>
    </row>
    <row r="20" spans="1:11">
      <c r="A20" s="225">
        <v>11</v>
      </c>
      <c r="B20" s="200" t="s">
        <v>334</v>
      </c>
      <c r="C20" s="700">
        <v>10651792.852325343</v>
      </c>
      <c r="D20" s="708">
        <v>15151966.679758815</v>
      </c>
      <c r="E20" s="697">
        <f t="shared" si="3"/>
        <v>25803759.53208416</v>
      </c>
      <c r="F20" s="700">
        <v>356183.52195767325</v>
      </c>
      <c r="G20" s="708">
        <v>777933.99494555115</v>
      </c>
      <c r="H20" s="697">
        <f t="shared" si="4"/>
        <v>1134117.5169032244</v>
      </c>
      <c r="I20" s="709">
        <v>356183.52195767325</v>
      </c>
      <c r="J20" s="708">
        <v>777933.99494555115</v>
      </c>
      <c r="K20" s="697">
        <f t="shared" si="5"/>
        <v>1134117.5169032244</v>
      </c>
    </row>
    <row r="21" spans="1:11" ht="13.5" thickBot="1">
      <c r="A21" s="154">
        <v>12</v>
      </c>
      <c r="B21" s="226" t="s">
        <v>335</v>
      </c>
      <c r="C21" s="710">
        <f>SUM(C18:C20)</f>
        <v>152306995.75949013</v>
      </c>
      <c r="D21" s="711">
        <f>SUM(D18:D20)</f>
        <v>194658709.8881343</v>
      </c>
      <c r="E21" s="712">
        <f t="shared" si="3"/>
        <v>346965705.64762443</v>
      </c>
      <c r="F21" s="713">
        <f>SUM(F18:F20)</f>
        <v>13753935.993384859</v>
      </c>
      <c r="G21" s="714">
        <f>SUM(G18:G20)</f>
        <v>6777838.7267881976</v>
      </c>
      <c r="H21" s="712">
        <f t="shared" si="4"/>
        <v>20531774.720173057</v>
      </c>
      <c r="I21" s="711">
        <f>SUM(I18:I20)</f>
        <v>22869181.606224846</v>
      </c>
      <c r="J21" s="714">
        <f>SUM(J18:J20)</f>
        <v>52185404.41696132</v>
      </c>
      <c r="K21" s="712">
        <f t="shared" si="5"/>
        <v>75054586.023186162</v>
      </c>
    </row>
    <row r="22" spans="1:11" ht="38.25" customHeight="1" thickBot="1">
      <c r="A22" s="212"/>
      <c r="B22" s="213"/>
      <c r="C22" s="213"/>
      <c r="D22" s="213"/>
      <c r="E22" s="213"/>
      <c r="F22" s="911" t="s">
        <v>336</v>
      </c>
      <c r="G22" s="912"/>
      <c r="H22" s="912"/>
      <c r="I22" s="911" t="s">
        <v>337</v>
      </c>
      <c r="J22" s="912"/>
      <c r="K22" s="913"/>
    </row>
    <row r="23" spans="1:11">
      <c r="A23" s="205">
        <v>13</v>
      </c>
      <c r="B23" s="202" t="s">
        <v>322</v>
      </c>
      <c r="C23" s="211"/>
      <c r="D23" s="211"/>
      <c r="E23" s="211"/>
      <c r="F23" s="715">
        <f>F8</f>
        <v>40487277.259055056</v>
      </c>
      <c r="G23" s="716">
        <f>G8</f>
        <v>73868059.89878948</v>
      </c>
      <c r="H23" s="717">
        <f>F23+G23</f>
        <v>114355337.15784454</v>
      </c>
      <c r="I23" s="715">
        <f>I8</f>
        <v>36081171.981226712</v>
      </c>
      <c r="J23" s="716">
        <f>J8</f>
        <v>61786945.834106803</v>
      </c>
      <c r="K23" s="717">
        <f>I23+J23</f>
        <v>97868117.815333515</v>
      </c>
    </row>
    <row r="24" spans="1:11" ht="13.5" thickBot="1">
      <c r="A24" s="206">
        <v>14</v>
      </c>
      <c r="B24" s="203" t="s">
        <v>338</v>
      </c>
      <c r="C24" s="227"/>
      <c r="D24" s="209"/>
      <c r="E24" s="210"/>
      <c r="F24" s="718">
        <f>F16-MIN(F16*75%,F21)</f>
        <v>16590858.402207365</v>
      </c>
      <c r="G24" s="719">
        <f>G16-MIN(G16*75%,G21)</f>
        <v>52371919.469085254</v>
      </c>
      <c r="H24" s="720">
        <f>F24+G24</f>
        <v>68962777.871292621</v>
      </c>
      <c r="I24" s="718">
        <f>I16-MIN(I16*75%,I21)</f>
        <v>5775337.9268111326</v>
      </c>
      <c r="J24" s="719">
        <f>J16-MIN(J16*75%,J21)</f>
        <v>12466661.677051879</v>
      </c>
      <c r="K24" s="720">
        <f t="shared" ref="K24" si="6">I24+J24</f>
        <v>18241999.603863012</v>
      </c>
    </row>
    <row r="25" spans="1:11" ht="13.5" thickBot="1">
      <c r="A25" s="207">
        <v>15</v>
      </c>
      <c r="B25" s="204" t="s">
        <v>339</v>
      </c>
      <c r="C25" s="208"/>
      <c r="D25" s="208"/>
      <c r="E25" s="208"/>
      <c r="F25" s="721">
        <f t="shared" ref="F25:G25" si="7">F23/F24</f>
        <v>2.4403364960108598</v>
      </c>
      <c r="G25" s="722">
        <f t="shared" si="7"/>
        <v>1.410451643697979</v>
      </c>
      <c r="H25" s="723">
        <f>H23/H24</f>
        <v>1.6582182546542639</v>
      </c>
      <c r="I25" s="721">
        <f t="shared" ref="I25:J25" si="8">I23/I24</f>
        <v>6.2474564152731791</v>
      </c>
      <c r="J25" s="722">
        <f t="shared" si="8"/>
        <v>4.9561741093721734</v>
      </c>
      <c r="K25" s="723">
        <f>K23/K24</f>
        <v>5.3649884848483662</v>
      </c>
    </row>
    <row r="28" spans="1:11" ht="38.25">
      <c r="B28" s="23"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6" activePane="bottomRight" state="frozen"/>
      <selection pane="topRight" activeCell="B1" sqref="B1"/>
      <selection pane="bottomLeft" activeCell="A5" sqref="A5"/>
      <selection pane="bottomRight" activeCell="B1" sqref="B1:B2"/>
    </sheetView>
  </sheetViews>
  <sheetFormatPr defaultColWidth="9.140625" defaultRowHeight="15"/>
  <cols>
    <col min="1" max="1" width="10.5703125" style="39" bestFit="1" customWidth="1"/>
    <col min="2" max="2" width="95" style="39" customWidth="1"/>
    <col min="3" max="3" width="12.5703125" style="39" bestFit="1" customWidth="1"/>
    <col min="4" max="4" width="10" style="39" bestFit="1" customWidth="1"/>
    <col min="5" max="5" width="18.28515625" style="39" bestFit="1" customWidth="1"/>
    <col min="6" max="13" width="10.7109375" style="39" customWidth="1"/>
    <col min="14" max="14" width="31" style="39" bestFit="1" customWidth="1"/>
    <col min="15" max="16384" width="9.140625" style="12"/>
  </cols>
  <sheetData>
    <row r="1" spans="1:14">
      <c r="A1" s="5" t="s">
        <v>108</v>
      </c>
      <c r="B1" s="603" t="str">
        <f>'1. key ratios'!B1</f>
        <v>სს იშბანკი საქართველო</v>
      </c>
    </row>
    <row r="2" spans="1:14" ht="14.25" customHeight="1">
      <c r="A2" s="39" t="s">
        <v>109</v>
      </c>
      <c r="B2" s="604">
        <f>'1. key ratios'!B2</f>
        <v>45657</v>
      </c>
    </row>
    <row r="3" spans="1:14" ht="14.25" customHeight="1"/>
    <row r="4" spans="1:14" ht="15.75" thickBot="1">
      <c r="A4" s="2" t="s">
        <v>262</v>
      </c>
      <c r="B4" s="56" t="s">
        <v>74</v>
      </c>
    </row>
    <row r="5" spans="1:14" s="25" customFormat="1" ht="12.75">
      <c r="A5" s="116"/>
      <c r="B5" s="117"/>
      <c r="C5" s="118" t="s">
        <v>0</v>
      </c>
      <c r="D5" s="118" t="s">
        <v>1</v>
      </c>
      <c r="E5" s="118" t="s">
        <v>2</v>
      </c>
      <c r="F5" s="118" t="s">
        <v>3</v>
      </c>
      <c r="G5" s="118" t="s">
        <v>4</v>
      </c>
      <c r="H5" s="118" t="s">
        <v>5</v>
      </c>
      <c r="I5" s="118" t="s">
        <v>145</v>
      </c>
      <c r="J5" s="118" t="s">
        <v>146</v>
      </c>
      <c r="K5" s="118" t="s">
        <v>147</v>
      </c>
      <c r="L5" s="118" t="s">
        <v>148</v>
      </c>
      <c r="M5" s="118" t="s">
        <v>149</v>
      </c>
      <c r="N5" s="119" t="s">
        <v>150</v>
      </c>
    </row>
    <row r="6" spans="1:14" ht="45">
      <c r="A6" s="108"/>
      <c r="B6" s="68"/>
      <c r="C6" s="69" t="s">
        <v>84</v>
      </c>
      <c r="D6" s="70" t="s">
        <v>73</v>
      </c>
      <c r="E6" s="71" t="s">
        <v>83</v>
      </c>
      <c r="F6" s="72">
        <v>0</v>
      </c>
      <c r="G6" s="72">
        <v>0.2</v>
      </c>
      <c r="H6" s="72">
        <v>0.35</v>
      </c>
      <c r="I6" s="72">
        <v>0.5</v>
      </c>
      <c r="J6" s="72">
        <v>0.75</v>
      </c>
      <c r="K6" s="72">
        <v>1</v>
      </c>
      <c r="L6" s="72">
        <v>1.5</v>
      </c>
      <c r="M6" s="72">
        <v>2.5</v>
      </c>
      <c r="N6" s="109" t="s">
        <v>74</v>
      </c>
    </row>
    <row r="7" spans="1:14">
      <c r="A7" s="110">
        <v>1</v>
      </c>
      <c r="B7" s="73" t="s">
        <v>75</v>
      </c>
      <c r="C7" s="179">
        <f>SUM(C8:C13)</f>
        <v>0</v>
      </c>
      <c r="D7" s="68"/>
      <c r="E7" s="182">
        <f t="shared" ref="E7:M7" si="0">SUM(E8:E13)</f>
        <v>0</v>
      </c>
      <c r="F7" s="179">
        <f>SUM(F8:F13)</f>
        <v>0</v>
      </c>
      <c r="G7" s="179">
        <f t="shared" si="0"/>
        <v>0</v>
      </c>
      <c r="H7" s="179">
        <f t="shared" si="0"/>
        <v>0</v>
      </c>
      <c r="I7" s="179">
        <f t="shared" si="0"/>
        <v>0</v>
      </c>
      <c r="J7" s="179">
        <f t="shared" si="0"/>
        <v>0</v>
      </c>
      <c r="K7" s="179">
        <f t="shared" si="0"/>
        <v>0</v>
      </c>
      <c r="L7" s="179">
        <f t="shared" si="0"/>
        <v>0</v>
      </c>
      <c r="M7" s="179">
        <f t="shared" si="0"/>
        <v>0</v>
      </c>
      <c r="N7" s="111">
        <f>SUM(N8:N13)</f>
        <v>0</v>
      </c>
    </row>
    <row r="8" spans="1:14">
      <c r="A8" s="110">
        <v>1.1000000000000001</v>
      </c>
      <c r="B8" s="74" t="s">
        <v>76</v>
      </c>
      <c r="C8" s="180">
        <v>0</v>
      </c>
      <c r="D8" s="75">
        <v>0.02</v>
      </c>
      <c r="E8" s="182">
        <f>C8*D8</f>
        <v>0</v>
      </c>
      <c r="F8" s="180"/>
      <c r="G8" s="180"/>
      <c r="H8" s="180"/>
      <c r="I8" s="180"/>
      <c r="J8" s="180"/>
      <c r="K8" s="180"/>
      <c r="L8" s="180"/>
      <c r="M8" s="180"/>
      <c r="N8" s="111">
        <f>SUMPRODUCT($F$6:$M$6,F8:M8)</f>
        <v>0</v>
      </c>
    </row>
    <row r="9" spans="1:14">
      <c r="A9" s="110">
        <v>1.2</v>
      </c>
      <c r="B9" s="74" t="s">
        <v>77</v>
      </c>
      <c r="C9" s="180">
        <v>0</v>
      </c>
      <c r="D9" s="75">
        <v>0.05</v>
      </c>
      <c r="E9" s="182">
        <f>C9*D9</f>
        <v>0</v>
      </c>
      <c r="F9" s="180"/>
      <c r="G9" s="180"/>
      <c r="H9" s="180"/>
      <c r="I9" s="180"/>
      <c r="J9" s="180"/>
      <c r="K9" s="180"/>
      <c r="L9" s="180"/>
      <c r="M9" s="180"/>
      <c r="N9" s="111">
        <f t="shared" ref="N9:N12" si="1">SUMPRODUCT($F$6:$M$6,F9:M9)</f>
        <v>0</v>
      </c>
    </row>
    <row r="10" spans="1:14">
      <c r="A10" s="110">
        <v>1.3</v>
      </c>
      <c r="B10" s="74" t="s">
        <v>78</v>
      </c>
      <c r="C10" s="180">
        <v>0</v>
      </c>
      <c r="D10" s="75">
        <v>0.08</v>
      </c>
      <c r="E10" s="182">
        <f>C10*D10</f>
        <v>0</v>
      </c>
      <c r="F10" s="180"/>
      <c r="G10" s="180"/>
      <c r="H10" s="180"/>
      <c r="I10" s="180"/>
      <c r="J10" s="180"/>
      <c r="K10" s="180"/>
      <c r="L10" s="180"/>
      <c r="M10" s="180"/>
      <c r="N10" s="111">
        <f>SUMPRODUCT($F$6:$M$6,F10:M10)</f>
        <v>0</v>
      </c>
    </row>
    <row r="11" spans="1:14">
      <c r="A11" s="110">
        <v>1.4</v>
      </c>
      <c r="B11" s="74" t="s">
        <v>79</v>
      </c>
      <c r="C11" s="180">
        <v>0</v>
      </c>
      <c r="D11" s="75">
        <v>0.11</v>
      </c>
      <c r="E11" s="182">
        <f>C11*D11</f>
        <v>0</v>
      </c>
      <c r="F11" s="180"/>
      <c r="G11" s="180"/>
      <c r="H11" s="180"/>
      <c r="I11" s="180"/>
      <c r="J11" s="180"/>
      <c r="K11" s="180"/>
      <c r="L11" s="180"/>
      <c r="M11" s="180"/>
      <c r="N11" s="111">
        <f t="shared" si="1"/>
        <v>0</v>
      </c>
    </row>
    <row r="12" spans="1:14">
      <c r="A12" s="110">
        <v>1.5</v>
      </c>
      <c r="B12" s="74" t="s">
        <v>80</v>
      </c>
      <c r="C12" s="180">
        <v>0</v>
      </c>
      <c r="D12" s="75">
        <v>0.14000000000000001</v>
      </c>
      <c r="E12" s="182">
        <f>C12*D12</f>
        <v>0</v>
      </c>
      <c r="F12" s="180"/>
      <c r="G12" s="180"/>
      <c r="H12" s="180"/>
      <c r="I12" s="180"/>
      <c r="J12" s="180"/>
      <c r="K12" s="180"/>
      <c r="L12" s="180"/>
      <c r="M12" s="180"/>
      <c r="N12" s="111">
        <f t="shared" si="1"/>
        <v>0</v>
      </c>
    </row>
    <row r="13" spans="1:14">
      <c r="A13" s="110">
        <v>1.6</v>
      </c>
      <c r="B13" s="76" t="s">
        <v>81</v>
      </c>
      <c r="C13" s="180">
        <v>0</v>
      </c>
      <c r="D13" s="77"/>
      <c r="E13" s="180"/>
      <c r="F13" s="180"/>
      <c r="G13" s="180"/>
      <c r="H13" s="180"/>
      <c r="I13" s="180"/>
      <c r="J13" s="180"/>
      <c r="K13" s="180"/>
      <c r="L13" s="180"/>
      <c r="M13" s="180"/>
      <c r="N13" s="111">
        <f>SUMPRODUCT($F$6:$M$6,F13:M13)</f>
        <v>0</v>
      </c>
    </row>
    <row r="14" spans="1:14">
      <c r="A14" s="110">
        <v>2</v>
      </c>
      <c r="B14" s="78" t="s">
        <v>82</v>
      </c>
      <c r="C14" s="179">
        <f>SUM(C15:C20)</f>
        <v>0</v>
      </c>
      <c r="D14" s="68"/>
      <c r="E14" s="182">
        <f t="shared" ref="E14:M14" si="2">SUM(E15:E20)</f>
        <v>0</v>
      </c>
      <c r="F14" s="180">
        <f t="shared" si="2"/>
        <v>0</v>
      </c>
      <c r="G14" s="180">
        <f t="shared" si="2"/>
        <v>0</v>
      </c>
      <c r="H14" s="180">
        <f t="shared" si="2"/>
        <v>0</v>
      </c>
      <c r="I14" s="180">
        <f t="shared" si="2"/>
        <v>0</v>
      </c>
      <c r="J14" s="180">
        <f t="shared" si="2"/>
        <v>0</v>
      </c>
      <c r="K14" s="180">
        <f t="shared" si="2"/>
        <v>0</v>
      </c>
      <c r="L14" s="180">
        <f t="shared" si="2"/>
        <v>0</v>
      </c>
      <c r="M14" s="180">
        <f t="shared" si="2"/>
        <v>0</v>
      </c>
      <c r="N14" s="111">
        <f>SUM(N15:N20)</f>
        <v>0</v>
      </c>
    </row>
    <row r="15" spans="1:14">
      <c r="A15" s="110">
        <v>2.1</v>
      </c>
      <c r="B15" s="76" t="s">
        <v>76</v>
      </c>
      <c r="C15" s="180"/>
      <c r="D15" s="75">
        <v>5.0000000000000001E-3</v>
      </c>
      <c r="E15" s="182">
        <f>C15*D15</f>
        <v>0</v>
      </c>
      <c r="F15" s="180"/>
      <c r="G15" s="180"/>
      <c r="H15" s="180"/>
      <c r="I15" s="180"/>
      <c r="J15" s="180"/>
      <c r="K15" s="180"/>
      <c r="L15" s="180"/>
      <c r="M15" s="180"/>
      <c r="N15" s="111">
        <f>SUMPRODUCT($F$6:$M$6,F15:M15)</f>
        <v>0</v>
      </c>
    </row>
    <row r="16" spans="1:14">
      <c r="A16" s="110">
        <v>2.2000000000000002</v>
      </c>
      <c r="B16" s="76" t="s">
        <v>77</v>
      </c>
      <c r="C16" s="180"/>
      <c r="D16" s="75">
        <v>0.01</v>
      </c>
      <c r="E16" s="182">
        <f>C16*D16</f>
        <v>0</v>
      </c>
      <c r="F16" s="180"/>
      <c r="G16" s="180"/>
      <c r="H16" s="180"/>
      <c r="I16" s="180"/>
      <c r="J16" s="180"/>
      <c r="K16" s="180"/>
      <c r="L16" s="180"/>
      <c r="M16" s="180"/>
      <c r="N16" s="111">
        <f t="shared" ref="N16:N20" si="3">SUMPRODUCT($F$6:$M$6,F16:M16)</f>
        <v>0</v>
      </c>
    </row>
    <row r="17" spans="1:14">
      <c r="A17" s="110">
        <v>2.2999999999999998</v>
      </c>
      <c r="B17" s="76" t="s">
        <v>78</v>
      </c>
      <c r="C17" s="180"/>
      <c r="D17" s="75">
        <v>0.02</v>
      </c>
      <c r="E17" s="182">
        <f>C17*D17</f>
        <v>0</v>
      </c>
      <c r="F17" s="180"/>
      <c r="G17" s="180"/>
      <c r="H17" s="180"/>
      <c r="I17" s="180"/>
      <c r="J17" s="180"/>
      <c r="K17" s="180"/>
      <c r="L17" s="180"/>
      <c r="M17" s="180"/>
      <c r="N17" s="111">
        <f t="shared" si="3"/>
        <v>0</v>
      </c>
    </row>
    <row r="18" spans="1:14">
      <c r="A18" s="110">
        <v>2.4</v>
      </c>
      <c r="B18" s="76" t="s">
        <v>79</v>
      </c>
      <c r="C18" s="180"/>
      <c r="D18" s="75">
        <v>0.03</v>
      </c>
      <c r="E18" s="182">
        <f>C18*D18</f>
        <v>0</v>
      </c>
      <c r="F18" s="180"/>
      <c r="G18" s="180"/>
      <c r="H18" s="180"/>
      <c r="I18" s="180"/>
      <c r="J18" s="180"/>
      <c r="K18" s="180"/>
      <c r="L18" s="180"/>
      <c r="M18" s="180"/>
      <c r="N18" s="111">
        <f t="shared" si="3"/>
        <v>0</v>
      </c>
    </row>
    <row r="19" spans="1:14">
      <c r="A19" s="110">
        <v>2.5</v>
      </c>
      <c r="B19" s="76" t="s">
        <v>80</v>
      </c>
      <c r="C19" s="180"/>
      <c r="D19" s="75">
        <v>0.04</v>
      </c>
      <c r="E19" s="182">
        <f>C19*D19</f>
        <v>0</v>
      </c>
      <c r="F19" s="180"/>
      <c r="G19" s="180"/>
      <c r="H19" s="180"/>
      <c r="I19" s="180"/>
      <c r="J19" s="180"/>
      <c r="K19" s="180"/>
      <c r="L19" s="180"/>
      <c r="M19" s="180"/>
      <c r="N19" s="111">
        <f t="shared" si="3"/>
        <v>0</v>
      </c>
    </row>
    <row r="20" spans="1:14">
      <c r="A20" s="110">
        <v>2.6</v>
      </c>
      <c r="B20" s="76" t="s">
        <v>81</v>
      </c>
      <c r="C20" s="180"/>
      <c r="D20" s="77"/>
      <c r="E20" s="183"/>
      <c r="F20" s="180"/>
      <c r="G20" s="180"/>
      <c r="H20" s="180"/>
      <c r="I20" s="180"/>
      <c r="J20" s="180"/>
      <c r="K20" s="180"/>
      <c r="L20" s="180"/>
      <c r="M20" s="180"/>
      <c r="N20" s="111">
        <f t="shared" si="3"/>
        <v>0</v>
      </c>
    </row>
    <row r="21" spans="1:14" ht="15.75" thickBot="1">
      <c r="A21" s="112">
        <v>3</v>
      </c>
      <c r="B21" s="113" t="s">
        <v>66</v>
      </c>
      <c r="C21" s="181">
        <f>C14+C7</f>
        <v>0</v>
      </c>
      <c r="D21" s="114"/>
      <c r="E21" s="184">
        <f>E14+E7</f>
        <v>0</v>
      </c>
      <c r="F21" s="185">
        <f>F7+F14</f>
        <v>0</v>
      </c>
      <c r="G21" s="185">
        <f t="shared" ref="G21:L21" si="4">G7+G14</f>
        <v>0</v>
      </c>
      <c r="H21" s="185">
        <f t="shared" si="4"/>
        <v>0</v>
      </c>
      <c r="I21" s="185">
        <f t="shared" si="4"/>
        <v>0</v>
      </c>
      <c r="J21" s="185">
        <f t="shared" si="4"/>
        <v>0</v>
      </c>
      <c r="K21" s="185">
        <f t="shared" si="4"/>
        <v>0</v>
      </c>
      <c r="L21" s="185">
        <f t="shared" si="4"/>
        <v>0</v>
      </c>
      <c r="M21" s="185">
        <f>M7+M14</f>
        <v>0</v>
      </c>
      <c r="N21" s="115">
        <f>N14+N7</f>
        <v>0</v>
      </c>
    </row>
    <row r="22" spans="1:14">
      <c r="E22" s="186"/>
      <c r="F22" s="186"/>
      <c r="G22" s="186"/>
      <c r="H22" s="186"/>
      <c r="I22" s="186"/>
      <c r="J22" s="186"/>
      <c r="K22" s="186"/>
      <c r="L22" s="186"/>
      <c r="M22" s="186"/>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showGridLines="0" workbookViewId="0">
      <selection activeCell="B4" sqref="B4"/>
    </sheetView>
  </sheetViews>
  <sheetFormatPr defaultRowHeight="15"/>
  <cols>
    <col min="1" max="1" width="11.42578125" customWidth="1"/>
    <col min="2" max="2" width="76.85546875" style="4" customWidth="1"/>
    <col min="3" max="3" width="22.85546875" customWidth="1"/>
  </cols>
  <sheetData>
    <row r="1" spans="1:3">
      <c r="A1" s="218" t="s">
        <v>108</v>
      </c>
      <c r="B1" s="603" t="str">
        <f>'1. key ratios'!B1</f>
        <v>სს იშბანკი საქართველო</v>
      </c>
    </row>
    <row r="2" spans="1:3">
      <c r="A2" s="218" t="s">
        <v>109</v>
      </c>
      <c r="B2" s="604">
        <f>'1. key ratios'!B2</f>
        <v>45657</v>
      </c>
    </row>
    <row r="3" spans="1:3">
      <c r="A3" s="218"/>
      <c r="B3"/>
    </row>
    <row r="4" spans="1:3">
      <c r="A4" s="218" t="s">
        <v>428</v>
      </c>
      <c r="B4" t="s">
        <v>387</v>
      </c>
    </row>
    <row r="5" spans="1:3">
      <c r="A5" s="269"/>
      <c r="B5" s="269" t="s">
        <v>388</v>
      </c>
      <c r="C5" s="281"/>
    </row>
    <row r="6" spans="1:3">
      <c r="A6" s="270">
        <v>1</v>
      </c>
      <c r="B6" s="282" t="s">
        <v>437</v>
      </c>
      <c r="C6" s="724">
        <v>489946874.57204652</v>
      </c>
    </row>
    <row r="7" spans="1:3">
      <c r="A7" s="270">
        <v>2</v>
      </c>
      <c r="B7" s="282" t="s">
        <v>389</v>
      </c>
      <c r="C7" s="724">
        <v>-2727053.4502263302</v>
      </c>
    </row>
    <row r="8" spans="1:3">
      <c r="A8" s="271">
        <v>3</v>
      </c>
      <c r="B8" s="284" t="s">
        <v>390</v>
      </c>
      <c r="C8" s="285">
        <f>C6+C7</f>
        <v>487219821.12182021</v>
      </c>
    </row>
    <row r="9" spans="1:3">
      <c r="A9" s="272"/>
      <c r="B9" s="272" t="s">
        <v>391</v>
      </c>
      <c r="C9" s="286"/>
    </row>
    <row r="10" spans="1:3">
      <c r="A10" s="273">
        <v>4</v>
      </c>
      <c r="B10" s="287" t="s">
        <v>392</v>
      </c>
      <c r="C10" s="283"/>
    </row>
    <row r="11" spans="1:3">
      <c r="A11" s="273">
        <v>5</v>
      </c>
      <c r="B11" s="288" t="s">
        <v>393</v>
      </c>
      <c r="C11" s="283"/>
    </row>
    <row r="12" spans="1:3">
      <c r="A12" s="273" t="s">
        <v>394</v>
      </c>
      <c r="B12" s="282" t="s">
        <v>395</v>
      </c>
      <c r="C12" s="285">
        <f>'15. CCR'!E21</f>
        <v>0</v>
      </c>
    </row>
    <row r="13" spans="1:3">
      <c r="A13" s="274">
        <v>6</v>
      </c>
      <c r="B13" s="289" t="s">
        <v>396</v>
      </c>
      <c r="C13" s="283"/>
    </row>
    <row r="14" spans="1:3">
      <c r="A14" s="274">
        <v>7</v>
      </c>
      <c r="B14" s="290" t="s">
        <v>397</v>
      </c>
      <c r="C14" s="283"/>
    </row>
    <row r="15" spans="1:3">
      <c r="A15" s="275">
        <v>8</v>
      </c>
      <c r="B15" s="282" t="s">
        <v>398</v>
      </c>
      <c r="C15" s="283"/>
    </row>
    <row r="16" spans="1:3" ht="24">
      <c r="A16" s="274">
        <v>9</v>
      </c>
      <c r="B16" s="290" t="s">
        <v>399</v>
      </c>
      <c r="C16" s="283"/>
    </row>
    <row r="17" spans="1:3">
      <c r="A17" s="274">
        <v>10</v>
      </c>
      <c r="B17" s="290" t="s">
        <v>400</v>
      </c>
      <c r="C17" s="283"/>
    </row>
    <row r="18" spans="1:3">
      <c r="A18" s="276">
        <v>11</v>
      </c>
      <c r="B18" s="291" t="s">
        <v>401</v>
      </c>
      <c r="C18" s="285">
        <f>SUM(C10:C17)</f>
        <v>0</v>
      </c>
    </row>
    <row r="19" spans="1:3">
      <c r="A19" s="272"/>
      <c r="B19" s="272" t="s">
        <v>402</v>
      </c>
      <c r="C19" s="292"/>
    </row>
    <row r="20" spans="1:3">
      <c r="A20" s="274">
        <v>12</v>
      </c>
      <c r="B20" s="287" t="s">
        <v>403</v>
      </c>
      <c r="C20" s="283"/>
    </row>
    <row r="21" spans="1:3">
      <c r="A21" s="274">
        <v>13</v>
      </c>
      <c r="B21" s="287" t="s">
        <v>404</v>
      </c>
      <c r="C21" s="283"/>
    </row>
    <row r="22" spans="1:3">
      <c r="A22" s="274">
        <v>14</v>
      </c>
      <c r="B22" s="287" t="s">
        <v>405</v>
      </c>
      <c r="C22" s="283"/>
    </row>
    <row r="23" spans="1:3" ht="24">
      <c r="A23" s="274" t="s">
        <v>406</v>
      </c>
      <c r="B23" s="287" t="s">
        <v>407</v>
      </c>
      <c r="C23" s="283"/>
    </row>
    <row r="24" spans="1:3">
      <c r="A24" s="274">
        <v>15</v>
      </c>
      <c r="B24" s="287" t="s">
        <v>408</v>
      </c>
      <c r="C24" s="283"/>
    </row>
    <row r="25" spans="1:3">
      <c r="A25" s="274" t="s">
        <v>409</v>
      </c>
      <c r="B25" s="282" t="s">
        <v>410</v>
      </c>
      <c r="C25" s="283"/>
    </row>
    <row r="26" spans="1:3">
      <c r="A26" s="276">
        <v>16</v>
      </c>
      <c r="B26" s="291" t="s">
        <v>411</v>
      </c>
      <c r="C26" s="285">
        <f>SUM(C20:C25)</f>
        <v>0</v>
      </c>
    </row>
    <row r="27" spans="1:3">
      <c r="A27" s="272"/>
      <c r="B27" s="272" t="s">
        <v>412</v>
      </c>
      <c r="C27" s="286"/>
    </row>
    <row r="28" spans="1:3">
      <c r="A28" s="273">
        <v>17</v>
      </c>
      <c r="B28" s="282" t="s">
        <v>413</v>
      </c>
      <c r="C28" s="283"/>
    </row>
    <row r="29" spans="1:3">
      <c r="A29" s="273">
        <v>18</v>
      </c>
      <c r="B29" s="282" t="s">
        <v>414</v>
      </c>
      <c r="C29" s="283"/>
    </row>
    <row r="30" spans="1:3">
      <c r="A30" s="276">
        <v>19</v>
      </c>
      <c r="B30" s="291" t="s">
        <v>415</v>
      </c>
      <c r="C30" s="285">
        <f>C28+C29</f>
        <v>0</v>
      </c>
    </row>
    <row r="31" spans="1:3">
      <c r="A31" s="277"/>
      <c r="B31" s="272" t="s">
        <v>416</v>
      </c>
      <c r="C31" s="286"/>
    </row>
    <row r="32" spans="1:3">
      <c r="A32" s="273" t="s">
        <v>417</v>
      </c>
      <c r="B32" s="287" t="s">
        <v>418</v>
      </c>
      <c r="C32" s="293"/>
    </row>
    <row r="33" spans="1:3">
      <c r="A33" s="273" t="s">
        <v>419</v>
      </c>
      <c r="B33" s="288" t="s">
        <v>420</v>
      </c>
      <c r="C33" s="293"/>
    </row>
    <row r="34" spans="1:3">
      <c r="A34" s="272"/>
      <c r="B34" s="272" t="s">
        <v>421</v>
      </c>
      <c r="C34" s="286"/>
    </row>
    <row r="35" spans="1:3">
      <c r="A35" s="276">
        <v>20</v>
      </c>
      <c r="B35" s="291" t="s">
        <v>86</v>
      </c>
      <c r="C35" s="285">
        <f>'1. key ratios'!C9</f>
        <v>143298736.73131147</v>
      </c>
    </row>
    <row r="36" spans="1:3">
      <c r="A36" s="276">
        <v>21</v>
      </c>
      <c r="B36" s="291" t="s">
        <v>422</v>
      </c>
      <c r="C36" s="285">
        <f>C8+C18+C26+C30</f>
        <v>487219821.12182021</v>
      </c>
    </row>
    <row r="37" spans="1:3">
      <c r="A37" s="278"/>
      <c r="B37" s="278" t="s">
        <v>387</v>
      </c>
      <c r="C37" s="286"/>
    </row>
    <row r="38" spans="1:3">
      <c r="A38" s="276">
        <v>22</v>
      </c>
      <c r="B38" s="291" t="s">
        <v>387</v>
      </c>
      <c r="C38" s="725">
        <f>IFERROR(C35/C36,0)</f>
        <v>0.29411516223081224</v>
      </c>
    </row>
    <row r="39" spans="1:3">
      <c r="A39" s="278"/>
      <c r="B39" s="278" t="s">
        <v>423</v>
      </c>
      <c r="C39" s="286"/>
    </row>
    <row r="40" spans="1:3">
      <c r="A40" s="279" t="s">
        <v>424</v>
      </c>
      <c r="B40" s="287" t="s">
        <v>425</v>
      </c>
      <c r="C40" s="293"/>
    </row>
    <row r="41" spans="1:3">
      <c r="A41" s="280" t="s">
        <v>426</v>
      </c>
      <c r="B41" s="288" t="s">
        <v>427</v>
      </c>
      <c r="C41" s="293"/>
    </row>
    <row r="43" spans="1:3">
      <c r="B43" s="302"/>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showGridLines="0" zoomScale="90" zoomScaleNormal="90" workbookViewId="0">
      <pane xSplit="2" ySplit="6" topLeftCell="C7" activePane="bottomRight" state="frozen"/>
      <selection pane="topRight" activeCell="C1" sqref="C1"/>
      <selection pane="bottomLeft" activeCell="A7" sqref="A7"/>
      <selection pane="bottomRight" activeCell="B4" sqref="B4"/>
    </sheetView>
  </sheetViews>
  <sheetFormatPr defaultRowHeight="15"/>
  <cols>
    <col min="1" max="1" width="9.85546875" style="218" bestFit="1" customWidth="1"/>
    <col min="2" max="2" width="82.5703125" style="23" customWidth="1"/>
    <col min="3" max="7" width="17.5703125" style="218" customWidth="1"/>
  </cols>
  <sheetData>
    <row r="1" spans="1:7">
      <c r="A1" s="218" t="s">
        <v>108</v>
      </c>
      <c r="B1" s="603" t="str">
        <f>'1. key ratios'!B1</f>
        <v>სს იშბანკი საქართველო</v>
      </c>
    </row>
    <row r="2" spans="1:7">
      <c r="A2" s="218" t="s">
        <v>109</v>
      </c>
      <c r="B2" s="604">
        <f>'1. key ratios'!B2</f>
        <v>45657</v>
      </c>
    </row>
    <row r="3" spans="1:7">
      <c r="B3" s="330"/>
    </row>
    <row r="4" spans="1:7" ht="15.75" thickBot="1">
      <c r="A4" s="218" t="s">
        <v>484</v>
      </c>
      <c r="B4" s="331" t="s">
        <v>449</v>
      </c>
    </row>
    <row r="5" spans="1:7">
      <c r="A5" s="332"/>
      <c r="B5" s="333"/>
      <c r="C5" s="916" t="s">
        <v>450</v>
      </c>
      <c r="D5" s="916"/>
      <c r="E5" s="916"/>
      <c r="F5" s="916"/>
      <c r="G5" s="917" t="s">
        <v>451</v>
      </c>
    </row>
    <row r="6" spans="1:7">
      <c r="A6" s="334"/>
      <c r="B6" s="335"/>
      <c r="C6" s="336" t="s">
        <v>452</v>
      </c>
      <c r="D6" s="337" t="s">
        <v>453</v>
      </c>
      <c r="E6" s="337" t="s">
        <v>454</v>
      </c>
      <c r="F6" s="337" t="s">
        <v>455</v>
      </c>
      <c r="G6" s="918"/>
    </row>
    <row r="7" spans="1:7">
      <c r="A7" s="338"/>
      <c r="B7" s="339" t="s">
        <v>456</v>
      </c>
      <c r="C7" s="340"/>
      <c r="D7" s="340"/>
      <c r="E7" s="340"/>
      <c r="F7" s="340"/>
      <c r="G7" s="341"/>
    </row>
    <row r="8" spans="1:7">
      <c r="A8" s="342">
        <v>1</v>
      </c>
      <c r="B8" s="343" t="s">
        <v>457</v>
      </c>
      <c r="C8" s="774">
        <f>SUM(C9:C10)</f>
        <v>143298736.73131147</v>
      </c>
      <c r="D8" s="774">
        <f>SUM(D9:D10)</f>
        <v>0</v>
      </c>
      <c r="E8" s="774">
        <f>SUM(E9:E10)</f>
        <v>0</v>
      </c>
      <c r="F8" s="774">
        <f>SUM(F9:F10)</f>
        <v>70536309.523388967</v>
      </c>
      <c r="G8" s="775">
        <f>SUM(G9:G10)</f>
        <v>213835046.25470042</v>
      </c>
    </row>
    <row r="9" spans="1:7">
      <c r="A9" s="342">
        <v>2</v>
      </c>
      <c r="B9" s="346" t="s">
        <v>85</v>
      </c>
      <c r="C9" s="344">
        <v>143298736.73131147</v>
      </c>
      <c r="D9" s="344"/>
      <c r="E9" s="344"/>
      <c r="F9" s="344"/>
      <c r="G9" s="345">
        <v>143298736.73131147</v>
      </c>
    </row>
    <row r="10" spans="1:7">
      <c r="A10" s="342">
        <v>3</v>
      </c>
      <c r="B10" s="346" t="s">
        <v>458</v>
      </c>
      <c r="C10" s="347"/>
      <c r="D10" s="347"/>
      <c r="E10" s="347"/>
      <c r="F10" s="344">
        <v>70536309.523388967</v>
      </c>
      <c r="G10" s="345">
        <v>70536309.523388967</v>
      </c>
    </row>
    <row r="11" spans="1:7" ht="26.25">
      <c r="A11" s="342">
        <v>4</v>
      </c>
      <c r="B11" s="343" t="s">
        <v>459</v>
      </c>
      <c r="C11" s="774">
        <f t="shared" ref="C11:F11" si="0">SUM(C12:C13)</f>
        <v>3660823.783533562</v>
      </c>
      <c r="D11" s="774">
        <f t="shared" si="0"/>
        <v>12358087.863609798</v>
      </c>
      <c r="E11" s="774">
        <f t="shared" si="0"/>
        <v>2381194.1196504207</v>
      </c>
      <c r="F11" s="774">
        <f t="shared" si="0"/>
        <v>102826.12832232</v>
      </c>
      <c r="G11" s="775">
        <f>SUM(G12:G13)</f>
        <v>14784139.683599092</v>
      </c>
    </row>
    <row r="12" spans="1:7">
      <c r="A12" s="342">
        <v>5</v>
      </c>
      <c r="B12" s="346" t="s">
        <v>460</v>
      </c>
      <c r="C12" s="344">
        <v>2874393.9717055615</v>
      </c>
      <c r="D12" s="348">
        <v>6936416.3048573593</v>
      </c>
      <c r="E12" s="344">
        <v>2381194.1196504207</v>
      </c>
      <c r="F12" s="344">
        <v>102826.12832232</v>
      </c>
      <c r="G12" s="345">
        <v>11680088.998308873</v>
      </c>
    </row>
    <row r="13" spans="1:7">
      <c r="A13" s="342">
        <v>6</v>
      </c>
      <c r="B13" s="346" t="s">
        <v>461</v>
      </c>
      <c r="C13" s="344">
        <v>786429.81182800035</v>
      </c>
      <c r="D13" s="348">
        <v>5421671.5587524399</v>
      </c>
      <c r="E13" s="344">
        <v>0</v>
      </c>
      <c r="F13" s="344">
        <v>0</v>
      </c>
      <c r="G13" s="345">
        <v>3104050.6852902202</v>
      </c>
    </row>
    <row r="14" spans="1:7">
      <c r="A14" s="342">
        <v>7</v>
      </c>
      <c r="B14" s="343" t="s">
        <v>462</v>
      </c>
      <c r="C14" s="774">
        <f t="shared" ref="C14:F14" si="1">SUM(C15:C16)</f>
        <v>54455768.284517691</v>
      </c>
      <c r="D14" s="774">
        <f t="shared" si="1"/>
        <v>160609565.15963614</v>
      </c>
      <c r="E14" s="774">
        <f t="shared" si="1"/>
        <v>22896052.010632962</v>
      </c>
      <c r="F14" s="774">
        <f t="shared" si="1"/>
        <v>301898.63540000003</v>
      </c>
      <c r="G14" s="775">
        <f>SUM(G15:G16)</f>
        <v>44652532.95464091</v>
      </c>
    </row>
    <row r="15" spans="1:7" ht="51.75">
      <c r="A15" s="342">
        <v>8</v>
      </c>
      <c r="B15" s="346" t="s">
        <v>463</v>
      </c>
      <c r="C15" s="344">
        <v>46188755.97584457</v>
      </c>
      <c r="D15" s="348">
        <v>19918359.28740428</v>
      </c>
      <c r="E15" s="344">
        <v>10623563.2662539</v>
      </c>
      <c r="F15" s="344">
        <v>301898.63540000003</v>
      </c>
      <c r="G15" s="345">
        <v>38516288.582451381</v>
      </c>
    </row>
    <row r="16" spans="1:7" ht="26.25">
      <c r="A16" s="342">
        <v>9</v>
      </c>
      <c r="B16" s="346" t="s">
        <v>464</v>
      </c>
      <c r="C16" s="344">
        <v>8267012.3086731192</v>
      </c>
      <c r="D16" s="348">
        <v>140691205.87223187</v>
      </c>
      <c r="E16" s="344">
        <v>12272488.744379062</v>
      </c>
      <c r="F16" s="344">
        <v>0</v>
      </c>
      <c r="G16" s="345">
        <v>6136244.3721895311</v>
      </c>
    </row>
    <row r="17" spans="1:7">
      <c r="A17" s="342">
        <v>10</v>
      </c>
      <c r="B17" s="343" t="s">
        <v>465</v>
      </c>
      <c r="C17" s="344"/>
      <c r="D17" s="348"/>
      <c r="E17" s="344"/>
      <c r="F17" s="344"/>
      <c r="G17" s="345">
        <v>0</v>
      </c>
    </row>
    <row r="18" spans="1:7">
      <c r="A18" s="342">
        <v>11</v>
      </c>
      <c r="B18" s="343" t="s">
        <v>89</v>
      </c>
      <c r="C18" s="774">
        <f>SUM(C19:C20)</f>
        <v>16618558.881816862</v>
      </c>
      <c r="D18" s="776">
        <f t="shared" ref="D18:G18" si="2">SUM(D19:D20)</f>
        <v>0</v>
      </c>
      <c r="E18" s="774">
        <f t="shared" si="2"/>
        <v>0</v>
      </c>
      <c r="F18" s="774">
        <f t="shared" si="2"/>
        <v>0</v>
      </c>
      <c r="G18" s="775">
        <f t="shared" si="2"/>
        <v>0</v>
      </c>
    </row>
    <row r="19" spans="1:7">
      <c r="A19" s="342">
        <v>12</v>
      </c>
      <c r="B19" s="346" t="s">
        <v>466</v>
      </c>
      <c r="C19" s="347"/>
      <c r="D19" s="348"/>
      <c r="E19" s="344"/>
      <c r="F19" s="344"/>
      <c r="G19" s="345"/>
    </row>
    <row r="20" spans="1:7" ht="26.25">
      <c r="A20" s="342">
        <v>13</v>
      </c>
      <c r="B20" s="346" t="s">
        <v>467</v>
      </c>
      <c r="C20" s="344">
        <v>16618558.881816862</v>
      </c>
      <c r="D20" s="344"/>
      <c r="E20" s="344"/>
      <c r="F20" s="344"/>
      <c r="G20" s="345"/>
    </row>
    <row r="21" spans="1:7">
      <c r="A21" s="349">
        <v>14</v>
      </c>
      <c r="B21" s="350" t="s">
        <v>468</v>
      </c>
      <c r="C21" s="347"/>
      <c r="D21" s="347"/>
      <c r="E21" s="347"/>
      <c r="F21" s="347"/>
      <c r="G21" s="351">
        <f>SUM(G8,G11,G14,G17,G18)</f>
        <v>273271718.8929404</v>
      </c>
    </row>
    <row r="22" spans="1:7">
      <c r="A22" s="352"/>
      <c r="B22" s="369" t="s">
        <v>469</v>
      </c>
      <c r="C22" s="353"/>
      <c r="D22" s="354"/>
      <c r="E22" s="353"/>
      <c r="F22" s="353"/>
      <c r="G22" s="355"/>
    </row>
    <row r="23" spans="1:7">
      <c r="A23" s="342">
        <v>15</v>
      </c>
      <c r="B23" s="343" t="s">
        <v>322</v>
      </c>
      <c r="C23" s="356">
        <v>99942450.324614897</v>
      </c>
      <c r="D23" s="357">
        <v>0</v>
      </c>
      <c r="E23" s="356">
        <v>0</v>
      </c>
      <c r="F23" s="356">
        <v>0</v>
      </c>
      <c r="G23" s="345">
        <v>2574979.8113854979</v>
      </c>
    </row>
    <row r="24" spans="1:7">
      <c r="A24" s="342">
        <v>16</v>
      </c>
      <c r="B24" s="343" t="s">
        <v>470</v>
      </c>
      <c r="C24" s="774">
        <f>SUM(C25:C27,C29,C31)</f>
        <v>110112.80586334427</v>
      </c>
      <c r="D24" s="776">
        <f t="shared" ref="D24:G24" si="3">SUM(D25:D27,D29,D31)</f>
        <v>167299910.71235657</v>
      </c>
      <c r="E24" s="774">
        <f t="shared" si="3"/>
        <v>81058911.139316529</v>
      </c>
      <c r="F24" s="774">
        <f t="shared" si="3"/>
        <v>114184246.89260939</v>
      </c>
      <c r="G24" s="775">
        <f t="shared" si="3"/>
        <v>215098565.31496856</v>
      </c>
    </row>
    <row r="25" spans="1:7" ht="26.25">
      <c r="A25" s="342">
        <v>17</v>
      </c>
      <c r="B25" s="346" t="s">
        <v>471</v>
      </c>
      <c r="C25" s="344"/>
      <c r="D25" s="348"/>
      <c r="E25" s="344"/>
      <c r="F25" s="344"/>
      <c r="G25" s="345"/>
    </row>
    <row r="26" spans="1:7" ht="26.25">
      <c r="A26" s="342">
        <v>18</v>
      </c>
      <c r="B26" s="346" t="s">
        <v>472</v>
      </c>
      <c r="C26" s="344">
        <v>110112.80586334427</v>
      </c>
      <c r="D26" s="348">
        <v>24773292.245248821</v>
      </c>
      <c r="E26" s="344">
        <v>296917.94897999999</v>
      </c>
      <c r="F26" s="344">
        <v>0</v>
      </c>
      <c r="G26" s="345">
        <v>3880969.7321568248</v>
      </c>
    </row>
    <row r="27" spans="1:7">
      <c r="A27" s="342">
        <v>19</v>
      </c>
      <c r="B27" s="346" t="s">
        <v>473</v>
      </c>
      <c r="C27" s="344">
        <v>0</v>
      </c>
      <c r="D27" s="348">
        <v>142398346.42691156</v>
      </c>
      <c r="E27" s="344">
        <v>80531501.121252522</v>
      </c>
      <c r="F27" s="344">
        <v>69773048.607177556</v>
      </c>
      <c r="G27" s="345">
        <v>173231471.57105461</v>
      </c>
    </row>
    <row r="28" spans="1:7">
      <c r="A28" s="342">
        <v>20</v>
      </c>
      <c r="B28" s="358" t="s">
        <v>474</v>
      </c>
      <c r="C28" s="344"/>
      <c r="D28" s="348"/>
      <c r="E28" s="344"/>
      <c r="F28" s="344"/>
      <c r="G28" s="345"/>
    </row>
    <row r="29" spans="1:7">
      <c r="A29" s="342">
        <v>21</v>
      </c>
      <c r="B29" s="346" t="s">
        <v>475</v>
      </c>
      <c r="C29" s="344">
        <v>0</v>
      </c>
      <c r="D29" s="348">
        <v>128272.04019618174</v>
      </c>
      <c r="E29" s="344">
        <v>230492.0690840001</v>
      </c>
      <c r="F29" s="344">
        <v>1684242.0104719966</v>
      </c>
      <c r="G29" s="345">
        <v>1668211.1780412886</v>
      </c>
    </row>
    <row r="30" spans="1:7">
      <c r="A30" s="342">
        <v>22</v>
      </c>
      <c r="B30" s="358" t="s">
        <v>474</v>
      </c>
      <c r="C30" s="344"/>
      <c r="D30" s="348"/>
      <c r="E30" s="344"/>
      <c r="F30" s="344"/>
      <c r="G30" s="345"/>
    </row>
    <row r="31" spans="1:7" ht="26.25">
      <c r="A31" s="342">
        <v>23</v>
      </c>
      <c r="B31" s="346" t="s">
        <v>476</v>
      </c>
      <c r="C31" s="344"/>
      <c r="D31" s="348"/>
      <c r="E31" s="344"/>
      <c r="F31" s="344">
        <v>42726956.274959832</v>
      </c>
      <c r="G31" s="345">
        <v>36317912.833715856</v>
      </c>
    </row>
    <row r="32" spans="1:7">
      <c r="A32" s="342">
        <v>24</v>
      </c>
      <c r="B32" s="343" t="s">
        <v>477</v>
      </c>
      <c r="C32" s="344">
        <v>0</v>
      </c>
      <c r="D32" s="348"/>
      <c r="E32" s="344"/>
      <c r="F32" s="344"/>
      <c r="G32" s="345">
        <v>0</v>
      </c>
    </row>
    <row r="33" spans="1:7">
      <c r="A33" s="342">
        <v>25</v>
      </c>
      <c r="B33" s="343" t="s">
        <v>99</v>
      </c>
      <c r="C33" s="774">
        <f>SUM(C34:C35)</f>
        <v>19407776.267907999</v>
      </c>
      <c r="D33" s="774">
        <f>SUM(D34:D35)</f>
        <v>1550000</v>
      </c>
      <c r="E33" s="774">
        <f>SUM(E34:E35)</f>
        <v>0</v>
      </c>
      <c r="F33" s="774">
        <f>SUM(F34:F35)</f>
        <v>416010.09522048122</v>
      </c>
      <c r="G33" s="775">
        <f>SUM(G34:G35)</f>
        <v>19823786.363128483</v>
      </c>
    </row>
    <row r="34" spans="1:7">
      <c r="A34" s="342">
        <v>26</v>
      </c>
      <c r="B34" s="346" t="s">
        <v>478</v>
      </c>
      <c r="C34" s="347"/>
      <c r="D34" s="348"/>
      <c r="E34" s="344"/>
      <c r="F34" s="344"/>
      <c r="G34" s="345"/>
    </row>
    <row r="35" spans="1:7">
      <c r="A35" s="342">
        <v>27</v>
      </c>
      <c r="B35" s="346" t="s">
        <v>479</v>
      </c>
      <c r="C35" s="344">
        <v>19407776.267907999</v>
      </c>
      <c r="D35" s="348">
        <v>1550000</v>
      </c>
      <c r="E35" s="344">
        <v>0</v>
      </c>
      <c r="F35" s="344">
        <v>416010.09522048122</v>
      </c>
      <c r="G35" s="345">
        <v>19823786.363128483</v>
      </c>
    </row>
    <row r="36" spans="1:7">
      <c r="A36" s="342">
        <v>28</v>
      </c>
      <c r="B36" s="343" t="s">
        <v>480</v>
      </c>
      <c r="C36" s="344">
        <v>1063.3269508617711</v>
      </c>
      <c r="D36" s="348">
        <v>39935263.643331915</v>
      </c>
      <c r="E36" s="344">
        <v>29651373.093465436</v>
      </c>
      <c r="F36" s="344">
        <v>90178020.144518092</v>
      </c>
      <c r="G36" s="345">
        <v>20485473.028052539</v>
      </c>
    </row>
    <row r="37" spans="1:7">
      <c r="A37" s="349">
        <v>29</v>
      </c>
      <c r="B37" s="350" t="s">
        <v>481</v>
      </c>
      <c r="C37" s="347"/>
      <c r="D37" s="347"/>
      <c r="E37" s="347"/>
      <c r="F37" s="347"/>
      <c r="G37" s="351">
        <f>SUM(G23:G24,G32:G33,G36)</f>
        <v>257982804.51753509</v>
      </c>
    </row>
    <row r="38" spans="1:7">
      <c r="A38" s="338"/>
      <c r="B38" s="359"/>
      <c r="C38" s="360"/>
      <c r="D38" s="360"/>
      <c r="E38" s="360"/>
      <c r="F38" s="360"/>
      <c r="G38" s="361"/>
    </row>
    <row r="39" spans="1:7" ht="15.75" thickBot="1">
      <c r="A39" s="362">
        <v>30</v>
      </c>
      <c r="B39" s="363" t="s">
        <v>449</v>
      </c>
      <c r="C39" s="227"/>
      <c r="D39" s="209"/>
      <c r="E39" s="209"/>
      <c r="F39" s="364"/>
      <c r="G39" s="365">
        <f>IFERROR(G21/G37,0)</f>
        <v>1.0592633078937093</v>
      </c>
    </row>
    <row r="42" spans="1:7" ht="39">
      <c r="B42" s="23" t="s">
        <v>482</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1"/>
  <sheetViews>
    <sheetView showGridLines="0" zoomScale="80" zoomScaleNormal="80" workbookViewId="0">
      <pane xSplit="1" ySplit="5" topLeftCell="B6" activePane="bottomRight" state="frozen"/>
      <selection pane="topRight" activeCell="B1" sqref="B1"/>
      <selection pane="bottomLeft" activeCell="A6" sqref="A6"/>
      <selection pane="bottomRight" activeCell="B4" sqref="B4"/>
    </sheetView>
  </sheetViews>
  <sheetFormatPr defaultRowHeight="15.75"/>
  <cols>
    <col min="1" max="1" width="9.5703125" style="19" bestFit="1" customWidth="1"/>
    <col min="2" max="2" width="88.42578125" style="16" customWidth="1"/>
    <col min="3" max="3" width="12.7109375" style="16" customWidth="1"/>
    <col min="4" max="7" width="12.7109375" style="2" customWidth="1"/>
    <col min="8" max="8" width="6.7109375" customWidth="1"/>
  </cols>
  <sheetData>
    <row r="1" spans="1:7">
      <c r="A1" s="17" t="s">
        <v>108</v>
      </c>
      <c r="B1" s="603" t="s">
        <v>953</v>
      </c>
    </row>
    <row r="2" spans="1:7">
      <c r="A2" s="17" t="s">
        <v>109</v>
      </c>
      <c r="B2" s="604">
        <v>45657</v>
      </c>
      <c r="C2" s="29"/>
      <c r="D2" s="18"/>
      <c r="E2" s="18"/>
      <c r="F2" s="18"/>
      <c r="G2" s="18"/>
    </row>
    <row r="3" spans="1:7" ht="16.5" thickBot="1">
      <c r="A3" s="17"/>
      <c r="C3" s="29"/>
      <c r="D3" s="18"/>
      <c r="E3" s="18"/>
      <c r="F3" s="18"/>
      <c r="G3" s="18"/>
    </row>
    <row r="4" spans="1:7" ht="16.5" customHeight="1" thickBot="1">
      <c r="A4" s="40" t="s">
        <v>252</v>
      </c>
      <c r="B4" s="147" t="s">
        <v>139</v>
      </c>
      <c r="C4" s="148"/>
      <c r="D4" s="858" t="s">
        <v>931</v>
      </c>
      <c r="E4" s="859"/>
      <c r="F4" s="859"/>
      <c r="G4" s="860"/>
    </row>
    <row r="5" spans="1:7" ht="15">
      <c r="A5" s="195" t="s">
        <v>25</v>
      </c>
      <c r="B5" s="196"/>
      <c r="C5" s="320" t="str">
        <f>INT((MONTH($B$2))/3)&amp;"Q"&amp;"-"&amp;YEAR($B$2)</f>
        <v>4Q-2024</v>
      </c>
      <c r="D5" s="320" t="str">
        <f>IF(INT(MONTH($B$2))=3, "4"&amp;"Q"&amp;"-"&amp;YEAR($B$2)-1, IF(INT(MONTH($B$2))=6, "1"&amp;"Q"&amp;"-"&amp;YEAR($B$2), IF(INT(MONTH($B$2))=9, "2"&amp;"Q"&amp;"-"&amp;YEAR($B$2),IF(INT(MONTH($B$2))=12, "3"&amp;"Q"&amp;"-"&amp;YEAR($B$2), 0))))</f>
        <v>3Q-2024</v>
      </c>
      <c r="E5" s="320" t="str">
        <f>IF(INT(MONTH($B$2))=3, "3"&amp;"Q"&amp;"-"&amp;YEAR($B$2)-1, IF(INT(MONTH($B$2))=6, "4"&amp;"Q"&amp;"-"&amp;YEAR($B$2)-1, IF(INT(MONTH($B$2))=9, "1"&amp;"Q"&amp;"-"&amp;YEAR($B$2),IF(INT(MONTH($B$2))=12, "2"&amp;"Q"&amp;"-"&amp;YEAR($B$2), 0))))</f>
        <v>2Q-2024</v>
      </c>
      <c r="F5" s="320" t="str">
        <f>IF(INT(MONTH($B$2))=3, "2"&amp;"Q"&amp;"-"&amp;YEAR($B$2)-1, IF(INT(MONTH($B$2))=6, "3"&amp;"Q"&amp;"-"&amp;YEAR($B$2)-1, IF(INT(MONTH($B$2))=9, "4"&amp;"Q"&amp;"-"&amp;YEAR($B$2)-1,IF(INT(MONTH($B$2))=12, "1"&amp;"Q"&amp;"-"&amp;YEAR($B$2), 0))))</f>
        <v>1Q-2024</v>
      </c>
      <c r="G5" s="321" t="str">
        <f>IF(INT(MONTH($B$2))=3, "1"&amp;"Q"&amp;"-"&amp;YEAR($B$2)-1, IF(INT(MONTH($B$2))=6, "2"&amp;"Q"&amp;"-"&amp;YEAR($B$2)-1, IF(INT(MONTH($B$2))=9, "3"&amp;"Q"&amp;"-"&amp;YEAR($B$2)-1,IF(INT(MONTH($B$2))=12, "4"&amp;"Q"&amp;"-"&amp;YEAR($B$2)-1, 0))))</f>
        <v>4Q-2023</v>
      </c>
    </row>
    <row r="6" spans="1:7" ht="15">
      <c r="A6" s="322"/>
      <c r="B6" s="323" t="s">
        <v>106</v>
      </c>
      <c r="C6" s="197"/>
      <c r="D6" s="197"/>
      <c r="E6" s="197"/>
      <c r="F6" s="197"/>
      <c r="G6" s="198"/>
    </row>
    <row r="7" spans="1:7" ht="15">
      <c r="A7" s="322"/>
      <c r="B7" s="324" t="s">
        <v>110</v>
      </c>
      <c r="C7" s="197"/>
      <c r="D7" s="197"/>
      <c r="E7" s="197"/>
      <c r="F7" s="197"/>
      <c r="G7" s="198"/>
    </row>
    <row r="8" spans="1:7" ht="15">
      <c r="A8" s="306">
        <v>1</v>
      </c>
      <c r="B8" s="307" t="s">
        <v>22</v>
      </c>
      <c r="C8" s="605">
        <v>143298736.73131147</v>
      </c>
      <c r="D8" s="761">
        <v>145613172.45355761</v>
      </c>
      <c r="E8" s="605">
        <v>142489102.38954175</v>
      </c>
      <c r="F8" s="605">
        <v>138164000.08336854</v>
      </c>
      <c r="G8" s="777">
        <v>133880861.71003304</v>
      </c>
    </row>
    <row r="9" spans="1:7" ht="15">
      <c r="A9" s="306">
        <v>2</v>
      </c>
      <c r="B9" s="307" t="s">
        <v>86</v>
      </c>
      <c r="C9" s="605">
        <v>143298736.73131147</v>
      </c>
      <c r="D9" s="761">
        <v>145613172.45355761</v>
      </c>
      <c r="E9" s="605">
        <v>142489102.38954175</v>
      </c>
      <c r="F9" s="605">
        <v>138164000.08336854</v>
      </c>
      <c r="G9" s="777">
        <v>133880861.71003304</v>
      </c>
    </row>
    <row r="10" spans="1:7" ht="15">
      <c r="A10" s="306">
        <v>3</v>
      </c>
      <c r="B10" s="307" t="s">
        <v>85</v>
      </c>
      <c r="C10" s="605">
        <v>143298736.73131147</v>
      </c>
      <c r="D10" s="761">
        <v>145613172.45355761</v>
      </c>
      <c r="E10" s="605">
        <v>142489102.38954175</v>
      </c>
      <c r="F10" s="605">
        <v>138164000.08336854</v>
      </c>
      <c r="G10" s="777">
        <v>133880861.71003304</v>
      </c>
    </row>
    <row r="11" spans="1:7" ht="15">
      <c r="A11" s="306">
        <v>4</v>
      </c>
      <c r="B11" s="307" t="s">
        <v>441</v>
      </c>
      <c r="C11" s="605">
        <v>80174847.553948268</v>
      </c>
      <c r="D11" s="761">
        <v>72576771.826893002</v>
      </c>
      <c r="E11" s="605">
        <v>73092331.903310865</v>
      </c>
      <c r="F11" s="605">
        <v>75250684.796249926</v>
      </c>
      <c r="G11" s="777">
        <v>68227082.957222536</v>
      </c>
    </row>
    <row r="12" spans="1:7" ht="15">
      <c r="A12" s="306">
        <v>5</v>
      </c>
      <c r="B12" s="307" t="s">
        <v>442</v>
      </c>
      <c r="C12" s="605">
        <v>99474703.452582493</v>
      </c>
      <c r="D12" s="761">
        <v>90231127.749883309</v>
      </c>
      <c r="E12" s="605">
        <v>90897074.234918222</v>
      </c>
      <c r="F12" s="605">
        <v>93776070.572898179</v>
      </c>
      <c r="G12" s="777">
        <v>84997081.306083396</v>
      </c>
    </row>
    <row r="13" spans="1:7" ht="15">
      <c r="A13" s="306">
        <v>6</v>
      </c>
      <c r="B13" s="307" t="s">
        <v>443</v>
      </c>
      <c r="C13" s="605">
        <v>125017250.44561318</v>
      </c>
      <c r="D13" s="761">
        <v>113592816.13988496</v>
      </c>
      <c r="E13" s="605">
        <v>114457375.46372096</v>
      </c>
      <c r="F13" s="605">
        <v>118287421.4772229</v>
      </c>
      <c r="G13" s="777">
        <v>107196802.76235783</v>
      </c>
    </row>
    <row r="14" spans="1:7" ht="15">
      <c r="A14" s="322"/>
      <c r="B14" s="323" t="s">
        <v>445</v>
      </c>
      <c r="C14" s="606"/>
      <c r="D14" s="615"/>
      <c r="E14" s="778"/>
      <c r="F14" s="778"/>
      <c r="G14" s="779"/>
    </row>
    <row r="15" spans="1:7" ht="21.95" customHeight="1">
      <c r="A15" s="306">
        <v>7</v>
      </c>
      <c r="B15" s="307" t="s">
        <v>444</v>
      </c>
      <c r="C15" s="607">
        <v>562399080.34536076</v>
      </c>
      <c r="D15" s="762">
        <v>502636267.05464017</v>
      </c>
      <c r="E15" s="607">
        <v>505433011.41373754</v>
      </c>
      <c r="F15" s="607">
        <v>516204553.19280314</v>
      </c>
      <c r="G15" s="780">
        <v>508949789.538535</v>
      </c>
    </row>
    <row r="16" spans="1:7" ht="15">
      <c r="A16" s="322"/>
      <c r="B16" s="323" t="s">
        <v>448</v>
      </c>
      <c r="C16" s="606"/>
      <c r="D16" s="615"/>
      <c r="E16" s="778"/>
      <c r="F16" s="778"/>
      <c r="G16" s="779"/>
    </row>
    <row r="17" spans="1:7" s="3" customFormat="1" ht="15">
      <c r="A17" s="306"/>
      <c r="B17" s="324" t="s">
        <v>434</v>
      </c>
      <c r="C17" s="608"/>
      <c r="D17" s="763"/>
      <c r="E17" s="608"/>
      <c r="F17" s="608"/>
      <c r="G17" s="781"/>
    </row>
    <row r="18" spans="1:7" ht="15">
      <c r="A18" s="305">
        <v>8</v>
      </c>
      <c r="B18" s="325" t="s">
        <v>439</v>
      </c>
      <c r="C18" s="609">
        <v>0.254799023930327</v>
      </c>
      <c r="D18" s="764">
        <v>0.28969889758816075</v>
      </c>
      <c r="E18" s="609">
        <v>0.28191491092160376</v>
      </c>
      <c r="F18" s="609">
        <v>0.26305318218408713</v>
      </c>
      <c r="G18" s="782">
        <v>0.26305318218408713</v>
      </c>
    </row>
    <row r="19" spans="1:7" ht="15" customHeight="1">
      <c r="A19" s="305">
        <v>9</v>
      </c>
      <c r="B19" s="325" t="s">
        <v>438</v>
      </c>
      <c r="C19" s="609">
        <v>0.254799023930327</v>
      </c>
      <c r="D19" s="764">
        <v>0.28969889758816075</v>
      </c>
      <c r="E19" s="609">
        <v>0.28191491092160376</v>
      </c>
      <c r="F19" s="609">
        <v>0.26305318218408713</v>
      </c>
      <c r="G19" s="782">
        <v>0.26305318218408713</v>
      </c>
    </row>
    <row r="20" spans="1:7" ht="15">
      <c r="A20" s="305">
        <v>10</v>
      </c>
      <c r="B20" s="325" t="s">
        <v>440</v>
      </c>
      <c r="C20" s="609">
        <v>0.254799023930327</v>
      </c>
      <c r="D20" s="764">
        <v>0.28969889758816075</v>
      </c>
      <c r="E20" s="609">
        <v>0.28191491092160376</v>
      </c>
      <c r="F20" s="609">
        <v>0.26305318218408713</v>
      </c>
      <c r="G20" s="782">
        <v>0.26305318218408713</v>
      </c>
    </row>
    <row r="21" spans="1:7" ht="15">
      <c r="A21" s="305">
        <v>11</v>
      </c>
      <c r="B21" s="307" t="s">
        <v>441</v>
      </c>
      <c r="C21" s="609">
        <v>0.14255863915124845</v>
      </c>
      <c r="D21" s="764">
        <v>0.14439223069234552</v>
      </c>
      <c r="E21" s="609">
        <v>0.14461329246949189</v>
      </c>
      <c r="F21" s="609">
        <v>0.13405464420976393</v>
      </c>
      <c r="G21" s="782">
        <v>0.13405464420976393</v>
      </c>
    </row>
    <row r="22" spans="1:7" ht="15">
      <c r="A22" s="305">
        <v>12</v>
      </c>
      <c r="B22" s="307" t="s">
        <v>442</v>
      </c>
      <c r="C22" s="609">
        <v>0.1768756509905681</v>
      </c>
      <c r="D22" s="764">
        <v>0.17951575257118194</v>
      </c>
      <c r="E22" s="609">
        <v>0.17984000289310675</v>
      </c>
      <c r="F22" s="609">
        <v>0.16700484616203554</v>
      </c>
      <c r="G22" s="782">
        <v>0.16700484616203554</v>
      </c>
    </row>
    <row r="23" spans="1:7" ht="15">
      <c r="A23" s="305">
        <v>13</v>
      </c>
      <c r="B23" s="307" t="s">
        <v>443</v>
      </c>
      <c r="C23" s="609">
        <v>0.2222927718317782</v>
      </c>
      <c r="D23" s="764">
        <v>0.22599407083280881</v>
      </c>
      <c r="E23" s="609">
        <v>0.22645409555575785</v>
      </c>
      <c r="F23" s="609">
        <v>0.21062353294134029</v>
      </c>
      <c r="G23" s="782">
        <v>0.21062353294134029</v>
      </c>
    </row>
    <row r="24" spans="1:7" ht="15">
      <c r="A24" s="322"/>
      <c r="B24" s="323" t="s">
        <v>6</v>
      </c>
      <c r="C24" s="606"/>
      <c r="D24" s="615"/>
      <c r="E24" s="778"/>
      <c r="F24" s="778"/>
      <c r="G24" s="779"/>
    </row>
    <row r="25" spans="1:7" ht="15" customHeight="1">
      <c r="A25" s="326">
        <v>14</v>
      </c>
      <c r="B25" s="327" t="s">
        <v>7</v>
      </c>
      <c r="C25" s="610">
        <v>8.3417388466189735E-2</v>
      </c>
      <c r="D25" s="765">
        <v>8.4789189924524139E-2</v>
      </c>
      <c r="E25" s="610">
        <v>8.7507722907627608E-2</v>
      </c>
      <c r="F25" s="610">
        <v>8.5663643741226134E-2</v>
      </c>
      <c r="G25" s="783">
        <v>8.7188051493134397E-2</v>
      </c>
    </row>
    <row r="26" spans="1:7" ht="15">
      <c r="A26" s="326">
        <v>15</v>
      </c>
      <c r="B26" s="327" t="s">
        <v>8</v>
      </c>
      <c r="C26" s="610">
        <v>3.5193573582668738E-2</v>
      </c>
      <c r="D26" s="765">
        <v>3.3957957690789034E-2</v>
      </c>
      <c r="E26" s="610">
        <v>3.3629985482862258E-2</v>
      </c>
      <c r="F26" s="610">
        <v>3.2055734254347039E-2</v>
      </c>
      <c r="G26" s="783">
        <v>2.7337710168309746E-2</v>
      </c>
    </row>
    <row r="27" spans="1:7" ht="15">
      <c r="A27" s="326">
        <v>16</v>
      </c>
      <c r="B27" s="327" t="s">
        <v>9</v>
      </c>
      <c r="C27" s="610">
        <v>5.6080773530188602E-2</v>
      </c>
      <c r="D27" s="765">
        <v>6.0989570273210274E-2</v>
      </c>
      <c r="E27" s="610">
        <v>6.4343104241936511E-2</v>
      </c>
      <c r="F27" s="610">
        <v>6.4318663007406351E-2</v>
      </c>
      <c r="G27" s="783">
        <v>7.3703294945170375E-2</v>
      </c>
    </row>
    <row r="28" spans="1:7" ht="15">
      <c r="A28" s="326">
        <v>17</v>
      </c>
      <c r="B28" s="327" t="s">
        <v>140</v>
      </c>
      <c r="C28" s="610">
        <v>4.8223814883520989E-2</v>
      </c>
      <c r="D28" s="765">
        <v>5.0831232233735112E-2</v>
      </c>
      <c r="E28" s="610">
        <v>5.387773742476535E-2</v>
      </c>
      <c r="F28" s="610">
        <v>5.3607909486879102E-2</v>
      </c>
      <c r="G28" s="783">
        <v>5.9850341324824655E-2</v>
      </c>
    </row>
    <row r="29" spans="1:7" ht="15">
      <c r="A29" s="326">
        <v>18</v>
      </c>
      <c r="B29" s="327" t="s">
        <v>10</v>
      </c>
      <c r="C29" s="610">
        <v>2.6113213402110268E-2</v>
      </c>
      <c r="D29" s="765">
        <v>3.4194479413620714E-2</v>
      </c>
      <c r="E29" s="610">
        <v>3.6911231010510519E-2</v>
      </c>
      <c r="F29" s="610">
        <v>3.6607503099627008E-2</v>
      </c>
      <c r="G29" s="783">
        <v>3.9805008804659016E-2</v>
      </c>
    </row>
    <row r="30" spans="1:7" ht="15">
      <c r="A30" s="326">
        <v>19</v>
      </c>
      <c r="B30" s="327" t="s">
        <v>11</v>
      </c>
      <c r="C30" s="610">
        <v>8.4551661671118813E-2</v>
      </c>
      <c r="D30" s="765">
        <v>0.11127034707694591</v>
      </c>
      <c r="E30" s="610">
        <v>0.12412867801271953</v>
      </c>
      <c r="F30" s="610">
        <v>0.12530597158329024</v>
      </c>
      <c r="G30" s="783">
        <v>0.13247715495778842</v>
      </c>
    </row>
    <row r="31" spans="1:7" ht="15">
      <c r="A31" s="322"/>
      <c r="B31" s="323" t="s">
        <v>12</v>
      </c>
      <c r="C31" s="606"/>
      <c r="D31" s="615"/>
      <c r="E31" s="778"/>
      <c r="F31" s="778"/>
      <c r="G31" s="779"/>
    </row>
    <row r="32" spans="1:7" ht="15">
      <c r="A32" s="326">
        <v>20</v>
      </c>
      <c r="B32" s="327" t="s">
        <v>13</v>
      </c>
      <c r="C32" s="610">
        <v>3.2261328472465455E-3</v>
      </c>
      <c r="D32" s="765">
        <v>4.7403417316783771E-3</v>
      </c>
      <c r="E32" s="610">
        <v>5.9663781634689775E-3</v>
      </c>
      <c r="F32" s="610">
        <v>4.0994425401888451E-3</v>
      </c>
      <c r="G32" s="783">
        <v>3.7079499061835981E-3</v>
      </c>
    </row>
    <row r="33" spans="1:7" ht="15" customHeight="1">
      <c r="A33" s="326">
        <v>21</v>
      </c>
      <c r="B33" s="327" t="s">
        <v>951</v>
      </c>
      <c r="C33" s="610">
        <v>5.0022606139634562E-3</v>
      </c>
      <c r="D33" s="765">
        <v>6.4624925028409419E-3</v>
      </c>
      <c r="E33" s="610">
        <v>7.8640098019615232E-3</v>
      </c>
      <c r="F33" s="610">
        <v>7.0225439141444407E-3</v>
      </c>
      <c r="G33" s="783">
        <v>7.1333689469710079E-3</v>
      </c>
    </row>
    <row r="34" spans="1:7" ht="15">
      <c r="A34" s="326">
        <v>22</v>
      </c>
      <c r="B34" s="327" t="s">
        <v>14</v>
      </c>
      <c r="C34" s="610">
        <v>0.53794588813786759</v>
      </c>
      <c r="D34" s="765">
        <v>0.47711072789888842</v>
      </c>
      <c r="E34" s="610">
        <v>0.50836517752244015</v>
      </c>
      <c r="F34" s="610">
        <v>0.56184746206798075</v>
      </c>
      <c r="G34" s="783">
        <v>0.64012868888645968</v>
      </c>
    </row>
    <row r="35" spans="1:7" ht="15" customHeight="1">
      <c r="A35" s="326">
        <v>23</v>
      </c>
      <c r="B35" s="327" t="s">
        <v>15</v>
      </c>
      <c r="C35" s="610">
        <v>0.55605926978810216</v>
      </c>
      <c r="D35" s="765">
        <v>0.52122853310427908</v>
      </c>
      <c r="E35" s="610">
        <v>0.53512505461390392</v>
      </c>
      <c r="F35" s="610">
        <v>0.5632641142257766</v>
      </c>
      <c r="G35" s="783">
        <v>0.58158156519070181</v>
      </c>
    </row>
    <row r="36" spans="1:7" ht="15">
      <c r="A36" s="326">
        <v>24</v>
      </c>
      <c r="B36" s="327" t="s">
        <v>16</v>
      </c>
      <c r="C36" s="610">
        <v>0.19581364582216343</v>
      </c>
      <c r="D36" s="765">
        <v>-9.4130095704303331E-3</v>
      </c>
      <c r="E36" s="610">
        <v>-1.8966385239118162E-2</v>
      </c>
      <c r="F36" s="610">
        <v>9.4856262083707038E-2</v>
      </c>
      <c r="G36" s="783">
        <v>2.2020573360810188E-3</v>
      </c>
    </row>
    <row r="37" spans="1:7" ht="15" customHeight="1">
      <c r="A37" s="322"/>
      <c r="B37" s="323" t="s">
        <v>17</v>
      </c>
      <c r="C37" s="606"/>
      <c r="D37" s="615"/>
      <c r="E37" s="778"/>
      <c r="F37" s="778"/>
      <c r="G37" s="779"/>
    </row>
    <row r="38" spans="1:7" ht="15" customHeight="1">
      <c r="A38" s="326">
        <v>25</v>
      </c>
      <c r="B38" s="327" t="s">
        <v>18</v>
      </c>
      <c r="C38" s="610">
        <v>0.19355388930167128</v>
      </c>
      <c r="D38" s="765">
        <v>0.28759994501235625</v>
      </c>
      <c r="E38" s="610">
        <v>0.29340997301393934</v>
      </c>
      <c r="F38" s="610">
        <v>0.27464001376442426</v>
      </c>
      <c r="G38" s="783">
        <v>0.3366351096992744</v>
      </c>
    </row>
    <row r="39" spans="1:7" ht="15" customHeight="1">
      <c r="A39" s="326">
        <v>26</v>
      </c>
      <c r="B39" s="327" t="s">
        <v>19</v>
      </c>
      <c r="C39" s="610">
        <v>0.80332210555449612</v>
      </c>
      <c r="D39" s="765">
        <v>0.77573206167632813</v>
      </c>
      <c r="E39" s="610">
        <v>0.78415715804406683</v>
      </c>
      <c r="F39" s="610">
        <v>0.79530906027371873</v>
      </c>
      <c r="G39" s="783">
        <v>0.82347579852448316</v>
      </c>
    </row>
    <row r="40" spans="1:7" ht="15" customHeight="1">
      <c r="A40" s="326">
        <v>27</v>
      </c>
      <c r="B40" s="328" t="s">
        <v>20</v>
      </c>
      <c r="C40" s="610">
        <v>0.14334308802902421</v>
      </c>
      <c r="D40" s="765">
        <v>0.20621510951037159</v>
      </c>
      <c r="E40" s="610">
        <v>0.14828117435148858</v>
      </c>
      <c r="F40" s="610">
        <v>0.13821062741150575</v>
      </c>
      <c r="G40" s="783">
        <v>0.19233132709059367</v>
      </c>
    </row>
    <row r="41" spans="1:7" ht="15" customHeight="1">
      <c r="A41" s="329"/>
      <c r="B41" s="323" t="s">
        <v>356</v>
      </c>
      <c r="C41" s="606"/>
      <c r="D41" s="615"/>
      <c r="E41" s="778"/>
      <c r="F41" s="778"/>
      <c r="G41" s="779"/>
    </row>
    <row r="42" spans="1:7" ht="15" customHeight="1">
      <c r="A42" s="326">
        <v>28</v>
      </c>
      <c r="B42" s="368" t="s">
        <v>340</v>
      </c>
      <c r="C42" s="611">
        <v>94831123.124617696</v>
      </c>
      <c r="D42" s="766">
        <v>130061478.85525802</v>
      </c>
      <c r="E42" s="611">
        <v>135146473.84584001</v>
      </c>
      <c r="F42" s="611">
        <v>133127429.61611199</v>
      </c>
      <c r="G42" s="784">
        <v>158187110.04355797</v>
      </c>
    </row>
    <row r="43" spans="1:7" ht="15">
      <c r="A43" s="326">
        <v>29</v>
      </c>
      <c r="B43" s="327" t="s">
        <v>341</v>
      </c>
      <c r="C43" s="611">
        <v>71811250.65869005</v>
      </c>
      <c r="D43" s="766">
        <v>76368928.868171826</v>
      </c>
      <c r="E43" s="611">
        <v>86388728.184463203</v>
      </c>
      <c r="F43" s="611">
        <v>95138892.957092375</v>
      </c>
      <c r="G43" s="784">
        <v>88029335.025407881</v>
      </c>
    </row>
    <row r="44" spans="1:7" ht="15">
      <c r="A44" s="366">
        <v>30</v>
      </c>
      <c r="B44" s="367" t="s">
        <v>339</v>
      </c>
      <c r="C44" s="612">
        <v>1.3205608070431503</v>
      </c>
      <c r="D44" s="767">
        <v>1.7030679987638737</v>
      </c>
      <c r="E44" s="612">
        <v>1.5643993919816239</v>
      </c>
      <c r="F44" s="612">
        <v>1.3992955507286851</v>
      </c>
      <c r="G44" s="785">
        <v>1.7969817674744502</v>
      </c>
    </row>
    <row r="45" spans="1:7" ht="15">
      <c r="A45" s="366"/>
      <c r="B45" s="323" t="s">
        <v>449</v>
      </c>
      <c r="C45" s="613"/>
      <c r="D45" s="768"/>
      <c r="E45" s="613"/>
      <c r="F45" s="613"/>
      <c r="G45" s="786"/>
    </row>
    <row r="46" spans="1:7" ht="15">
      <c r="A46" s="366">
        <v>31</v>
      </c>
      <c r="B46" s="367" t="s">
        <v>456</v>
      </c>
      <c r="C46" s="769">
        <v>273271718.8929404</v>
      </c>
      <c r="D46" s="768">
        <v>285015794.58955759</v>
      </c>
      <c r="E46" s="613">
        <v>252211011.26154172</v>
      </c>
      <c r="F46" s="613">
        <v>224316782.12736854</v>
      </c>
      <c r="G46" s="786">
        <v>237577668.992533</v>
      </c>
    </row>
    <row r="47" spans="1:7" ht="15">
      <c r="A47" s="366">
        <v>32</v>
      </c>
      <c r="B47" s="367" t="s">
        <v>469</v>
      </c>
      <c r="C47" s="769">
        <v>257982804.51753515</v>
      </c>
      <c r="D47" s="768">
        <v>232416816.28572291</v>
      </c>
      <c r="E47" s="613">
        <v>232849007.77533582</v>
      </c>
      <c r="F47" s="613">
        <v>221664348.23898047</v>
      </c>
      <c r="G47" s="786">
        <v>198330715.28107914</v>
      </c>
    </row>
    <row r="48" spans="1:7" thickBot="1">
      <c r="A48" s="84">
        <v>33</v>
      </c>
      <c r="B48" s="170" t="s">
        <v>483</v>
      </c>
      <c r="C48" s="614">
        <v>1.059263307893709</v>
      </c>
      <c r="D48" s="770">
        <v>1.2263131349289795</v>
      </c>
      <c r="E48" s="614">
        <v>1.0831526132371898</v>
      </c>
      <c r="F48" s="614">
        <v>1.0119659923188389</v>
      </c>
      <c r="G48" s="787">
        <v>1.1978864123785975</v>
      </c>
    </row>
    <row r="49" spans="1:7">
      <c r="A49" s="20"/>
    </row>
    <row r="50" spans="1:7">
      <c r="B50" s="23"/>
    </row>
    <row r="51" spans="1:7" ht="65.25">
      <c r="B51" s="237" t="s">
        <v>355</v>
      </c>
      <c r="D51" s="218"/>
      <c r="E51" s="218"/>
      <c r="F51" s="218"/>
      <c r="G51" s="21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A5" sqref="A5:B7"/>
    </sheetView>
  </sheetViews>
  <sheetFormatPr defaultColWidth="9.140625" defaultRowHeight="12.75"/>
  <cols>
    <col min="1" max="1" width="11.85546875" style="374" bestFit="1" customWidth="1"/>
    <col min="2" max="2" width="105.140625" style="374" bestFit="1" customWidth="1"/>
    <col min="3" max="3" width="18" style="374" bestFit="1" customWidth="1"/>
    <col min="4" max="4" width="18.85546875" style="374" bestFit="1" customWidth="1"/>
    <col min="5" max="5" width="18.42578125" style="374" bestFit="1" customWidth="1"/>
    <col min="6" max="6" width="17.42578125" style="374" bestFit="1" customWidth="1"/>
    <col min="7" max="7" width="30.42578125" style="374" customWidth="1"/>
    <col min="8" max="8" width="18.85546875" style="374" bestFit="1" customWidth="1"/>
    <col min="9" max="16384" width="9.140625" style="374"/>
  </cols>
  <sheetData>
    <row r="1" spans="1:8" ht="13.5">
      <c r="A1" s="373" t="s">
        <v>108</v>
      </c>
      <c r="B1" s="603" t="str">
        <f>'1. key ratios'!B1</f>
        <v>სს იშბანკი საქართველო</v>
      </c>
    </row>
    <row r="2" spans="1:8" ht="13.5">
      <c r="A2" s="375" t="s">
        <v>109</v>
      </c>
      <c r="B2" s="604">
        <f>'1. key ratios'!B2</f>
        <v>45657</v>
      </c>
    </row>
    <row r="3" spans="1:8">
      <c r="A3" s="376" t="s">
        <v>489</v>
      </c>
    </row>
    <row r="5" spans="1:8">
      <c r="A5" s="919" t="s">
        <v>490</v>
      </c>
      <c r="B5" s="920"/>
      <c r="C5" s="925" t="s">
        <v>491</v>
      </c>
      <c r="D5" s="926"/>
      <c r="E5" s="926"/>
      <c r="F5" s="926"/>
      <c r="G5" s="926"/>
      <c r="H5" s="927"/>
    </row>
    <row r="6" spans="1:8">
      <c r="A6" s="921"/>
      <c r="B6" s="922"/>
      <c r="C6" s="928"/>
      <c r="D6" s="929"/>
      <c r="E6" s="929"/>
      <c r="F6" s="929"/>
      <c r="G6" s="929"/>
      <c r="H6" s="930"/>
    </row>
    <row r="7" spans="1:8" ht="25.5">
      <c r="A7" s="923"/>
      <c r="B7" s="924"/>
      <c r="C7" s="454" t="s">
        <v>492</v>
      </c>
      <c r="D7" s="454" t="s">
        <v>493</v>
      </c>
      <c r="E7" s="454" t="s">
        <v>494</v>
      </c>
      <c r="F7" s="454" t="s">
        <v>495</v>
      </c>
      <c r="G7" s="455" t="s">
        <v>675</v>
      </c>
      <c r="H7" s="454" t="s">
        <v>66</v>
      </c>
    </row>
    <row r="8" spans="1:8">
      <c r="A8" s="450">
        <v>1</v>
      </c>
      <c r="B8" s="449" t="s">
        <v>134</v>
      </c>
      <c r="C8" s="726">
        <v>41624709.835193574</v>
      </c>
      <c r="D8" s="726">
        <v>7963909.1470719678</v>
      </c>
      <c r="E8" s="726">
        <v>0</v>
      </c>
      <c r="F8" s="726">
        <v>0</v>
      </c>
      <c r="G8" s="726"/>
      <c r="H8" s="727">
        <f t="shared" ref="H8:H20" si="0">SUM(C8:G8)</f>
        <v>49588618.982265539</v>
      </c>
    </row>
    <row r="9" spans="1:8">
      <c r="A9" s="450">
        <v>2</v>
      </c>
      <c r="B9" s="449" t="s">
        <v>135</v>
      </c>
      <c r="C9" s="726"/>
      <c r="D9" s="726"/>
      <c r="E9" s="726"/>
      <c r="F9" s="726"/>
      <c r="G9" s="726"/>
      <c r="H9" s="727">
        <f t="shared" si="0"/>
        <v>0</v>
      </c>
    </row>
    <row r="10" spans="1:8">
      <c r="A10" s="450">
        <v>3</v>
      </c>
      <c r="B10" s="449" t="s">
        <v>136</v>
      </c>
      <c r="C10" s="726"/>
      <c r="D10" s="726"/>
      <c r="E10" s="726"/>
      <c r="F10" s="726"/>
      <c r="G10" s="726"/>
      <c r="H10" s="727">
        <f t="shared" si="0"/>
        <v>0</v>
      </c>
    </row>
    <row r="11" spans="1:8">
      <c r="A11" s="450">
        <v>4</v>
      </c>
      <c r="B11" s="449" t="s">
        <v>137</v>
      </c>
      <c r="C11" s="726"/>
      <c r="D11" s="726"/>
      <c r="E11" s="726"/>
      <c r="F11" s="726"/>
      <c r="G11" s="726"/>
      <c r="H11" s="727">
        <f t="shared" si="0"/>
        <v>0</v>
      </c>
    </row>
    <row r="12" spans="1:8">
      <c r="A12" s="450">
        <v>5</v>
      </c>
      <c r="B12" s="449" t="s">
        <v>942</v>
      </c>
      <c r="C12" s="726"/>
      <c r="D12" s="726"/>
      <c r="E12" s="726"/>
      <c r="F12" s="726"/>
      <c r="G12" s="726"/>
      <c r="H12" s="727">
        <f t="shared" si="0"/>
        <v>0</v>
      </c>
    </row>
    <row r="13" spans="1:8">
      <c r="A13" s="450">
        <v>6</v>
      </c>
      <c r="B13" s="449" t="s">
        <v>138</v>
      </c>
      <c r="C13" s="726">
        <v>24351848.327784542</v>
      </c>
      <c r="D13" s="726">
        <v>15320473.4208453</v>
      </c>
      <c r="E13" s="726">
        <v>8509351.1789107043</v>
      </c>
      <c r="F13" s="726">
        <v>0</v>
      </c>
      <c r="G13" s="726"/>
      <c r="H13" s="727">
        <f t="shared" si="0"/>
        <v>48181672.927540541</v>
      </c>
    </row>
    <row r="14" spans="1:8">
      <c r="A14" s="450">
        <v>7</v>
      </c>
      <c r="B14" s="449" t="s">
        <v>71</v>
      </c>
      <c r="C14" s="726"/>
      <c r="D14" s="726">
        <v>235682771.78755647</v>
      </c>
      <c r="E14" s="726">
        <v>102090025.11979584</v>
      </c>
      <c r="F14" s="726">
        <v>25209171.778695516</v>
      </c>
      <c r="G14" s="726">
        <v>379972.921424</v>
      </c>
      <c r="H14" s="727">
        <f t="shared" si="0"/>
        <v>363361941.60747182</v>
      </c>
    </row>
    <row r="15" spans="1:8">
      <c r="A15" s="450">
        <v>8</v>
      </c>
      <c r="B15" s="451" t="s">
        <v>72</v>
      </c>
      <c r="C15" s="726"/>
      <c r="D15" s="726"/>
      <c r="E15" s="726"/>
      <c r="F15" s="726"/>
      <c r="G15" s="726"/>
      <c r="H15" s="727">
        <f t="shared" si="0"/>
        <v>0</v>
      </c>
    </row>
    <row r="16" spans="1:8">
      <c r="A16" s="450">
        <v>9</v>
      </c>
      <c r="B16" s="449" t="s">
        <v>943</v>
      </c>
      <c r="C16" s="726"/>
      <c r="D16" s="726"/>
      <c r="E16" s="726"/>
      <c r="F16" s="726"/>
      <c r="G16" s="726"/>
      <c r="H16" s="727">
        <f t="shared" si="0"/>
        <v>0</v>
      </c>
    </row>
    <row r="17" spans="1:8">
      <c r="A17" s="450">
        <v>10</v>
      </c>
      <c r="B17" s="453" t="s">
        <v>510</v>
      </c>
      <c r="C17" s="726"/>
      <c r="D17" s="726">
        <v>0</v>
      </c>
      <c r="E17" s="726">
        <v>0</v>
      </c>
      <c r="F17" s="726">
        <v>0</v>
      </c>
      <c r="G17" s="726">
        <v>14590.606700938077</v>
      </c>
      <c r="H17" s="727">
        <f t="shared" si="0"/>
        <v>14590.606700938077</v>
      </c>
    </row>
    <row r="18" spans="1:8">
      <c r="A18" s="450">
        <v>11</v>
      </c>
      <c r="B18" s="449" t="s">
        <v>68</v>
      </c>
      <c r="C18" s="726"/>
      <c r="D18" s="726">
        <v>0</v>
      </c>
      <c r="E18" s="726">
        <v>0</v>
      </c>
      <c r="F18" s="726">
        <v>0</v>
      </c>
      <c r="G18" s="726">
        <v>0</v>
      </c>
      <c r="H18" s="727">
        <f t="shared" si="0"/>
        <v>0</v>
      </c>
    </row>
    <row r="19" spans="1:8">
      <c r="A19" s="450">
        <v>12</v>
      </c>
      <c r="B19" s="449" t="s">
        <v>69</v>
      </c>
      <c r="C19" s="726"/>
      <c r="D19" s="726"/>
      <c r="E19" s="726"/>
      <c r="F19" s="726"/>
      <c r="G19" s="726"/>
      <c r="H19" s="727">
        <f t="shared" si="0"/>
        <v>0</v>
      </c>
    </row>
    <row r="20" spans="1:8">
      <c r="A20" s="452">
        <v>13</v>
      </c>
      <c r="B20" s="451" t="s">
        <v>70</v>
      </c>
      <c r="C20" s="726"/>
      <c r="D20" s="726"/>
      <c r="E20" s="726"/>
      <c r="F20" s="726"/>
      <c r="G20" s="726"/>
      <c r="H20" s="727">
        <f t="shared" si="0"/>
        <v>0</v>
      </c>
    </row>
    <row r="21" spans="1:8">
      <c r="A21" s="450">
        <v>14</v>
      </c>
      <c r="B21" s="449" t="s">
        <v>496</v>
      </c>
      <c r="C21" s="726">
        <v>1711926.8074999999</v>
      </c>
      <c r="D21" s="726">
        <v>985934.27626756264</v>
      </c>
      <c r="E21" s="726">
        <v>3134671.598496913</v>
      </c>
      <c r="F21" s="726">
        <v>809742.29057671432</v>
      </c>
      <c r="G21" s="726">
        <v>19445312.631701142</v>
      </c>
      <c r="H21" s="727">
        <f>SUM(C21:G21)</f>
        <v>26087587.60454233</v>
      </c>
    </row>
    <row r="22" spans="1:8">
      <c r="A22" s="448">
        <v>15</v>
      </c>
      <c r="B22" s="447" t="s">
        <v>66</v>
      </c>
      <c r="C22" s="727">
        <f>SUM(C18:C21)+SUM(C8:C16)</f>
        <v>67688484.970478117</v>
      </c>
      <c r="D22" s="727">
        <f t="shared" ref="D22:H22" si="1">SUM(D18:D21)+SUM(D8:D16)</f>
        <v>259953088.63174129</v>
      </c>
      <c r="E22" s="727">
        <f t="shared" si="1"/>
        <v>113734047.89720346</v>
      </c>
      <c r="F22" s="727">
        <f t="shared" si="1"/>
        <v>26018914.069272231</v>
      </c>
      <c r="G22" s="727">
        <f t="shared" si="1"/>
        <v>19825285.553125143</v>
      </c>
      <c r="H22" s="727">
        <f t="shared" si="1"/>
        <v>487219821.12182021</v>
      </c>
    </row>
    <row r="26" spans="1:8" ht="38.25">
      <c r="B26" s="393" t="s">
        <v>674</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6"/>
  <sheetViews>
    <sheetView showGridLines="0" zoomScaleNormal="100" workbookViewId="0">
      <selection activeCell="A5" sqref="A5:B6"/>
    </sheetView>
  </sheetViews>
  <sheetFormatPr defaultColWidth="9.140625" defaultRowHeight="12.75"/>
  <cols>
    <col min="1" max="1" width="11.85546875" style="377" bestFit="1" customWidth="1"/>
    <col min="2" max="2" width="86.85546875" style="374" customWidth="1"/>
    <col min="3" max="4" width="31.5703125" style="374" customWidth="1"/>
    <col min="5" max="5" width="16.42578125" style="379" bestFit="1" customWidth="1"/>
    <col min="6" max="6" width="14.28515625" style="379" bestFit="1" customWidth="1"/>
    <col min="7" max="7" width="20" style="374" bestFit="1" customWidth="1"/>
    <col min="8" max="8" width="25.140625" style="374" bestFit="1" customWidth="1"/>
    <col min="9" max="16384" width="9.140625" style="374"/>
  </cols>
  <sheetData>
    <row r="1" spans="1:8" ht="13.5">
      <c r="A1" s="373" t="s">
        <v>108</v>
      </c>
      <c r="B1" s="603" t="str">
        <f>'1. key ratios'!B1</f>
        <v>სს იშბანკი საქართველო</v>
      </c>
      <c r="C1" s="467"/>
      <c r="D1" s="467"/>
      <c r="E1" s="467"/>
      <c r="F1" s="467"/>
      <c r="G1" s="467"/>
      <c r="H1" s="467"/>
    </row>
    <row r="2" spans="1:8" ht="13.5">
      <c r="A2" s="375" t="s">
        <v>109</v>
      </c>
      <c r="B2" s="604">
        <f>'1. key ratios'!B2</f>
        <v>45657</v>
      </c>
      <c r="C2" s="467"/>
      <c r="D2" s="467"/>
      <c r="E2" s="467"/>
      <c r="F2" s="467"/>
      <c r="G2" s="467"/>
      <c r="H2" s="467"/>
    </row>
    <row r="3" spans="1:8">
      <c r="A3" s="376" t="s">
        <v>497</v>
      </c>
      <c r="B3" s="467"/>
      <c r="C3" s="467"/>
      <c r="D3" s="467"/>
      <c r="E3" s="467"/>
      <c r="F3" s="467"/>
      <c r="G3" s="467"/>
      <c r="H3" s="467"/>
    </row>
    <row r="4" spans="1:8">
      <c r="A4" s="468"/>
      <c r="B4" s="467"/>
      <c r="C4" s="466" t="s">
        <v>498</v>
      </c>
      <c r="D4" s="466" t="s">
        <v>499</v>
      </c>
      <c r="E4" s="466" t="s">
        <v>500</v>
      </c>
      <c r="F4" s="466" t="s">
        <v>501</v>
      </c>
      <c r="G4" s="466" t="s">
        <v>502</v>
      </c>
      <c r="H4" s="466" t="s">
        <v>503</v>
      </c>
    </row>
    <row r="5" spans="1:8" ht="33.950000000000003" customHeight="1">
      <c r="A5" s="919" t="s">
        <v>863</v>
      </c>
      <c r="B5" s="920"/>
      <c r="C5" s="933" t="s">
        <v>592</v>
      </c>
      <c r="D5" s="933"/>
      <c r="E5" s="933" t="s">
        <v>862</v>
      </c>
      <c r="F5" s="931" t="s">
        <v>861</v>
      </c>
      <c r="G5" s="931" t="s">
        <v>507</v>
      </c>
      <c r="H5" s="464" t="s">
        <v>860</v>
      </c>
    </row>
    <row r="6" spans="1:8" ht="25.5">
      <c r="A6" s="923"/>
      <c r="B6" s="924"/>
      <c r="C6" s="465" t="s">
        <v>508</v>
      </c>
      <c r="D6" s="465" t="s">
        <v>509</v>
      </c>
      <c r="E6" s="933"/>
      <c r="F6" s="932"/>
      <c r="G6" s="932"/>
      <c r="H6" s="464" t="s">
        <v>859</v>
      </c>
    </row>
    <row r="7" spans="1:8">
      <c r="A7" s="462">
        <v>1</v>
      </c>
      <c r="B7" s="449" t="s">
        <v>134</v>
      </c>
      <c r="C7" s="728">
        <v>0</v>
      </c>
      <c r="D7" s="728">
        <v>49724647.946983561</v>
      </c>
      <c r="E7" s="729">
        <v>136028.96471801639</v>
      </c>
      <c r="F7" s="729"/>
      <c r="G7" s="728"/>
      <c r="H7" s="791">
        <f t="shared" ref="H7:H20" si="0">C7+D7-E7-F7</f>
        <v>49588618.982265547</v>
      </c>
    </row>
    <row r="8" spans="1:8" ht="24">
      <c r="A8" s="462">
        <v>2</v>
      </c>
      <c r="B8" s="449" t="s">
        <v>135</v>
      </c>
      <c r="C8" s="728"/>
      <c r="D8" s="728"/>
      <c r="E8" s="729"/>
      <c r="F8" s="729"/>
      <c r="G8" s="728"/>
      <c r="H8" s="791">
        <f t="shared" si="0"/>
        <v>0</v>
      </c>
    </row>
    <row r="9" spans="1:8">
      <c r="A9" s="462">
        <v>3</v>
      </c>
      <c r="B9" s="449" t="s">
        <v>136</v>
      </c>
      <c r="C9" s="728"/>
      <c r="D9" s="728"/>
      <c r="E9" s="729"/>
      <c r="F9" s="729"/>
      <c r="G9" s="728"/>
      <c r="H9" s="791">
        <f t="shared" si="0"/>
        <v>0</v>
      </c>
    </row>
    <row r="10" spans="1:8">
      <c r="A10" s="462">
        <v>4</v>
      </c>
      <c r="B10" s="449" t="s">
        <v>137</v>
      </c>
      <c r="C10" s="728"/>
      <c r="D10" s="728"/>
      <c r="E10" s="729"/>
      <c r="F10" s="729"/>
      <c r="G10" s="728"/>
      <c r="H10" s="791">
        <f t="shared" si="0"/>
        <v>0</v>
      </c>
    </row>
    <row r="11" spans="1:8">
      <c r="A11" s="462">
        <v>5</v>
      </c>
      <c r="B11" s="449" t="s">
        <v>942</v>
      </c>
      <c r="C11" s="728">
        <v>0</v>
      </c>
      <c r="D11" s="728"/>
      <c r="E11" s="729"/>
      <c r="F11" s="729"/>
      <c r="G11" s="728"/>
      <c r="H11" s="791">
        <f t="shared" si="0"/>
        <v>0</v>
      </c>
    </row>
    <row r="12" spans="1:8">
      <c r="A12" s="462">
        <v>6</v>
      </c>
      <c r="B12" s="449" t="s">
        <v>138</v>
      </c>
      <c r="C12" s="728">
        <v>0</v>
      </c>
      <c r="D12" s="728">
        <v>48314070.202773601</v>
      </c>
      <c r="E12" s="729">
        <v>132397.2752332853</v>
      </c>
      <c r="F12" s="729"/>
      <c r="G12" s="728"/>
      <c r="H12" s="791">
        <f t="shared" si="0"/>
        <v>48181672.927540317</v>
      </c>
    </row>
    <row r="13" spans="1:8">
      <c r="A13" s="462">
        <v>7</v>
      </c>
      <c r="B13" s="449" t="s">
        <v>71</v>
      </c>
      <c r="C13" s="728">
        <v>405732.13194799999</v>
      </c>
      <c r="D13" s="728">
        <v>364475347.97847736</v>
      </c>
      <c r="E13" s="729">
        <v>1519138.5029535305</v>
      </c>
      <c r="F13" s="729"/>
      <c r="G13" s="728"/>
      <c r="H13" s="791">
        <f t="shared" si="0"/>
        <v>363361941.60747182</v>
      </c>
    </row>
    <row r="14" spans="1:8">
      <c r="A14" s="462">
        <v>8</v>
      </c>
      <c r="B14" s="451" t="s">
        <v>72</v>
      </c>
      <c r="C14" s="728"/>
      <c r="D14" s="728"/>
      <c r="E14" s="729"/>
      <c r="F14" s="729"/>
      <c r="G14" s="728"/>
      <c r="H14" s="791">
        <f t="shared" si="0"/>
        <v>0</v>
      </c>
    </row>
    <row r="15" spans="1:8">
      <c r="A15" s="462">
        <v>9</v>
      </c>
      <c r="B15" s="449" t="s">
        <v>943</v>
      </c>
      <c r="C15" s="728"/>
      <c r="D15" s="728"/>
      <c r="E15" s="729"/>
      <c r="F15" s="729"/>
      <c r="G15" s="728"/>
      <c r="H15" s="791">
        <f t="shared" si="0"/>
        <v>0</v>
      </c>
    </row>
    <row r="16" spans="1:8">
      <c r="A16" s="462">
        <v>10</v>
      </c>
      <c r="B16" s="453" t="s">
        <v>510</v>
      </c>
      <c r="C16" s="728">
        <v>14589.269999999999</v>
      </c>
      <c r="D16" s="728">
        <v>1499.19</v>
      </c>
      <c r="E16" s="729">
        <v>1497.8532990619217</v>
      </c>
      <c r="F16" s="729"/>
      <c r="G16" s="728"/>
      <c r="H16" s="791">
        <f t="shared" si="0"/>
        <v>14590.606700938077</v>
      </c>
    </row>
    <row r="17" spans="1:8">
      <c r="A17" s="462">
        <v>11</v>
      </c>
      <c r="B17" s="449" t="s">
        <v>68</v>
      </c>
      <c r="C17" s="728">
        <v>0</v>
      </c>
      <c r="D17" s="728">
        <v>0</v>
      </c>
      <c r="E17" s="729">
        <v>0</v>
      </c>
      <c r="F17" s="729"/>
      <c r="G17" s="728"/>
      <c r="H17" s="791">
        <f t="shared" si="0"/>
        <v>0</v>
      </c>
    </row>
    <row r="18" spans="1:8">
      <c r="A18" s="462">
        <v>12</v>
      </c>
      <c r="B18" s="449" t="s">
        <v>69</v>
      </c>
      <c r="C18" s="728"/>
      <c r="D18" s="728"/>
      <c r="E18" s="729"/>
      <c r="F18" s="729"/>
      <c r="G18" s="728"/>
      <c r="H18" s="791">
        <f t="shared" si="0"/>
        <v>0</v>
      </c>
    </row>
    <row r="19" spans="1:8">
      <c r="A19" s="463">
        <v>13</v>
      </c>
      <c r="B19" s="451" t="s">
        <v>70</v>
      </c>
      <c r="C19" s="728"/>
      <c r="D19" s="728"/>
      <c r="E19" s="729"/>
      <c r="F19" s="729"/>
      <c r="G19" s="728"/>
      <c r="H19" s="791">
        <f t="shared" si="0"/>
        <v>0</v>
      </c>
    </row>
    <row r="20" spans="1:8">
      <c r="A20" s="462">
        <v>14</v>
      </c>
      <c r="B20" s="449" t="s">
        <v>496</v>
      </c>
      <c r="C20" s="728">
        <v>1992589.492288</v>
      </c>
      <c r="D20" s="728">
        <v>27106840.999266326</v>
      </c>
      <c r="E20" s="729">
        <v>284789.4367856704</v>
      </c>
      <c r="F20" s="729"/>
      <c r="G20" s="728"/>
      <c r="H20" s="791">
        <f t="shared" si="0"/>
        <v>28814641.054768655</v>
      </c>
    </row>
    <row r="21" spans="1:8" s="378" customFormat="1">
      <c r="A21" s="461">
        <v>15</v>
      </c>
      <c r="B21" s="460" t="s">
        <v>66</v>
      </c>
      <c r="C21" s="730">
        <f t="shared" ref="C21:H21" si="1">SUM(C7:C15)+SUM(C17:C20)</f>
        <v>2398321.6242359998</v>
      </c>
      <c r="D21" s="730">
        <f t="shared" si="1"/>
        <v>489620907.12750083</v>
      </c>
      <c r="E21" s="730">
        <f t="shared" si="1"/>
        <v>2072354.1796905026</v>
      </c>
      <c r="F21" s="730">
        <f t="shared" si="1"/>
        <v>0</v>
      </c>
      <c r="G21" s="730">
        <f t="shared" si="1"/>
        <v>0</v>
      </c>
      <c r="H21" s="791">
        <f t="shared" si="1"/>
        <v>489946874.5720464</v>
      </c>
    </row>
    <row r="22" spans="1:8">
      <c r="A22" s="459">
        <v>16</v>
      </c>
      <c r="B22" s="458" t="s">
        <v>511</v>
      </c>
      <c r="C22" s="728">
        <v>1049228.4442360001</v>
      </c>
      <c r="D22" s="728">
        <v>324178681.84826809</v>
      </c>
      <c r="E22" s="729">
        <v>1626874.766217835</v>
      </c>
      <c r="F22" s="729"/>
      <c r="G22" s="728"/>
      <c r="H22" s="791">
        <f>C22+D22-E22-F22</f>
        <v>323601035.52628624</v>
      </c>
    </row>
    <row r="23" spans="1:8">
      <c r="A23" s="459">
        <v>17</v>
      </c>
      <c r="B23" s="458" t="s">
        <v>512</v>
      </c>
      <c r="C23" s="728">
        <v>0</v>
      </c>
      <c r="D23" s="728">
        <v>56432630.28128276</v>
      </c>
      <c r="E23" s="729">
        <v>218286.72137946144</v>
      </c>
      <c r="F23" s="729"/>
      <c r="G23" s="728"/>
      <c r="H23" s="791">
        <f>C23+D23-E23-F23</f>
        <v>56214343.559903301</v>
      </c>
    </row>
    <row r="25" spans="1:8">
      <c r="E25" s="374"/>
      <c r="F25" s="374"/>
    </row>
    <row r="26" spans="1:8" ht="42.6" customHeight="1">
      <c r="B26" s="393" t="s">
        <v>674</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6"/>
  <sheetViews>
    <sheetView showGridLines="0" zoomScaleNormal="100" workbookViewId="0">
      <selection activeCell="A5" sqref="A5:B6"/>
    </sheetView>
  </sheetViews>
  <sheetFormatPr defaultColWidth="9.140625" defaultRowHeight="12.75"/>
  <cols>
    <col min="1" max="1" width="11" style="374" bestFit="1" customWidth="1"/>
    <col min="2" max="2" width="61.5703125" style="374" bestFit="1" customWidth="1"/>
    <col min="3" max="4" width="32.140625" style="374" bestFit="1" customWidth="1"/>
    <col min="5" max="5" width="17.7109375" style="374" bestFit="1" customWidth="1"/>
    <col min="6" max="6" width="15.5703125" style="374" bestFit="1" customWidth="1"/>
    <col min="7" max="7" width="21.5703125" style="374" bestFit="1" customWidth="1"/>
    <col min="8" max="8" width="26.85546875" style="374" bestFit="1" customWidth="1"/>
    <col min="9" max="16384" width="9.140625" style="374"/>
  </cols>
  <sheetData>
    <row r="1" spans="1:8" ht="13.5">
      <c r="A1" s="373" t="s">
        <v>108</v>
      </c>
      <c r="B1" s="603" t="str">
        <f>'1. key ratios'!B1</f>
        <v>სს იშბანკი საქართველო</v>
      </c>
      <c r="C1" s="467"/>
      <c r="D1" s="467"/>
      <c r="E1" s="467"/>
      <c r="F1" s="467"/>
      <c r="G1" s="467"/>
      <c r="H1" s="467"/>
    </row>
    <row r="2" spans="1:8" ht="13.5">
      <c r="A2" s="375" t="s">
        <v>109</v>
      </c>
      <c r="B2" s="604">
        <f>'1. key ratios'!B2</f>
        <v>45657</v>
      </c>
      <c r="C2" s="467"/>
      <c r="D2" s="467"/>
      <c r="E2" s="467"/>
      <c r="F2" s="467"/>
      <c r="G2" s="467"/>
      <c r="H2" s="467"/>
    </row>
    <row r="3" spans="1:8">
      <c r="A3" s="376" t="s">
        <v>513</v>
      </c>
      <c r="B3" s="467"/>
      <c r="C3" s="467"/>
      <c r="D3" s="467"/>
      <c r="E3" s="467"/>
      <c r="F3" s="467"/>
      <c r="G3" s="467"/>
      <c r="H3" s="467"/>
    </row>
    <row r="4" spans="1:8">
      <c r="A4" s="467"/>
      <c r="B4" s="467"/>
      <c r="C4" s="466" t="s">
        <v>498</v>
      </c>
      <c r="D4" s="466" t="s">
        <v>499</v>
      </c>
      <c r="E4" s="466" t="s">
        <v>500</v>
      </c>
      <c r="F4" s="466" t="s">
        <v>501</v>
      </c>
      <c r="G4" s="466" t="s">
        <v>502</v>
      </c>
      <c r="H4" s="466" t="s">
        <v>503</v>
      </c>
    </row>
    <row r="5" spans="1:8" ht="41.45" customHeight="1">
      <c r="A5" s="919" t="s">
        <v>865</v>
      </c>
      <c r="B5" s="920"/>
      <c r="C5" s="934" t="s">
        <v>592</v>
      </c>
      <c r="D5" s="935"/>
      <c r="E5" s="931" t="s">
        <v>862</v>
      </c>
      <c r="F5" s="931" t="s">
        <v>861</v>
      </c>
      <c r="G5" s="931" t="s">
        <v>507</v>
      </c>
      <c r="H5" s="464" t="s">
        <v>860</v>
      </c>
    </row>
    <row r="6" spans="1:8" ht="25.5">
      <c r="A6" s="923"/>
      <c r="B6" s="924"/>
      <c r="C6" s="465" t="s">
        <v>508</v>
      </c>
      <c r="D6" s="465" t="s">
        <v>509</v>
      </c>
      <c r="E6" s="932"/>
      <c r="F6" s="932"/>
      <c r="G6" s="932"/>
      <c r="H6" s="464" t="s">
        <v>859</v>
      </c>
    </row>
    <row r="7" spans="1:8">
      <c r="A7" s="456">
        <v>1</v>
      </c>
      <c r="B7" s="471" t="s">
        <v>514</v>
      </c>
      <c r="C7" s="728">
        <v>3324.96</v>
      </c>
      <c r="D7" s="728">
        <v>51763708.574507564</v>
      </c>
      <c r="E7" s="728">
        <v>149318.77964898688</v>
      </c>
      <c r="F7" s="728"/>
      <c r="G7" s="728"/>
      <c r="H7" s="791">
        <f t="shared" ref="H7:H34" si="0">C7+D7-E7-F7</f>
        <v>51617714.754858576</v>
      </c>
    </row>
    <row r="8" spans="1:8">
      <c r="A8" s="456">
        <v>2</v>
      </c>
      <c r="B8" s="471" t="s">
        <v>515</v>
      </c>
      <c r="C8" s="728">
        <v>0</v>
      </c>
      <c r="D8" s="728">
        <v>105831339.91232017</v>
      </c>
      <c r="E8" s="728">
        <v>410003.11350378854</v>
      </c>
      <c r="F8" s="728"/>
      <c r="G8" s="728"/>
      <c r="H8" s="791">
        <f t="shared" si="0"/>
        <v>105421336.79881638</v>
      </c>
    </row>
    <row r="9" spans="1:8">
      <c r="A9" s="456">
        <v>3</v>
      </c>
      <c r="B9" s="471" t="s">
        <v>864</v>
      </c>
      <c r="C9" s="728"/>
      <c r="D9" s="728"/>
      <c r="E9" s="728"/>
      <c r="F9" s="728"/>
      <c r="G9" s="728"/>
      <c r="H9" s="791">
        <f t="shared" si="0"/>
        <v>0</v>
      </c>
    </row>
    <row r="10" spans="1:8">
      <c r="A10" s="456">
        <v>4</v>
      </c>
      <c r="B10" s="471" t="s">
        <v>516</v>
      </c>
      <c r="C10" s="728">
        <v>303093.92</v>
      </c>
      <c r="D10" s="728">
        <v>16778276.383978002</v>
      </c>
      <c r="E10" s="728">
        <v>55262.266492966024</v>
      </c>
      <c r="F10" s="728"/>
      <c r="G10" s="728"/>
      <c r="H10" s="791">
        <f t="shared" si="0"/>
        <v>17026108.037485037</v>
      </c>
    </row>
    <row r="11" spans="1:8">
      <c r="A11" s="456">
        <v>5</v>
      </c>
      <c r="B11" s="471" t="s">
        <v>517</v>
      </c>
      <c r="C11" s="728">
        <v>0</v>
      </c>
      <c r="D11" s="728">
        <v>18161540.372060001</v>
      </c>
      <c r="E11" s="728">
        <v>13411.970498204091</v>
      </c>
      <c r="F11" s="728"/>
      <c r="G11" s="728"/>
      <c r="H11" s="791">
        <f t="shared" si="0"/>
        <v>18148128.401561797</v>
      </c>
    </row>
    <row r="12" spans="1:8">
      <c r="A12" s="456">
        <v>6</v>
      </c>
      <c r="B12" s="471" t="s">
        <v>518</v>
      </c>
      <c r="C12" s="728">
        <v>384562.19142400002</v>
      </c>
      <c r="D12" s="728">
        <v>568239.21766400011</v>
      </c>
      <c r="E12" s="728">
        <v>1497.8527754617678</v>
      </c>
      <c r="F12" s="728"/>
      <c r="G12" s="728"/>
      <c r="H12" s="791">
        <f t="shared" si="0"/>
        <v>951303.55631253845</v>
      </c>
    </row>
    <row r="13" spans="1:8">
      <c r="A13" s="456">
        <v>7</v>
      </c>
      <c r="B13" s="471" t="s">
        <v>519</v>
      </c>
      <c r="C13" s="728">
        <v>0</v>
      </c>
      <c r="D13" s="728">
        <v>60490423.500715993</v>
      </c>
      <c r="E13" s="728">
        <v>163170.16392140198</v>
      </c>
      <c r="F13" s="728"/>
      <c r="G13" s="728"/>
      <c r="H13" s="791">
        <f t="shared" si="0"/>
        <v>60327253.336794592</v>
      </c>
    </row>
    <row r="14" spans="1:8">
      <c r="A14" s="456">
        <v>8</v>
      </c>
      <c r="B14" s="471" t="s">
        <v>520</v>
      </c>
      <c r="C14" s="728">
        <v>0</v>
      </c>
      <c r="D14" s="728">
        <v>114727.98</v>
      </c>
      <c r="E14" s="728">
        <v>2.1905706576634495E-15</v>
      </c>
      <c r="F14" s="728"/>
      <c r="G14" s="728"/>
      <c r="H14" s="791">
        <f t="shared" si="0"/>
        <v>114727.98</v>
      </c>
    </row>
    <row r="15" spans="1:8">
      <c r="A15" s="456">
        <v>9</v>
      </c>
      <c r="B15" s="471" t="s">
        <v>521</v>
      </c>
      <c r="C15" s="728">
        <v>0</v>
      </c>
      <c r="D15" s="728">
        <v>4699426.8137360001</v>
      </c>
      <c r="E15" s="728">
        <v>0</v>
      </c>
      <c r="F15" s="728"/>
      <c r="G15" s="728"/>
      <c r="H15" s="791">
        <f t="shared" si="0"/>
        <v>4699426.8137360001</v>
      </c>
    </row>
    <row r="16" spans="1:8">
      <c r="A16" s="456">
        <v>10</v>
      </c>
      <c r="B16" s="471" t="s">
        <v>522</v>
      </c>
      <c r="C16" s="728">
        <v>4171.4399999999996</v>
      </c>
      <c r="D16" s="728">
        <v>15471449.984336002</v>
      </c>
      <c r="E16" s="728">
        <v>69130.74544731823</v>
      </c>
      <c r="F16" s="728"/>
      <c r="G16" s="728"/>
      <c r="H16" s="791">
        <f t="shared" si="0"/>
        <v>15406490.678888682</v>
      </c>
    </row>
    <row r="17" spans="1:9">
      <c r="A17" s="456">
        <v>11</v>
      </c>
      <c r="B17" s="471" t="s">
        <v>523</v>
      </c>
      <c r="C17" s="728">
        <v>6252.99</v>
      </c>
      <c r="D17" s="728">
        <v>30143602.675616</v>
      </c>
      <c r="E17" s="728">
        <v>74783.839221312635</v>
      </c>
      <c r="F17" s="728"/>
      <c r="G17" s="728"/>
      <c r="H17" s="791">
        <f t="shared" si="0"/>
        <v>30075071.826394685</v>
      </c>
    </row>
    <row r="18" spans="1:9">
      <c r="A18" s="456">
        <v>12</v>
      </c>
      <c r="B18" s="471" t="s">
        <v>524</v>
      </c>
      <c r="C18" s="728">
        <v>78174.930523999996</v>
      </c>
      <c r="D18" s="728">
        <v>22824474.258788332</v>
      </c>
      <c r="E18" s="728">
        <v>154773.7495982261</v>
      </c>
      <c r="F18" s="728"/>
      <c r="G18" s="728"/>
      <c r="H18" s="791">
        <f t="shared" si="0"/>
        <v>22747875.439714104</v>
      </c>
    </row>
    <row r="19" spans="1:9">
      <c r="A19" s="456">
        <v>13</v>
      </c>
      <c r="B19" s="471" t="s">
        <v>525</v>
      </c>
      <c r="C19" s="728">
        <v>26968.25</v>
      </c>
      <c r="D19" s="728">
        <v>704340.64</v>
      </c>
      <c r="E19" s="728">
        <v>18543.200032218767</v>
      </c>
      <c r="F19" s="728"/>
      <c r="G19" s="728"/>
      <c r="H19" s="791">
        <f t="shared" si="0"/>
        <v>712765.68996778131</v>
      </c>
    </row>
    <row r="20" spans="1:9">
      <c r="A20" s="456">
        <v>14</v>
      </c>
      <c r="B20" s="471" t="s">
        <v>526</v>
      </c>
      <c r="C20" s="728">
        <v>48000.01442</v>
      </c>
      <c r="D20" s="728">
        <v>1387463.9158439999</v>
      </c>
      <c r="E20" s="728">
        <v>46732.311041492743</v>
      </c>
      <c r="F20" s="728"/>
      <c r="G20" s="728"/>
      <c r="H20" s="791">
        <f t="shared" si="0"/>
        <v>1388731.6192225071</v>
      </c>
    </row>
    <row r="21" spans="1:9">
      <c r="A21" s="456">
        <v>15</v>
      </c>
      <c r="B21" s="471" t="s">
        <v>527</v>
      </c>
      <c r="C21" s="728">
        <v>0</v>
      </c>
      <c r="D21" s="728">
        <v>10016295.350000001</v>
      </c>
      <c r="E21" s="728">
        <v>56544.118877701381</v>
      </c>
      <c r="F21" s="728"/>
      <c r="G21" s="728"/>
      <c r="H21" s="791">
        <f t="shared" si="0"/>
        <v>9959751.2311223</v>
      </c>
    </row>
    <row r="22" spans="1:9">
      <c r="A22" s="456">
        <v>16</v>
      </c>
      <c r="B22" s="471" t="s">
        <v>528</v>
      </c>
      <c r="C22" s="728">
        <v>0</v>
      </c>
      <c r="D22" s="728">
        <v>0</v>
      </c>
      <c r="E22" s="728">
        <v>0</v>
      </c>
      <c r="F22" s="728"/>
      <c r="G22" s="728"/>
      <c r="H22" s="791">
        <f t="shared" si="0"/>
        <v>0</v>
      </c>
    </row>
    <row r="23" spans="1:9">
      <c r="A23" s="456">
        <v>17</v>
      </c>
      <c r="B23" s="471" t="s">
        <v>529</v>
      </c>
      <c r="C23" s="728">
        <v>0</v>
      </c>
      <c r="D23" s="728">
        <v>0</v>
      </c>
      <c r="E23" s="728">
        <v>0</v>
      </c>
      <c r="F23" s="728"/>
      <c r="G23" s="728"/>
      <c r="H23" s="791">
        <f t="shared" si="0"/>
        <v>0</v>
      </c>
    </row>
    <row r="24" spans="1:9">
      <c r="A24" s="456">
        <v>18</v>
      </c>
      <c r="B24" s="471" t="s">
        <v>530</v>
      </c>
      <c r="C24" s="728">
        <v>0</v>
      </c>
      <c r="D24" s="728">
        <v>66072973.220576003</v>
      </c>
      <c r="E24" s="728">
        <v>475720.25870634563</v>
      </c>
      <c r="F24" s="728"/>
      <c r="G24" s="728"/>
      <c r="H24" s="791">
        <f t="shared" si="0"/>
        <v>65597252.961869657</v>
      </c>
    </row>
    <row r="25" spans="1:9">
      <c r="A25" s="456">
        <v>19</v>
      </c>
      <c r="B25" s="471" t="s">
        <v>531</v>
      </c>
      <c r="C25" s="728">
        <v>0</v>
      </c>
      <c r="D25" s="728">
        <v>14444390.800420003</v>
      </c>
      <c r="E25" s="728">
        <v>88325.890460908035</v>
      </c>
      <c r="F25" s="728"/>
      <c r="G25" s="728"/>
      <c r="H25" s="791">
        <f t="shared" si="0"/>
        <v>14356064.909959095</v>
      </c>
    </row>
    <row r="26" spans="1:9">
      <c r="A26" s="456">
        <v>20</v>
      </c>
      <c r="B26" s="471" t="s">
        <v>532</v>
      </c>
      <c r="C26" s="728">
        <v>26519.3</v>
      </c>
      <c r="D26" s="728">
        <v>23181907.91</v>
      </c>
      <c r="E26" s="728">
        <v>152253.14915699998</v>
      </c>
      <c r="F26" s="728"/>
      <c r="G26" s="728"/>
      <c r="H26" s="791">
        <f t="shared" si="0"/>
        <v>23056174.060843002</v>
      </c>
      <c r="I26" s="380"/>
    </row>
    <row r="27" spans="1:9">
      <c r="A27" s="456">
        <v>21</v>
      </c>
      <c r="B27" s="471" t="s">
        <v>533</v>
      </c>
      <c r="C27" s="728">
        <v>84937.13</v>
      </c>
      <c r="D27" s="728">
        <v>0</v>
      </c>
      <c r="E27" s="728">
        <v>27613.143558272433</v>
      </c>
      <c r="F27" s="728"/>
      <c r="G27" s="728"/>
      <c r="H27" s="791">
        <f t="shared" si="0"/>
        <v>57323.986441727568</v>
      </c>
      <c r="I27" s="380"/>
    </row>
    <row r="28" spans="1:9">
      <c r="A28" s="456">
        <v>22</v>
      </c>
      <c r="B28" s="471" t="s">
        <v>534</v>
      </c>
      <c r="C28" s="728">
        <v>0</v>
      </c>
      <c r="D28" s="728">
        <v>0</v>
      </c>
      <c r="E28" s="728">
        <v>0</v>
      </c>
      <c r="F28" s="728"/>
      <c r="G28" s="728"/>
      <c r="H28" s="791">
        <f t="shared" si="0"/>
        <v>0</v>
      </c>
      <c r="I28" s="380"/>
    </row>
    <row r="29" spans="1:9">
      <c r="A29" s="456">
        <v>23</v>
      </c>
      <c r="B29" s="471" t="s">
        <v>535</v>
      </c>
      <c r="C29" s="728">
        <v>22698.74</v>
      </c>
      <c r="D29" s="728">
        <v>16180639.869812341</v>
      </c>
      <c r="E29" s="728">
        <v>53689.361446369949</v>
      </c>
      <c r="F29" s="728"/>
      <c r="G29" s="728"/>
      <c r="H29" s="791">
        <f t="shared" si="0"/>
        <v>16149649.248365972</v>
      </c>
      <c r="I29" s="380"/>
    </row>
    <row r="30" spans="1:9">
      <c r="A30" s="456">
        <v>24</v>
      </c>
      <c r="B30" s="471" t="s">
        <v>536</v>
      </c>
      <c r="C30" s="728">
        <v>0</v>
      </c>
      <c r="D30" s="728">
        <v>8251814.301492</v>
      </c>
      <c r="E30" s="728">
        <v>1355.687431262847</v>
      </c>
      <c r="F30" s="728"/>
      <c r="G30" s="728"/>
      <c r="H30" s="791">
        <f t="shared" si="0"/>
        <v>8250458.6140607372</v>
      </c>
      <c r="I30" s="380"/>
    </row>
    <row r="31" spans="1:9">
      <c r="A31" s="456">
        <v>25</v>
      </c>
      <c r="B31" s="471" t="s">
        <v>537</v>
      </c>
      <c r="C31" s="728">
        <v>60524.577867999993</v>
      </c>
      <c r="D31" s="728">
        <v>36208.100000000006</v>
      </c>
      <c r="E31" s="728">
        <v>60224.577871263813</v>
      </c>
      <c r="F31" s="728"/>
      <c r="G31" s="728"/>
      <c r="H31" s="791">
        <f t="shared" si="0"/>
        <v>36508.099996736186</v>
      </c>
      <c r="I31" s="380"/>
    </row>
    <row r="32" spans="1:9">
      <c r="A32" s="456">
        <v>26</v>
      </c>
      <c r="B32" s="471" t="s">
        <v>538</v>
      </c>
      <c r="C32" s="728">
        <v>0</v>
      </c>
      <c r="D32" s="728">
        <v>0</v>
      </c>
      <c r="E32" s="728">
        <v>0</v>
      </c>
      <c r="F32" s="728"/>
      <c r="G32" s="728"/>
      <c r="H32" s="791">
        <f t="shared" si="0"/>
        <v>0</v>
      </c>
      <c r="I32" s="380"/>
    </row>
    <row r="33" spans="1:9">
      <c r="A33" s="456">
        <v>27</v>
      </c>
      <c r="B33" s="457" t="s">
        <v>99</v>
      </c>
      <c r="C33" s="728">
        <v>1349093.18</v>
      </c>
      <c r="D33" s="728">
        <v>22497663.345634326</v>
      </c>
      <c r="E33" s="728"/>
      <c r="F33" s="728"/>
      <c r="G33" s="728"/>
      <c r="H33" s="791">
        <f t="shared" si="0"/>
        <v>23846756.525634326</v>
      </c>
      <c r="I33" s="380"/>
    </row>
    <row r="34" spans="1:9">
      <c r="A34" s="456">
        <v>28</v>
      </c>
      <c r="B34" s="470" t="s">
        <v>66</v>
      </c>
      <c r="C34" s="730">
        <f>SUM(C7:C33)</f>
        <v>2398321.6242359998</v>
      </c>
      <c r="D34" s="730">
        <f>SUM(D7:D33)</f>
        <v>489620907.12750083</v>
      </c>
      <c r="E34" s="730">
        <f>SUM(E7:E33)</f>
        <v>2072354.1796905017</v>
      </c>
      <c r="F34" s="730">
        <f>SUM(F7:F33)</f>
        <v>0</v>
      </c>
      <c r="G34" s="730">
        <f>SUM(G7:G33)</f>
        <v>0</v>
      </c>
      <c r="H34" s="791">
        <f t="shared" si="0"/>
        <v>489946874.57204634</v>
      </c>
      <c r="I34" s="380"/>
    </row>
    <row r="35" spans="1:9">
      <c r="A35" s="380"/>
      <c r="B35" s="380"/>
      <c r="C35" s="380"/>
      <c r="D35" s="380"/>
      <c r="E35" s="380"/>
      <c r="F35" s="380"/>
      <c r="G35" s="380"/>
      <c r="H35" s="380"/>
      <c r="I35" s="380"/>
    </row>
    <row r="36" spans="1:9">
      <c r="A36" s="380"/>
      <c r="B36" s="381"/>
      <c r="C36" s="380"/>
      <c r="D36" s="380"/>
      <c r="E36" s="380"/>
      <c r="F36" s="380"/>
      <c r="G36" s="380"/>
      <c r="H36" s="380"/>
      <c r="I36" s="380"/>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5"/>
  <sheetViews>
    <sheetView showGridLines="0" zoomScaleNormal="100" workbookViewId="0">
      <selection activeCell="A5" sqref="A5:B5"/>
    </sheetView>
  </sheetViews>
  <sheetFormatPr defaultColWidth="9.140625" defaultRowHeight="12.75"/>
  <cols>
    <col min="1" max="1" width="11.85546875" style="374" bestFit="1" customWidth="1"/>
    <col min="2" max="2" width="108" style="374" bestFit="1" customWidth="1"/>
    <col min="3" max="3" width="35.5703125" style="374" customWidth="1"/>
    <col min="4" max="4" width="38.42578125" style="379" customWidth="1"/>
    <col min="5" max="16384" width="9.140625" style="374"/>
  </cols>
  <sheetData>
    <row r="1" spans="1:4" ht="13.5">
      <c r="A1" s="373" t="s">
        <v>108</v>
      </c>
      <c r="B1" s="603" t="str">
        <f>'1. key ratios'!B1</f>
        <v>სს იშბანკი საქართველო</v>
      </c>
      <c r="D1" s="374"/>
    </row>
    <row r="2" spans="1:4" ht="13.5">
      <c r="A2" s="375" t="s">
        <v>109</v>
      </c>
      <c r="B2" s="604">
        <f>'1. key ratios'!B2</f>
        <v>45657</v>
      </c>
      <c r="D2" s="374"/>
    </row>
    <row r="3" spans="1:4">
      <c r="A3" s="376" t="s">
        <v>539</v>
      </c>
      <c r="D3" s="374"/>
    </row>
    <row r="5" spans="1:4">
      <c r="A5" s="936" t="s">
        <v>876</v>
      </c>
      <c r="B5" s="936"/>
      <c r="C5" s="479" t="s">
        <v>558</v>
      </c>
      <c r="D5" s="479" t="s">
        <v>875</v>
      </c>
    </row>
    <row r="6" spans="1:4">
      <c r="A6" s="478">
        <v>1</v>
      </c>
      <c r="B6" s="472" t="s">
        <v>874</v>
      </c>
      <c r="C6" s="731">
        <v>1743631.8794659737</v>
      </c>
      <c r="D6" s="731">
        <v>235847.01315777045</v>
      </c>
    </row>
    <row r="7" spans="1:4">
      <c r="A7" s="475">
        <v>2</v>
      </c>
      <c r="B7" s="472" t="s">
        <v>873</v>
      </c>
      <c r="C7" s="731">
        <f>SUM(C8:C9)</f>
        <v>650934.77115232497</v>
      </c>
      <c r="D7" s="731">
        <f>SUM(D8:D9)</f>
        <v>3783.7478284425924</v>
      </c>
    </row>
    <row r="8" spans="1:4">
      <c r="A8" s="477">
        <v>2.1</v>
      </c>
      <c r="B8" s="476" t="s">
        <v>872</v>
      </c>
      <c r="C8" s="732">
        <v>650934.77115232497</v>
      </c>
      <c r="D8" s="732">
        <v>3783.7478284425924</v>
      </c>
    </row>
    <row r="9" spans="1:4">
      <c r="A9" s="477">
        <v>2.2000000000000002</v>
      </c>
      <c r="B9" s="476" t="s">
        <v>871</v>
      </c>
      <c r="C9" s="732">
        <v>0</v>
      </c>
      <c r="D9" s="732">
        <v>0</v>
      </c>
    </row>
    <row r="10" spans="1:4">
      <c r="A10" s="478">
        <v>3</v>
      </c>
      <c r="B10" s="472" t="s">
        <v>870</v>
      </c>
      <c r="C10" s="731">
        <f>SUM(C11:C13)</f>
        <v>766863.64265097678</v>
      </c>
      <c r="D10" s="731">
        <f>SUM(D11:D13)</f>
        <v>20004.028913694197</v>
      </c>
    </row>
    <row r="11" spans="1:4">
      <c r="A11" s="477">
        <v>3.1</v>
      </c>
      <c r="B11" s="476" t="s">
        <v>540</v>
      </c>
      <c r="C11" s="732"/>
      <c r="D11" s="732"/>
    </row>
    <row r="12" spans="1:4">
      <c r="A12" s="477">
        <v>3.2</v>
      </c>
      <c r="B12" s="476" t="s">
        <v>869</v>
      </c>
      <c r="C12" s="732">
        <v>766863.64265097678</v>
      </c>
      <c r="D12" s="732">
        <v>20004.028913694197</v>
      </c>
    </row>
    <row r="13" spans="1:4">
      <c r="A13" s="477">
        <v>3.3</v>
      </c>
      <c r="B13" s="476" t="s">
        <v>868</v>
      </c>
      <c r="C13" s="732">
        <v>0</v>
      </c>
      <c r="D13" s="732">
        <v>0</v>
      </c>
    </row>
    <row r="14" spans="1:4">
      <c r="A14" s="475">
        <v>4</v>
      </c>
      <c r="B14" s="474" t="s">
        <v>867</v>
      </c>
      <c r="C14" s="732">
        <v>-828.25055197793904</v>
      </c>
      <c r="D14" s="732">
        <v>-1340.01069305749</v>
      </c>
    </row>
    <row r="15" spans="1:4">
      <c r="A15" s="473">
        <v>5</v>
      </c>
      <c r="B15" s="472" t="s">
        <v>866</v>
      </c>
      <c r="C15" s="733">
        <f>C6+C7-C10+C14</f>
        <v>1626874.7574153442</v>
      </c>
      <c r="D15" s="733">
        <f>D6+D7-D10+D14</f>
        <v>218286.72137946135</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3"/>
  <sheetViews>
    <sheetView showGridLines="0" zoomScaleNormal="100" workbookViewId="0">
      <selection activeCell="A5" sqref="A5:B6"/>
    </sheetView>
  </sheetViews>
  <sheetFormatPr defaultColWidth="9.140625" defaultRowHeight="12.75"/>
  <cols>
    <col min="1" max="1" width="11.85546875" style="467" bestFit="1" customWidth="1"/>
    <col min="2" max="2" width="128.85546875" style="467" bestFit="1" customWidth="1"/>
    <col min="3" max="3" width="37" style="467" customWidth="1"/>
    <col min="4" max="4" width="50.5703125" style="467" customWidth="1"/>
    <col min="5" max="16384" width="9.140625" style="467"/>
  </cols>
  <sheetData>
    <row r="1" spans="1:4" ht="13.5">
      <c r="A1" s="373" t="s">
        <v>108</v>
      </c>
      <c r="B1" s="603" t="str">
        <f>'1. key ratios'!B1</f>
        <v>სს იშბანკი საქართველო</v>
      </c>
    </row>
    <row r="2" spans="1:4" ht="13.5">
      <c r="A2" s="375" t="s">
        <v>109</v>
      </c>
      <c r="B2" s="604">
        <f>'1. key ratios'!B2</f>
        <v>45657</v>
      </c>
    </row>
    <row r="3" spans="1:4">
      <c r="A3" s="376" t="s">
        <v>541</v>
      </c>
    </row>
    <row r="4" spans="1:4">
      <c r="A4" s="376"/>
    </row>
    <row r="5" spans="1:4" ht="15" customHeight="1">
      <c r="A5" s="937" t="s">
        <v>542</v>
      </c>
      <c r="B5" s="938"/>
      <c r="C5" s="941" t="s">
        <v>543</v>
      </c>
      <c r="D5" s="941" t="s">
        <v>544</v>
      </c>
    </row>
    <row r="6" spans="1:4">
      <c r="A6" s="939"/>
      <c r="B6" s="940"/>
      <c r="C6" s="941"/>
      <c r="D6" s="941"/>
    </row>
    <row r="7" spans="1:4">
      <c r="A7" s="470">
        <v>1</v>
      </c>
      <c r="B7" s="460" t="s">
        <v>545</v>
      </c>
      <c r="C7" s="731">
        <v>1278981.9099999997</v>
      </c>
      <c r="D7" s="480"/>
    </row>
    <row r="8" spans="1:4">
      <c r="A8" s="457">
        <v>2</v>
      </c>
      <c r="B8" s="457" t="s">
        <v>546</v>
      </c>
      <c r="C8" s="731">
        <v>10143.732330779585</v>
      </c>
      <c r="D8" s="480"/>
    </row>
    <row r="9" spans="1:4">
      <c r="A9" s="457">
        <v>3</v>
      </c>
      <c r="B9" s="483" t="s">
        <v>547</v>
      </c>
      <c r="C9" s="731">
        <v>4898.5934234531378</v>
      </c>
      <c r="D9" s="480"/>
    </row>
    <row r="10" spans="1:4">
      <c r="A10" s="457">
        <v>4</v>
      </c>
      <c r="B10" s="457" t="s">
        <v>548</v>
      </c>
      <c r="C10" s="731">
        <f>SUM(C11:C17)</f>
        <v>254688.72594023217</v>
      </c>
      <c r="D10" s="480"/>
    </row>
    <row r="11" spans="1:4">
      <c r="A11" s="457">
        <v>5</v>
      </c>
      <c r="B11" s="482" t="s">
        <v>877</v>
      </c>
      <c r="C11" s="732">
        <v>0</v>
      </c>
      <c r="D11" s="480"/>
    </row>
    <row r="12" spans="1:4">
      <c r="A12" s="457">
        <v>6</v>
      </c>
      <c r="B12" s="482" t="s">
        <v>549</v>
      </c>
      <c r="C12" s="732">
        <v>254688.72594023217</v>
      </c>
      <c r="D12" s="480"/>
    </row>
    <row r="13" spans="1:4">
      <c r="A13" s="457">
        <v>7</v>
      </c>
      <c r="B13" s="482" t="s">
        <v>552</v>
      </c>
      <c r="C13" s="732">
        <v>0</v>
      </c>
      <c r="D13" s="480"/>
    </row>
    <row r="14" spans="1:4">
      <c r="A14" s="457">
        <v>8</v>
      </c>
      <c r="B14" s="482" t="s">
        <v>550</v>
      </c>
      <c r="C14" s="732">
        <v>0</v>
      </c>
      <c r="D14" s="457"/>
    </row>
    <row r="15" spans="1:4">
      <c r="A15" s="457">
        <v>9</v>
      </c>
      <c r="B15" s="482" t="s">
        <v>551</v>
      </c>
      <c r="C15" s="732">
        <v>0</v>
      </c>
      <c r="D15" s="457"/>
    </row>
    <row r="16" spans="1:4">
      <c r="A16" s="457">
        <v>10</v>
      </c>
      <c r="B16" s="482" t="s">
        <v>553</v>
      </c>
      <c r="C16" s="732">
        <v>0</v>
      </c>
      <c r="D16" s="457"/>
    </row>
    <row r="17" spans="1:4" ht="25.5">
      <c r="A17" s="457">
        <v>11</v>
      </c>
      <c r="B17" s="482" t="s">
        <v>554</v>
      </c>
      <c r="C17" s="732">
        <v>0</v>
      </c>
      <c r="D17" s="480"/>
    </row>
    <row r="18" spans="1:4">
      <c r="A18" s="470">
        <v>12</v>
      </c>
      <c r="B18" s="481" t="s">
        <v>555</v>
      </c>
      <c r="C18" s="733">
        <f>C7+C8+C9-C10</f>
        <v>1039335.5098140002</v>
      </c>
      <c r="D18" s="480"/>
    </row>
    <row r="21" spans="1:4">
      <c r="B21" s="373"/>
    </row>
    <row r="22" spans="1:4">
      <c r="B22" s="375"/>
    </row>
    <row r="23" spans="1:4">
      <c r="B23" s="376"/>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28"/>
  <sheetViews>
    <sheetView showGridLines="0" zoomScaleNormal="100" workbookViewId="0">
      <selection activeCell="A5" sqref="A5:B7"/>
    </sheetView>
  </sheetViews>
  <sheetFormatPr defaultColWidth="9.140625" defaultRowHeight="12.75"/>
  <cols>
    <col min="1" max="1" width="11.85546875" style="467" bestFit="1" customWidth="1"/>
    <col min="2" max="2" width="63.85546875" style="467" customWidth="1"/>
    <col min="3" max="4" width="12.5703125" style="467" bestFit="1" customWidth="1"/>
    <col min="5" max="7" width="18.140625" style="467" bestFit="1" customWidth="1"/>
    <col min="8" max="8" width="10.5703125" style="467" bestFit="1" customWidth="1"/>
    <col min="9" max="11" width="18.140625" style="467" bestFit="1" customWidth="1"/>
    <col min="12" max="12" width="10.5703125" style="467" bestFit="1" customWidth="1"/>
    <col min="13" max="15" width="18.140625" style="467" bestFit="1" customWidth="1"/>
    <col min="16" max="16" width="19" style="467" bestFit="1" customWidth="1"/>
    <col min="17" max="18" width="17.28515625" style="467" bestFit="1" customWidth="1"/>
    <col min="19" max="19" width="23.28515625" style="467" bestFit="1" customWidth="1"/>
    <col min="20" max="26" width="22.28515625" style="467" customWidth="1"/>
    <col min="27" max="27" width="23.28515625" style="467" bestFit="1" customWidth="1"/>
    <col min="28" max="28" width="20" style="467" customWidth="1"/>
    <col min="29" max="16384" width="9.140625" style="467"/>
  </cols>
  <sheetData>
    <row r="1" spans="1:28" ht="13.5">
      <c r="A1" s="373" t="s">
        <v>108</v>
      </c>
      <c r="B1" s="603" t="str">
        <f>'1. key ratios'!B1</f>
        <v>სს იშბანკი საქართველო</v>
      </c>
    </row>
    <row r="2" spans="1:28" ht="13.5">
      <c r="A2" s="375" t="s">
        <v>109</v>
      </c>
      <c r="B2" s="604">
        <f>'1. key ratios'!B2</f>
        <v>45657</v>
      </c>
      <c r="C2" s="468"/>
    </row>
    <row r="3" spans="1:28">
      <c r="A3" s="376" t="s">
        <v>556</v>
      </c>
    </row>
    <row r="5" spans="1:28" ht="15" customHeight="1">
      <c r="A5" s="942" t="s">
        <v>890</v>
      </c>
      <c r="B5" s="943"/>
      <c r="C5" s="948" t="s">
        <v>889</v>
      </c>
      <c r="D5" s="949"/>
      <c r="E5" s="949"/>
      <c r="F5" s="949"/>
      <c r="G5" s="949"/>
      <c r="H5" s="949"/>
      <c r="I5" s="949"/>
      <c r="J5" s="949"/>
      <c r="K5" s="949"/>
      <c r="L5" s="949"/>
      <c r="M5" s="949"/>
      <c r="N5" s="949"/>
      <c r="O5" s="949"/>
      <c r="P5" s="949"/>
      <c r="Q5" s="949"/>
      <c r="R5" s="949"/>
      <c r="S5" s="949"/>
      <c r="T5" s="497"/>
      <c r="U5" s="497"/>
      <c r="V5" s="497"/>
      <c r="W5" s="497"/>
      <c r="X5" s="497"/>
      <c r="Y5" s="497"/>
      <c r="Z5" s="497"/>
      <c r="AA5" s="496"/>
      <c r="AB5" s="487"/>
    </row>
    <row r="6" spans="1:28">
      <c r="A6" s="944"/>
      <c r="B6" s="945"/>
      <c r="C6" s="950" t="s">
        <v>66</v>
      </c>
      <c r="D6" s="952" t="s">
        <v>888</v>
      </c>
      <c r="E6" s="952"/>
      <c r="F6" s="952"/>
      <c r="G6" s="952"/>
      <c r="H6" s="953" t="s">
        <v>887</v>
      </c>
      <c r="I6" s="954"/>
      <c r="J6" s="954"/>
      <c r="K6" s="955"/>
      <c r="L6" s="495"/>
      <c r="M6" s="956" t="s">
        <v>886</v>
      </c>
      <c r="N6" s="956"/>
      <c r="O6" s="956"/>
      <c r="P6" s="956"/>
      <c r="Q6" s="956"/>
      <c r="R6" s="956"/>
      <c r="S6" s="932"/>
      <c r="T6" s="494"/>
      <c r="U6" s="935" t="s">
        <v>885</v>
      </c>
      <c r="V6" s="935"/>
      <c r="W6" s="935"/>
      <c r="X6" s="935"/>
      <c r="Y6" s="935"/>
      <c r="Z6" s="935"/>
      <c r="AA6" s="933"/>
      <c r="AB6" s="493"/>
    </row>
    <row r="7" spans="1:28" ht="25.5">
      <c r="A7" s="946"/>
      <c r="B7" s="947"/>
      <c r="C7" s="951"/>
      <c r="D7" s="492"/>
      <c r="E7" s="488" t="s">
        <v>557</v>
      </c>
      <c r="F7" s="464" t="s">
        <v>883</v>
      </c>
      <c r="G7" s="464" t="s">
        <v>884</v>
      </c>
      <c r="H7" s="491"/>
      <c r="I7" s="488" t="s">
        <v>557</v>
      </c>
      <c r="J7" s="464" t="s">
        <v>883</v>
      </c>
      <c r="K7" s="464" t="s">
        <v>884</v>
      </c>
      <c r="L7" s="490"/>
      <c r="M7" s="488" t="s">
        <v>557</v>
      </c>
      <c r="N7" s="464" t="s">
        <v>883</v>
      </c>
      <c r="O7" s="464" t="s">
        <v>882</v>
      </c>
      <c r="P7" s="464" t="s">
        <v>881</v>
      </c>
      <c r="Q7" s="464" t="s">
        <v>880</v>
      </c>
      <c r="R7" s="464" t="s">
        <v>879</v>
      </c>
      <c r="S7" s="464" t="s">
        <v>878</v>
      </c>
      <c r="T7" s="489"/>
      <c r="U7" s="488" t="s">
        <v>557</v>
      </c>
      <c r="V7" s="464" t="s">
        <v>883</v>
      </c>
      <c r="W7" s="464" t="s">
        <v>882</v>
      </c>
      <c r="X7" s="464" t="s">
        <v>881</v>
      </c>
      <c r="Y7" s="464" t="s">
        <v>880</v>
      </c>
      <c r="Z7" s="464" t="s">
        <v>879</v>
      </c>
      <c r="AA7" s="464" t="s">
        <v>878</v>
      </c>
      <c r="AB7" s="487"/>
    </row>
    <row r="8" spans="1:28">
      <c r="A8" s="486">
        <v>1</v>
      </c>
      <c r="B8" s="460" t="s">
        <v>558</v>
      </c>
      <c r="C8" s="734">
        <f>SUM(C9:C14)</f>
        <v>325227910.29250395</v>
      </c>
      <c r="D8" s="734">
        <f t="shared" ref="D8:S8" si="0">SUM(D9:D14)</f>
        <v>324142473.74826795</v>
      </c>
      <c r="E8" s="734">
        <f t="shared" si="0"/>
        <v>876027.40827200003</v>
      </c>
      <c r="F8" s="734">
        <f t="shared" si="0"/>
        <v>0</v>
      </c>
      <c r="G8" s="734">
        <f t="shared" si="0"/>
        <v>1499.19</v>
      </c>
      <c r="H8" s="734">
        <f t="shared" si="0"/>
        <v>36208.100000000006</v>
      </c>
      <c r="I8" s="734">
        <f t="shared" si="0"/>
        <v>0</v>
      </c>
      <c r="J8" s="734">
        <f t="shared" si="0"/>
        <v>36208.100000000006</v>
      </c>
      <c r="K8" s="734">
        <f t="shared" si="0"/>
        <v>0</v>
      </c>
      <c r="L8" s="734">
        <f t="shared" si="0"/>
        <v>1049228.4442359998</v>
      </c>
      <c r="M8" s="734">
        <f t="shared" si="0"/>
        <v>405732.13194799999</v>
      </c>
      <c r="N8" s="734">
        <f t="shared" si="0"/>
        <v>217055.07441999999</v>
      </c>
      <c r="O8" s="734">
        <f t="shared" si="0"/>
        <v>0</v>
      </c>
      <c r="P8" s="734">
        <f t="shared" si="0"/>
        <v>0</v>
      </c>
      <c r="Q8" s="734">
        <f t="shared" si="0"/>
        <v>0</v>
      </c>
      <c r="R8" s="734">
        <f t="shared" si="0"/>
        <v>6899.27</v>
      </c>
      <c r="S8" s="734">
        <f t="shared" si="0"/>
        <v>7690</v>
      </c>
      <c r="T8" s="456"/>
      <c r="U8" s="456"/>
      <c r="V8" s="456"/>
      <c r="W8" s="456"/>
      <c r="X8" s="456"/>
      <c r="Y8" s="456"/>
      <c r="Z8" s="456"/>
      <c r="AA8" s="456"/>
      <c r="AB8" s="484"/>
    </row>
    <row r="9" spans="1:28">
      <c r="A9" s="456">
        <v>1.1000000000000001</v>
      </c>
      <c r="B9" s="485" t="s">
        <v>559</v>
      </c>
      <c r="C9" s="735"/>
      <c r="D9" s="728"/>
      <c r="E9" s="728"/>
      <c r="F9" s="728"/>
      <c r="G9" s="728"/>
      <c r="H9" s="728"/>
      <c r="I9" s="728"/>
      <c r="J9" s="728"/>
      <c r="K9" s="728"/>
      <c r="L9" s="728"/>
      <c r="M9" s="728"/>
      <c r="N9" s="728"/>
      <c r="O9" s="728"/>
      <c r="P9" s="728"/>
      <c r="Q9" s="728"/>
      <c r="R9" s="728"/>
      <c r="S9" s="728"/>
      <c r="T9" s="456"/>
      <c r="U9" s="456"/>
      <c r="V9" s="456"/>
      <c r="W9" s="456"/>
      <c r="X9" s="456"/>
      <c r="Y9" s="456"/>
      <c r="Z9" s="456"/>
      <c r="AA9" s="456"/>
      <c r="AB9" s="484"/>
    </row>
    <row r="10" spans="1:28">
      <c r="A10" s="456">
        <v>1.2</v>
      </c>
      <c r="B10" s="485" t="s">
        <v>560</v>
      </c>
      <c r="C10" s="735"/>
      <c r="D10" s="728"/>
      <c r="E10" s="728"/>
      <c r="F10" s="728"/>
      <c r="G10" s="728"/>
      <c r="H10" s="728"/>
      <c r="I10" s="728"/>
      <c r="J10" s="728"/>
      <c r="K10" s="728"/>
      <c r="L10" s="728"/>
      <c r="M10" s="728"/>
      <c r="N10" s="728"/>
      <c r="O10" s="728"/>
      <c r="P10" s="728"/>
      <c r="Q10" s="728"/>
      <c r="R10" s="728"/>
      <c r="S10" s="728"/>
      <c r="T10" s="456"/>
      <c r="U10" s="456"/>
      <c r="V10" s="456"/>
      <c r="W10" s="456"/>
      <c r="X10" s="456"/>
      <c r="Y10" s="456"/>
      <c r="Z10" s="456"/>
      <c r="AA10" s="456"/>
      <c r="AB10" s="484"/>
    </row>
    <row r="11" spans="1:28">
      <c r="A11" s="456">
        <v>1.3</v>
      </c>
      <c r="B11" s="485" t="s">
        <v>561</v>
      </c>
      <c r="C11" s="735">
        <v>0</v>
      </c>
      <c r="D11" s="728">
        <v>0</v>
      </c>
      <c r="E11" s="728">
        <v>0</v>
      </c>
      <c r="F11" s="728">
        <v>0</v>
      </c>
      <c r="G11" s="728">
        <v>0</v>
      </c>
      <c r="H11" s="728">
        <v>0</v>
      </c>
      <c r="I11" s="728">
        <v>0</v>
      </c>
      <c r="J11" s="728">
        <v>0</v>
      </c>
      <c r="K11" s="728">
        <v>0</v>
      </c>
      <c r="L11" s="728">
        <v>0</v>
      </c>
      <c r="M11" s="728">
        <v>0</v>
      </c>
      <c r="N11" s="728">
        <v>0</v>
      </c>
      <c r="O11" s="728">
        <v>0</v>
      </c>
      <c r="P11" s="728">
        <v>0</v>
      </c>
      <c r="Q11" s="728">
        <v>0</v>
      </c>
      <c r="R11" s="728">
        <v>0</v>
      </c>
      <c r="S11" s="728">
        <v>0</v>
      </c>
      <c r="T11" s="456"/>
      <c r="U11" s="456"/>
      <c r="V11" s="456"/>
      <c r="W11" s="456"/>
      <c r="X11" s="456"/>
      <c r="Y11" s="456"/>
      <c r="Z11" s="456"/>
      <c r="AA11" s="456"/>
      <c r="AB11" s="484"/>
    </row>
    <row r="12" spans="1:28">
      <c r="A12" s="456">
        <v>1.4</v>
      </c>
      <c r="B12" s="485" t="s">
        <v>562</v>
      </c>
      <c r="C12" s="735">
        <v>25226088.316528004</v>
      </c>
      <c r="D12" s="728">
        <v>25226088.316528004</v>
      </c>
      <c r="E12" s="728">
        <v>0</v>
      </c>
      <c r="F12" s="728">
        <v>0</v>
      </c>
      <c r="G12" s="728">
        <v>0</v>
      </c>
      <c r="H12" s="728">
        <v>0</v>
      </c>
      <c r="I12" s="728">
        <v>0</v>
      </c>
      <c r="J12" s="728">
        <v>0</v>
      </c>
      <c r="K12" s="728">
        <v>0</v>
      </c>
      <c r="L12" s="728">
        <v>0</v>
      </c>
      <c r="M12" s="728">
        <v>0</v>
      </c>
      <c r="N12" s="728">
        <v>0</v>
      </c>
      <c r="O12" s="728">
        <v>0</v>
      </c>
      <c r="P12" s="728">
        <v>0</v>
      </c>
      <c r="Q12" s="728">
        <v>0</v>
      </c>
      <c r="R12" s="728">
        <v>0</v>
      </c>
      <c r="S12" s="728">
        <v>0</v>
      </c>
      <c r="T12" s="456"/>
      <c r="U12" s="456"/>
      <c r="V12" s="456"/>
      <c r="W12" s="456"/>
      <c r="X12" s="456"/>
      <c r="Y12" s="456"/>
      <c r="Z12" s="456"/>
      <c r="AA12" s="456"/>
      <c r="AB12" s="484"/>
    </row>
    <row r="13" spans="1:28">
      <c r="A13" s="456">
        <v>1.5</v>
      </c>
      <c r="B13" s="485" t="s">
        <v>563</v>
      </c>
      <c r="C13" s="735">
        <v>294749148.01005596</v>
      </c>
      <c r="D13" s="728">
        <v>294343415.87810791</v>
      </c>
      <c r="E13" s="728">
        <v>779925.628272</v>
      </c>
      <c r="F13" s="728">
        <v>0</v>
      </c>
      <c r="G13" s="728">
        <v>0</v>
      </c>
      <c r="H13" s="728">
        <v>0</v>
      </c>
      <c r="I13" s="728">
        <v>0</v>
      </c>
      <c r="J13" s="728">
        <v>0</v>
      </c>
      <c r="K13" s="728">
        <v>0</v>
      </c>
      <c r="L13" s="728">
        <v>405732.13194799999</v>
      </c>
      <c r="M13" s="728">
        <v>405732.13194799999</v>
      </c>
      <c r="N13" s="728">
        <v>0</v>
      </c>
      <c r="O13" s="728">
        <v>0</v>
      </c>
      <c r="P13" s="728">
        <v>0</v>
      </c>
      <c r="Q13" s="728">
        <v>0</v>
      </c>
      <c r="R13" s="728">
        <v>0</v>
      </c>
      <c r="S13" s="728">
        <v>0</v>
      </c>
      <c r="T13" s="456"/>
      <c r="U13" s="456"/>
      <c r="V13" s="456"/>
      <c r="W13" s="456"/>
      <c r="X13" s="456"/>
      <c r="Y13" s="456"/>
      <c r="Z13" s="456"/>
      <c r="AA13" s="456"/>
      <c r="AB13" s="484"/>
    </row>
    <row r="14" spans="1:28">
      <c r="A14" s="456">
        <v>1.6</v>
      </c>
      <c r="B14" s="485" t="s">
        <v>564</v>
      </c>
      <c r="C14" s="735">
        <v>5252673.9659200013</v>
      </c>
      <c r="D14" s="728">
        <v>4572969.5536320005</v>
      </c>
      <c r="E14" s="728">
        <v>96101.78</v>
      </c>
      <c r="F14" s="728">
        <v>0</v>
      </c>
      <c r="G14" s="728">
        <v>1499.19</v>
      </c>
      <c r="H14" s="728">
        <v>36208.100000000006</v>
      </c>
      <c r="I14" s="728">
        <v>0</v>
      </c>
      <c r="J14" s="728">
        <v>36208.100000000006</v>
      </c>
      <c r="K14" s="728">
        <v>0</v>
      </c>
      <c r="L14" s="728">
        <v>643496.3122879999</v>
      </c>
      <c r="M14" s="728">
        <v>0</v>
      </c>
      <c r="N14" s="728">
        <v>217055.07441999999</v>
      </c>
      <c r="O14" s="728">
        <v>0</v>
      </c>
      <c r="P14" s="728">
        <v>0</v>
      </c>
      <c r="Q14" s="728">
        <v>0</v>
      </c>
      <c r="R14" s="728">
        <v>6899.27</v>
      </c>
      <c r="S14" s="728">
        <v>7690</v>
      </c>
      <c r="T14" s="456"/>
      <c r="U14" s="456"/>
      <c r="V14" s="456"/>
      <c r="W14" s="456"/>
      <c r="X14" s="456"/>
      <c r="Y14" s="456"/>
      <c r="Z14" s="456"/>
      <c r="AA14" s="456"/>
      <c r="AB14" s="484"/>
    </row>
    <row r="15" spans="1:28">
      <c r="A15" s="486">
        <v>2</v>
      </c>
      <c r="B15" s="470" t="s">
        <v>565</v>
      </c>
      <c r="C15" s="734">
        <f>SUM(C16:C21)</f>
        <v>56432630.281282753</v>
      </c>
      <c r="D15" s="734">
        <f t="shared" ref="D15:S15" si="1">SUM(D16:D21)</f>
        <v>56432630.281282753</v>
      </c>
      <c r="E15" s="734">
        <f t="shared" si="1"/>
        <v>0</v>
      </c>
      <c r="F15" s="734">
        <f t="shared" si="1"/>
        <v>0</v>
      </c>
      <c r="G15" s="734">
        <f t="shared" si="1"/>
        <v>0</v>
      </c>
      <c r="H15" s="734">
        <f t="shared" si="1"/>
        <v>0</v>
      </c>
      <c r="I15" s="734">
        <f t="shared" si="1"/>
        <v>0</v>
      </c>
      <c r="J15" s="734">
        <f t="shared" si="1"/>
        <v>0</v>
      </c>
      <c r="K15" s="734">
        <f t="shared" si="1"/>
        <v>0</v>
      </c>
      <c r="L15" s="734">
        <f t="shared" si="1"/>
        <v>0</v>
      </c>
      <c r="M15" s="734">
        <f t="shared" si="1"/>
        <v>0</v>
      </c>
      <c r="N15" s="734">
        <f t="shared" si="1"/>
        <v>0</v>
      </c>
      <c r="O15" s="734">
        <f t="shared" si="1"/>
        <v>0</v>
      </c>
      <c r="P15" s="734">
        <f t="shared" si="1"/>
        <v>0</v>
      </c>
      <c r="Q15" s="734">
        <f t="shared" si="1"/>
        <v>0</v>
      </c>
      <c r="R15" s="734">
        <f t="shared" si="1"/>
        <v>0</v>
      </c>
      <c r="S15" s="734">
        <f t="shared" si="1"/>
        <v>0</v>
      </c>
      <c r="T15" s="456"/>
      <c r="U15" s="456"/>
      <c r="V15" s="456"/>
      <c r="W15" s="456"/>
      <c r="X15" s="456"/>
      <c r="Y15" s="456"/>
      <c r="Z15" s="456"/>
      <c r="AA15" s="456"/>
      <c r="AB15" s="484"/>
    </row>
    <row r="16" spans="1:28">
      <c r="A16" s="456">
        <v>2.1</v>
      </c>
      <c r="B16" s="485" t="s">
        <v>559</v>
      </c>
      <c r="C16" s="735">
        <v>0</v>
      </c>
      <c r="D16" s="728">
        <v>0</v>
      </c>
      <c r="E16" s="728"/>
      <c r="F16" s="728"/>
      <c r="G16" s="728"/>
      <c r="H16" s="728">
        <v>0</v>
      </c>
      <c r="I16" s="728"/>
      <c r="J16" s="728"/>
      <c r="K16" s="728"/>
      <c r="L16" s="728">
        <v>0</v>
      </c>
      <c r="M16" s="728"/>
      <c r="N16" s="728"/>
      <c r="O16" s="728"/>
      <c r="P16" s="728"/>
      <c r="Q16" s="728"/>
      <c r="R16" s="728"/>
      <c r="S16" s="728"/>
      <c r="T16" s="456"/>
      <c r="U16" s="456"/>
      <c r="V16" s="456"/>
      <c r="W16" s="456"/>
      <c r="X16" s="456"/>
      <c r="Y16" s="456"/>
      <c r="Z16" s="456"/>
      <c r="AA16" s="456"/>
      <c r="AB16" s="484"/>
    </row>
    <row r="17" spans="1:28">
      <c r="A17" s="456">
        <v>2.2000000000000002</v>
      </c>
      <c r="B17" s="485" t="s">
        <v>560</v>
      </c>
      <c r="C17" s="735">
        <v>2989349.27</v>
      </c>
      <c r="D17" s="728">
        <v>2989349.27</v>
      </c>
      <c r="E17" s="728"/>
      <c r="F17" s="728"/>
      <c r="G17" s="728"/>
      <c r="H17" s="728">
        <v>0</v>
      </c>
      <c r="I17" s="728"/>
      <c r="J17" s="728"/>
      <c r="K17" s="728"/>
      <c r="L17" s="728">
        <v>0</v>
      </c>
      <c r="M17" s="728"/>
      <c r="N17" s="728"/>
      <c r="O17" s="728"/>
      <c r="P17" s="728"/>
      <c r="Q17" s="728"/>
      <c r="R17" s="728"/>
      <c r="S17" s="728"/>
      <c r="T17" s="456"/>
      <c r="U17" s="456"/>
      <c r="V17" s="456"/>
      <c r="W17" s="456"/>
      <c r="X17" s="456"/>
      <c r="Y17" s="456"/>
      <c r="Z17" s="456"/>
      <c r="AA17" s="456"/>
      <c r="AB17" s="484"/>
    </row>
    <row r="18" spans="1:28">
      <c r="A18" s="456">
        <v>2.2999999999999998</v>
      </c>
      <c r="B18" s="485" t="s">
        <v>561</v>
      </c>
      <c r="C18" s="735">
        <v>8537437.2274415325</v>
      </c>
      <c r="D18" s="728">
        <v>8537437.2274415325</v>
      </c>
      <c r="E18" s="728"/>
      <c r="F18" s="728"/>
      <c r="G18" s="728"/>
      <c r="H18" s="728"/>
      <c r="I18" s="728"/>
      <c r="J18" s="728"/>
      <c r="K18" s="728"/>
      <c r="L18" s="728"/>
      <c r="M18" s="728"/>
      <c r="N18" s="728"/>
      <c r="O18" s="728"/>
      <c r="P18" s="728"/>
      <c r="Q18" s="728"/>
      <c r="R18" s="728"/>
      <c r="S18" s="728"/>
      <c r="T18" s="456"/>
      <c r="U18" s="456"/>
      <c r="V18" s="456"/>
      <c r="W18" s="456"/>
      <c r="X18" s="456"/>
      <c r="Y18" s="456"/>
      <c r="Z18" s="456"/>
      <c r="AA18" s="456"/>
      <c r="AB18" s="484"/>
    </row>
    <row r="19" spans="1:28">
      <c r="A19" s="456">
        <v>2.4</v>
      </c>
      <c r="B19" s="485" t="s">
        <v>562</v>
      </c>
      <c r="C19" s="735">
        <v>0</v>
      </c>
      <c r="D19" s="728">
        <v>0</v>
      </c>
      <c r="E19" s="728"/>
      <c r="F19" s="728"/>
      <c r="G19" s="728"/>
      <c r="H19" s="728"/>
      <c r="I19" s="728"/>
      <c r="J19" s="728"/>
      <c r="K19" s="728"/>
      <c r="L19" s="728"/>
      <c r="M19" s="728"/>
      <c r="N19" s="728"/>
      <c r="O19" s="728"/>
      <c r="P19" s="728"/>
      <c r="Q19" s="728"/>
      <c r="R19" s="728"/>
      <c r="S19" s="728"/>
      <c r="T19" s="456"/>
      <c r="U19" s="456"/>
      <c r="V19" s="456"/>
      <c r="W19" s="456"/>
      <c r="X19" s="456"/>
      <c r="Y19" s="456"/>
      <c r="Z19" s="456"/>
      <c r="AA19" s="456"/>
      <c r="AB19" s="484"/>
    </row>
    <row r="20" spans="1:28">
      <c r="A20" s="456">
        <v>2.5</v>
      </c>
      <c r="B20" s="485" t="s">
        <v>563</v>
      </c>
      <c r="C20" s="735">
        <v>44905843.783841223</v>
      </c>
      <c r="D20" s="728">
        <v>44905843.783841223</v>
      </c>
      <c r="E20" s="728"/>
      <c r="F20" s="728"/>
      <c r="G20" s="728"/>
      <c r="H20" s="728">
        <v>0</v>
      </c>
      <c r="I20" s="728"/>
      <c r="J20" s="728"/>
      <c r="K20" s="728"/>
      <c r="L20" s="728">
        <v>0</v>
      </c>
      <c r="M20" s="728"/>
      <c r="N20" s="728"/>
      <c r="O20" s="728"/>
      <c r="P20" s="728"/>
      <c r="Q20" s="728"/>
      <c r="R20" s="728"/>
      <c r="S20" s="728"/>
      <c r="T20" s="456"/>
      <c r="U20" s="456"/>
      <c r="V20" s="456"/>
      <c r="W20" s="456"/>
      <c r="X20" s="456"/>
      <c r="Y20" s="456"/>
      <c r="Z20" s="456"/>
      <c r="AA20" s="456"/>
      <c r="AB20" s="484"/>
    </row>
    <row r="21" spans="1:28">
      <c r="A21" s="456">
        <v>2.6</v>
      </c>
      <c r="B21" s="485" t="s">
        <v>564</v>
      </c>
      <c r="C21" s="735"/>
      <c r="D21" s="728"/>
      <c r="E21" s="728"/>
      <c r="F21" s="728"/>
      <c r="G21" s="728"/>
      <c r="H21" s="728"/>
      <c r="I21" s="728"/>
      <c r="J21" s="728"/>
      <c r="K21" s="728"/>
      <c r="L21" s="728"/>
      <c r="M21" s="728"/>
      <c r="N21" s="728"/>
      <c r="O21" s="728"/>
      <c r="P21" s="728"/>
      <c r="Q21" s="728"/>
      <c r="R21" s="728"/>
      <c r="S21" s="728"/>
      <c r="T21" s="456"/>
      <c r="U21" s="456"/>
      <c r="V21" s="456"/>
      <c r="W21" s="456"/>
      <c r="X21" s="456"/>
      <c r="Y21" s="456"/>
      <c r="Z21" s="456"/>
      <c r="AA21" s="456"/>
      <c r="AB21" s="484"/>
    </row>
    <row r="22" spans="1:28">
      <c r="A22" s="486">
        <v>3</v>
      </c>
      <c r="B22" s="460" t="s">
        <v>566</v>
      </c>
      <c r="C22" s="730">
        <f>SUM(C23:C28)</f>
        <v>160179893.37557799</v>
      </c>
      <c r="D22" s="730">
        <f t="shared" ref="D22:S22" si="2">SUM(D23:D28)</f>
        <v>160179893.37557799</v>
      </c>
      <c r="E22" s="736">
        <f t="shared" si="2"/>
        <v>0</v>
      </c>
      <c r="F22" s="736">
        <f t="shared" si="2"/>
        <v>0</v>
      </c>
      <c r="G22" s="736">
        <f t="shared" si="2"/>
        <v>0</v>
      </c>
      <c r="H22" s="730">
        <f t="shared" si="2"/>
        <v>0</v>
      </c>
      <c r="I22" s="736">
        <f t="shared" si="2"/>
        <v>0</v>
      </c>
      <c r="J22" s="736">
        <f t="shared" si="2"/>
        <v>0</v>
      </c>
      <c r="K22" s="736">
        <f t="shared" si="2"/>
        <v>0</v>
      </c>
      <c r="L22" s="730">
        <f t="shared" si="2"/>
        <v>0</v>
      </c>
      <c r="M22" s="736">
        <f t="shared" si="2"/>
        <v>0</v>
      </c>
      <c r="N22" s="736">
        <f t="shared" si="2"/>
        <v>0</v>
      </c>
      <c r="O22" s="736">
        <f t="shared" si="2"/>
        <v>0</v>
      </c>
      <c r="P22" s="736">
        <f t="shared" si="2"/>
        <v>0</v>
      </c>
      <c r="Q22" s="736">
        <f t="shared" si="2"/>
        <v>0</v>
      </c>
      <c r="R22" s="736">
        <f t="shared" si="2"/>
        <v>0</v>
      </c>
      <c r="S22" s="736">
        <f t="shared" si="2"/>
        <v>0</v>
      </c>
      <c r="T22" s="460"/>
      <c r="U22" s="792"/>
      <c r="V22" s="792"/>
      <c r="W22" s="792"/>
      <c r="X22" s="792"/>
      <c r="Y22" s="792"/>
      <c r="Z22" s="792"/>
      <c r="AA22" s="792"/>
      <c r="AB22" s="484"/>
    </row>
    <row r="23" spans="1:28">
      <c r="A23" s="456">
        <v>3.1</v>
      </c>
      <c r="B23" s="485" t="s">
        <v>559</v>
      </c>
      <c r="C23" s="735"/>
      <c r="D23" s="730"/>
      <c r="E23" s="736"/>
      <c r="F23" s="736"/>
      <c r="G23" s="736"/>
      <c r="H23" s="730"/>
      <c r="I23" s="736"/>
      <c r="J23" s="736"/>
      <c r="K23" s="736"/>
      <c r="L23" s="730"/>
      <c r="M23" s="736"/>
      <c r="N23" s="736"/>
      <c r="O23" s="736"/>
      <c r="P23" s="736"/>
      <c r="Q23" s="736"/>
      <c r="R23" s="736"/>
      <c r="S23" s="736"/>
      <c r="T23" s="460"/>
      <c r="U23" s="792"/>
      <c r="V23" s="792"/>
      <c r="W23" s="792"/>
      <c r="X23" s="792"/>
      <c r="Y23" s="792"/>
      <c r="Z23" s="792"/>
      <c r="AA23" s="792"/>
      <c r="AB23" s="484"/>
    </row>
    <row r="24" spans="1:28">
      <c r="A24" s="456">
        <v>3.2</v>
      </c>
      <c r="B24" s="485" t="s">
        <v>560</v>
      </c>
      <c r="C24" s="735"/>
      <c r="D24" s="730"/>
      <c r="E24" s="736"/>
      <c r="F24" s="736"/>
      <c r="G24" s="736"/>
      <c r="H24" s="730"/>
      <c r="I24" s="736"/>
      <c r="J24" s="736"/>
      <c r="K24" s="736"/>
      <c r="L24" s="730"/>
      <c r="M24" s="736"/>
      <c r="N24" s="736"/>
      <c r="O24" s="736"/>
      <c r="P24" s="736"/>
      <c r="Q24" s="736"/>
      <c r="R24" s="736"/>
      <c r="S24" s="736"/>
      <c r="T24" s="460"/>
      <c r="U24" s="792"/>
      <c r="V24" s="792"/>
      <c r="W24" s="792"/>
      <c r="X24" s="792"/>
      <c r="Y24" s="792"/>
      <c r="Z24" s="792"/>
      <c r="AA24" s="792"/>
      <c r="AB24" s="484"/>
    </row>
    <row r="25" spans="1:28">
      <c r="A25" s="456">
        <v>3.3</v>
      </c>
      <c r="B25" s="485" t="s">
        <v>561</v>
      </c>
      <c r="C25" s="735">
        <v>137447787.61203799</v>
      </c>
      <c r="D25" s="737">
        <v>137447787.61203799</v>
      </c>
      <c r="E25" s="736"/>
      <c r="F25" s="736"/>
      <c r="G25" s="736"/>
      <c r="H25" s="730">
        <v>0</v>
      </c>
      <c r="I25" s="736"/>
      <c r="J25" s="736"/>
      <c r="K25" s="736"/>
      <c r="L25" s="730">
        <v>0</v>
      </c>
      <c r="M25" s="736"/>
      <c r="N25" s="736"/>
      <c r="O25" s="736"/>
      <c r="P25" s="736"/>
      <c r="Q25" s="736"/>
      <c r="R25" s="736"/>
      <c r="S25" s="736"/>
      <c r="T25" s="460"/>
      <c r="U25" s="792"/>
      <c r="V25" s="792"/>
      <c r="W25" s="792"/>
      <c r="X25" s="792"/>
      <c r="Y25" s="792"/>
      <c r="Z25" s="792"/>
      <c r="AA25" s="792"/>
      <c r="AB25" s="484"/>
    </row>
    <row r="26" spans="1:28">
      <c r="A26" s="456">
        <v>3.4</v>
      </c>
      <c r="B26" s="485" t="s">
        <v>562</v>
      </c>
      <c r="C26" s="735">
        <v>0</v>
      </c>
      <c r="D26" s="737">
        <v>0</v>
      </c>
      <c r="E26" s="736"/>
      <c r="F26" s="736"/>
      <c r="G26" s="736"/>
      <c r="H26" s="730">
        <v>0</v>
      </c>
      <c r="I26" s="736"/>
      <c r="J26" s="736"/>
      <c r="K26" s="736"/>
      <c r="L26" s="730">
        <v>0</v>
      </c>
      <c r="M26" s="736"/>
      <c r="N26" s="736"/>
      <c r="O26" s="736"/>
      <c r="P26" s="736"/>
      <c r="Q26" s="736"/>
      <c r="R26" s="736"/>
      <c r="S26" s="736"/>
      <c r="T26" s="460"/>
      <c r="U26" s="792"/>
      <c r="V26" s="792"/>
      <c r="W26" s="792"/>
      <c r="X26" s="792"/>
      <c r="Y26" s="792"/>
      <c r="Z26" s="792"/>
      <c r="AA26" s="792"/>
      <c r="AB26" s="484"/>
    </row>
    <row r="27" spans="1:28">
      <c r="A27" s="456">
        <v>3.5</v>
      </c>
      <c r="B27" s="485" t="s">
        <v>563</v>
      </c>
      <c r="C27" s="735">
        <v>22732105.76354</v>
      </c>
      <c r="D27" s="737">
        <v>22732105.76354</v>
      </c>
      <c r="E27" s="736"/>
      <c r="F27" s="736"/>
      <c r="G27" s="736"/>
      <c r="H27" s="730">
        <v>0</v>
      </c>
      <c r="I27" s="736"/>
      <c r="J27" s="736"/>
      <c r="K27" s="736"/>
      <c r="L27" s="730">
        <v>0</v>
      </c>
      <c r="M27" s="736"/>
      <c r="N27" s="736"/>
      <c r="O27" s="736"/>
      <c r="P27" s="736"/>
      <c r="Q27" s="736"/>
      <c r="R27" s="736"/>
      <c r="S27" s="736"/>
      <c r="T27" s="460"/>
      <c r="U27" s="792"/>
      <c r="V27" s="792"/>
      <c r="W27" s="792"/>
      <c r="X27" s="792"/>
      <c r="Y27" s="792"/>
      <c r="Z27" s="792"/>
      <c r="AA27" s="792"/>
      <c r="AB27" s="484"/>
    </row>
    <row r="28" spans="1:28">
      <c r="A28" s="456">
        <v>3.6</v>
      </c>
      <c r="B28" s="485" t="s">
        <v>564</v>
      </c>
      <c r="C28" s="735">
        <v>0</v>
      </c>
      <c r="D28" s="737">
        <v>0</v>
      </c>
      <c r="E28" s="736"/>
      <c r="F28" s="736"/>
      <c r="G28" s="736"/>
      <c r="H28" s="730">
        <v>0</v>
      </c>
      <c r="I28" s="736"/>
      <c r="J28" s="736"/>
      <c r="K28" s="736"/>
      <c r="L28" s="730">
        <v>0</v>
      </c>
      <c r="M28" s="736"/>
      <c r="N28" s="736"/>
      <c r="O28" s="736"/>
      <c r="P28" s="736"/>
      <c r="Q28" s="736"/>
      <c r="R28" s="736"/>
      <c r="S28" s="736"/>
      <c r="T28" s="460"/>
      <c r="U28" s="792"/>
      <c r="V28" s="792"/>
      <c r="W28" s="792"/>
      <c r="X28" s="792"/>
      <c r="Y28" s="792"/>
      <c r="Z28" s="792"/>
      <c r="AA28" s="792"/>
      <c r="AB28" s="48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22"/>
  <sheetViews>
    <sheetView showGridLines="0" zoomScaleNormal="100" workbookViewId="0">
      <selection activeCell="A5" sqref="A5:B7"/>
    </sheetView>
  </sheetViews>
  <sheetFormatPr defaultColWidth="9.140625" defaultRowHeight="12.75"/>
  <cols>
    <col min="1" max="1" width="11.85546875" style="467" bestFit="1" customWidth="1"/>
    <col min="2" max="2" width="90.28515625" style="467" bestFit="1" customWidth="1"/>
    <col min="3" max="3" width="14.42578125" style="467" bestFit="1" customWidth="1"/>
    <col min="4" max="4" width="12.5703125" style="467" bestFit="1" customWidth="1"/>
    <col min="5" max="7" width="15.85546875" style="467" bestFit="1" customWidth="1"/>
    <col min="8" max="8" width="10.5703125" style="467" bestFit="1" customWidth="1"/>
    <col min="9" max="10" width="15.85546875" style="467" bestFit="1" customWidth="1"/>
    <col min="11" max="11" width="18.140625" style="467" bestFit="1" customWidth="1"/>
    <col min="12" max="12" width="10.5703125" style="467" bestFit="1" customWidth="1"/>
    <col min="13" max="15" width="18.140625" style="467" bestFit="1" customWidth="1"/>
    <col min="16" max="16" width="19" style="467" bestFit="1" customWidth="1"/>
    <col min="17" max="19" width="17.28515625" style="467" bestFit="1" customWidth="1"/>
    <col min="20" max="20" width="22.28515625" style="467" customWidth="1"/>
    <col min="21" max="21" width="18.140625" style="467" bestFit="1" customWidth="1"/>
    <col min="22" max="27" width="22.28515625" style="467" customWidth="1"/>
    <col min="28" max="16384" width="9.140625" style="467"/>
  </cols>
  <sheetData>
    <row r="1" spans="1:27" ht="13.5">
      <c r="A1" s="373" t="s">
        <v>108</v>
      </c>
      <c r="B1" s="603" t="str">
        <f>'1. key ratios'!B1</f>
        <v>სს იშბანკი საქართველო</v>
      </c>
    </row>
    <row r="2" spans="1:27" ht="13.5">
      <c r="A2" s="375" t="s">
        <v>109</v>
      </c>
      <c r="B2" s="604">
        <f>'1. key ratios'!B2</f>
        <v>45657</v>
      </c>
    </row>
    <row r="3" spans="1:27">
      <c r="A3" s="376" t="s">
        <v>567</v>
      </c>
      <c r="C3" s="469"/>
    </row>
    <row r="4" spans="1:27" ht="13.5" thickBot="1">
      <c r="A4" s="376"/>
      <c r="B4" s="469"/>
      <c r="C4" s="469"/>
    </row>
    <row r="5" spans="1:27" s="498" customFormat="1" ht="13.5" customHeight="1">
      <c r="A5" s="961" t="s">
        <v>897</v>
      </c>
      <c r="B5" s="962"/>
      <c r="C5" s="958" t="s">
        <v>568</v>
      </c>
      <c r="D5" s="959"/>
      <c r="E5" s="959"/>
      <c r="F5" s="959"/>
      <c r="G5" s="959"/>
      <c r="H5" s="959"/>
      <c r="I5" s="959"/>
      <c r="J5" s="959"/>
      <c r="K5" s="959"/>
      <c r="L5" s="959"/>
      <c r="M5" s="959"/>
      <c r="N5" s="959"/>
      <c r="O5" s="959"/>
      <c r="P5" s="959"/>
      <c r="Q5" s="959"/>
      <c r="R5" s="959"/>
      <c r="S5" s="959"/>
      <c r="T5" s="959"/>
      <c r="U5" s="959"/>
      <c r="V5" s="959"/>
      <c r="W5" s="959"/>
      <c r="X5" s="959"/>
      <c r="Y5" s="959"/>
      <c r="Z5" s="959"/>
      <c r="AA5" s="960"/>
    </row>
    <row r="6" spans="1:27" s="498" customFormat="1" ht="12" customHeight="1">
      <c r="A6" s="963"/>
      <c r="B6" s="964"/>
      <c r="C6" s="968" t="s">
        <v>66</v>
      </c>
      <c r="D6" s="967" t="s">
        <v>888</v>
      </c>
      <c r="E6" s="967"/>
      <c r="F6" s="967"/>
      <c r="G6" s="967"/>
      <c r="H6" s="953" t="s">
        <v>887</v>
      </c>
      <c r="I6" s="954"/>
      <c r="J6" s="954"/>
      <c r="K6" s="954"/>
      <c r="L6" s="494"/>
      <c r="M6" s="935" t="s">
        <v>886</v>
      </c>
      <c r="N6" s="935"/>
      <c r="O6" s="935"/>
      <c r="P6" s="935"/>
      <c r="Q6" s="935"/>
      <c r="R6" s="935"/>
      <c r="S6" s="933"/>
      <c r="T6" s="494"/>
      <c r="U6" s="935" t="s">
        <v>885</v>
      </c>
      <c r="V6" s="935"/>
      <c r="W6" s="935"/>
      <c r="X6" s="935"/>
      <c r="Y6" s="935"/>
      <c r="Z6" s="935"/>
      <c r="AA6" s="957"/>
    </row>
    <row r="7" spans="1:27" s="498" customFormat="1" ht="38.25">
      <c r="A7" s="965"/>
      <c r="B7" s="966"/>
      <c r="C7" s="969"/>
      <c r="D7" s="492"/>
      <c r="E7" s="488" t="s">
        <v>557</v>
      </c>
      <c r="F7" s="464" t="s">
        <v>883</v>
      </c>
      <c r="G7" s="464" t="s">
        <v>884</v>
      </c>
      <c r="H7" s="527"/>
      <c r="I7" s="488" t="s">
        <v>557</v>
      </c>
      <c r="J7" s="464" t="s">
        <v>883</v>
      </c>
      <c r="K7" s="464" t="s">
        <v>884</v>
      </c>
      <c r="L7" s="489"/>
      <c r="M7" s="488" t="s">
        <v>557</v>
      </c>
      <c r="N7" s="464" t="s">
        <v>896</v>
      </c>
      <c r="O7" s="464" t="s">
        <v>895</v>
      </c>
      <c r="P7" s="464" t="s">
        <v>894</v>
      </c>
      <c r="Q7" s="464" t="s">
        <v>893</v>
      </c>
      <c r="R7" s="464" t="s">
        <v>892</v>
      </c>
      <c r="S7" s="464" t="s">
        <v>878</v>
      </c>
      <c r="T7" s="489"/>
      <c r="U7" s="488" t="s">
        <v>557</v>
      </c>
      <c r="V7" s="464" t="s">
        <v>896</v>
      </c>
      <c r="W7" s="464" t="s">
        <v>895</v>
      </c>
      <c r="X7" s="464" t="s">
        <v>894</v>
      </c>
      <c r="Y7" s="464" t="s">
        <v>893</v>
      </c>
      <c r="Z7" s="464" t="s">
        <v>892</v>
      </c>
      <c r="AA7" s="464" t="s">
        <v>878</v>
      </c>
    </row>
    <row r="8" spans="1:27">
      <c r="A8" s="526">
        <v>1</v>
      </c>
      <c r="B8" s="525" t="s">
        <v>558</v>
      </c>
      <c r="C8" s="738">
        <v>325227910.29250395</v>
      </c>
      <c r="D8" s="734">
        <v>324142473.74826795</v>
      </c>
      <c r="E8" s="734">
        <v>876027.40827200003</v>
      </c>
      <c r="F8" s="734">
        <v>0</v>
      </c>
      <c r="G8" s="734">
        <v>1499.19</v>
      </c>
      <c r="H8" s="734">
        <v>36208.100000000006</v>
      </c>
      <c r="I8" s="734">
        <v>0</v>
      </c>
      <c r="J8" s="734">
        <v>36208.100000000006</v>
      </c>
      <c r="K8" s="734">
        <v>0</v>
      </c>
      <c r="L8" s="734">
        <v>1049228.4442359998</v>
      </c>
      <c r="M8" s="734">
        <v>405732.13194799999</v>
      </c>
      <c r="N8" s="734">
        <v>217055.07441999999</v>
      </c>
      <c r="O8" s="734">
        <v>0</v>
      </c>
      <c r="P8" s="734">
        <v>0</v>
      </c>
      <c r="Q8" s="734">
        <v>0</v>
      </c>
      <c r="R8" s="734">
        <v>6899.27</v>
      </c>
      <c r="S8" s="739">
        <v>7690</v>
      </c>
      <c r="T8" s="793"/>
      <c r="U8" s="456"/>
      <c r="V8" s="456"/>
      <c r="W8" s="456"/>
      <c r="X8" s="456"/>
      <c r="Y8" s="456"/>
      <c r="Z8" s="456"/>
      <c r="AA8" s="517"/>
    </row>
    <row r="9" spans="1:27">
      <c r="A9" s="523">
        <v>1.1000000000000001</v>
      </c>
      <c r="B9" s="524" t="s">
        <v>569</v>
      </c>
      <c r="C9" s="740">
        <v>270340449.12087822</v>
      </c>
      <c r="D9" s="728">
        <v>269343788.62548411</v>
      </c>
      <c r="E9" s="728">
        <v>416290.03303199995</v>
      </c>
      <c r="F9" s="728">
        <v>0</v>
      </c>
      <c r="G9" s="728">
        <v>0</v>
      </c>
      <c r="H9" s="728">
        <v>35201.350000000006</v>
      </c>
      <c r="I9" s="728">
        <v>0</v>
      </c>
      <c r="J9" s="728">
        <v>35201.350000000006</v>
      </c>
      <c r="K9" s="728">
        <v>0</v>
      </c>
      <c r="L9" s="728">
        <v>961459.14539400011</v>
      </c>
      <c r="M9" s="728">
        <v>402189.417526</v>
      </c>
      <c r="N9" s="728">
        <v>144808.88</v>
      </c>
      <c r="O9" s="728">
        <v>0</v>
      </c>
      <c r="P9" s="728">
        <v>0</v>
      </c>
      <c r="Q9" s="728">
        <v>0</v>
      </c>
      <c r="R9" s="728">
        <v>4393.1400000000003</v>
      </c>
      <c r="S9" s="741">
        <v>300</v>
      </c>
      <c r="T9" s="793"/>
      <c r="U9" s="456"/>
      <c r="V9" s="456"/>
      <c r="W9" s="456"/>
      <c r="X9" s="456"/>
      <c r="Y9" s="456"/>
      <c r="Z9" s="456"/>
      <c r="AA9" s="517"/>
    </row>
    <row r="10" spans="1:27">
      <c r="A10" s="521" t="s">
        <v>157</v>
      </c>
      <c r="B10" s="522" t="s">
        <v>570</v>
      </c>
      <c r="C10" s="742">
        <v>152677681.6944021</v>
      </c>
      <c r="D10" s="728">
        <v>151749418.47900805</v>
      </c>
      <c r="E10" s="728">
        <v>416290.03303199995</v>
      </c>
      <c r="F10" s="728">
        <v>0</v>
      </c>
      <c r="G10" s="728">
        <v>0</v>
      </c>
      <c r="H10" s="728">
        <v>35201.350000000006</v>
      </c>
      <c r="I10" s="728">
        <v>0</v>
      </c>
      <c r="J10" s="728">
        <v>35201.350000000006</v>
      </c>
      <c r="K10" s="728">
        <v>0</v>
      </c>
      <c r="L10" s="728">
        <v>893061.86539400008</v>
      </c>
      <c r="M10" s="728">
        <v>402189.417526</v>
      </c>
      <c r="N10" s="728">
        <v>81104.740000000005</v>
      </c>
      <c r="O10" s="728">
        <v>0</v>
      </c>
      <c r="P10" s="728">
        <v>0</v>
      </c>
      <c r="Q10" s="728">
        <v>0</v>
      </c>
      <c r="R10" s="728">
        <v>0</v>
      </c>
      <c r="S10" s="741">
        <v>0</v>
      </c>
      <c r="T10" s="793"/>
      <c r="U10" s="456"/>
      <c r="V10" s="456"/>
      <c r="W10" s="456"/>
      <c r="X10" s="456"/>
      <c r="Y10" s="456"/>
      <c r="Z10" s="456"/>
      <c r="AA10" s="517"/>
    </row>
    <row r="11" spans="1:27">
      <c r="A11" s="520" t="s">
        <v>571</v>
      </c>
      <c r="B11" s="519" t="s">
        <v>572</v>
      </c>
      <c r="C11" s="743">
        <v>62111591.552602008</v>
      </c>
      <c r="D11" s="728">
        <v>61264433.077208005</v>
      </c>
      <c r="E11" s="728">
        <v>416290.03303199995</v>
      </c>
      <c r="F11" s="728">
        <v>0</v>
      </c>
      <c r="G11" s="728">
        <v>0</v>
      </c>
      <c r="H11" s="728">
        <v>35201.350000000006</v>
      </c>
      <c r="I11" s="728">
        <v>0</v>
      </c>
      <c r="J11" s="728">
        <v>35201.350000000006</v>
      </c>
      <c r="K11" s="728">
        <v>0</v>
      </c>
      <c r="L11" s="728">
        <v>811957.12539400009</v>
      </c>
      <c r="M11" s="728">
        <v>402189.417526</v>
      </c>
      <c r="N11" s="728">
        <v>0</v>
      </c>
      <c r="O11" s="728">
        <v>0</v>
      </c>
      <c r="P11" s="728">
        <v>0</v>
      </c>
      <c r="Q11" s="728">
        <v>0</v>
      </c>
      <c r="R11" s="728">
        <v>0</v>
      </c>
      <c r="S11" s="741">
        <v>0</v>
      </c>
      <c r="T11" s="793"/>
      <c r="U11" s="456"/>
      <c r="V11" s="456"/>
      <c r="W11" s="456"/>
      <c r="X11" s="456"/>
      <c r="Y11" s="456"/>
      <c r="Z11" s="456"/>
      <c r="AA11" s="517"/>
    </row>
    <row r="12" spans="1:27">
      <c r="A12" s="520" t="s">
        <v>573</v>
      </c>
      <c r="B12" s="519" t="s">
        <v>574</v>
      </c>
      <c r="C12" s="743">
        <v>4085276.2217999999</v>
      </c>
      <c r="D12" s="728">
        <v>4004171.4817999997</v>
      </c>
      <c r="E12" s="728">
        <v>0</v>
      </c>
      <c r="F12" s="728">
        <v>0</v>
      </c>
      <c r="G12" s="728">
        <v>0</v>
      </c>
      <c r="H12" s="728">
        <v>0</v>
      </c>
      <c r="I12" s="728">
        <v>0</v>
      </c>
      <c r="J12" s="728">
        <v>0</v>
      </c>
      <c r="K12" s="728">
        <v>0</v>
      </c>
      <c r="L12" s="728">
        <v>81104.740000000005</v>
      </c>
      <c r="M12" s="728">
        <v>0</v>
      </c>
      <c r="N12" s="728">
        <v>81104.740000000005</v>
      </c>
      <c r="O12" s="728">
        <v>0</v>
      </c>
      <c r="P12" s="728">
        <v>0</v>
      </c>
      <c r="Q12" s="728">
        <v>0</v>
      </c>
      <c r="R12" s="728">
        <v>0</v>
      </c>
      <c r="S12" s="741">
        <v>0</v>
      </c>
      <c r="T12" s="793"/>
      <c r="U12" s="456"/>
      <c r="V12" s="456"/>
      <c r="W12" s="456"/>
      <c r="X12" s="456"/>
      <c r="Y12" s="456"/>
      <c r="Z12" s="456"/>
      <c r="AA12" s="517"/>
    </row>
    <row r="13" spans="1:27">
      <c r="A13" s="520" t="s">
        <v>575</v>
      </c>
      <c r="B13" s="519" t="s">
        <v>576</v>
      </c>
      <c r="C13" s="743">
        <v>10699561.889999999</v>
      </c>
      <c r="D13" s="728">
        <v>10699561.889999999</v>
      </c>
      <c r="E13" s="728">
        <v>0</v>
      </c>
      <c r="F13" s="728">
        <v>0</v>
      </c>
      <c r="G13" s="728">
        <v>0</v>
      </c>
      <c r="H13" s="728">
        <v>0</v>
      </c>
      <c r="I13" s="728">
        <v>0</v>
      </c>
      <c r="J13" s="728">
        <v>0</v>
      </c>
      <c r="K13" s="728">
        <v>0</v>
      </c>
      <c r="L13" s="728">
        <v>0</v>
      </c>
      <c r="M13" s="728">
        <v>0</v>
      </c>
      <c r="N13" s="728">
        <v>0</v>
      </c>
      <c r="O13" s="728">
        <v>0</v>
      </c>
      <c r="P13" s="728">
        <v>0</v>
      </c>
      <c r="Q13" s="728">
        <v>0</v>
      </c>
      <c r="R13" s="728">
        <v>0</v>
      </c>
      <c r="S13" s="741">
        <v>0</v>
      </c>
      <c r="T13" s="793"/>
      <c r="U13" s="456"/>
      <c r="V13" s="456"/>
      <c r="W13" s="456"/>
      <c r="X13" s="456"/>
      <c r="Y13" s="456"/>
      <c r="Z13" s="456"/>
      <c r="AA13" s="517"/>
    </row>
    <row r="14" spans="1:27">
      <c r="A14" s="520" t="s">
        <v>577</v>
      </c>
      <c r="B14" s="519" t="s">
        <v>578</v>
      </c>
      <c r="C14" s="743">
        <v>75781252.030000001</v>
      </c>
      <c r="D14" s="728">
        <v>75781252.030000001</v>
      </c>
      <c r="E14" s="728">
        <v>0</v>
      </c>
      <c r="F14" s="728">
        <v>0</v>
      </c>
      <c r="G14" s="728">
        <v>0</v>
      </c>
      <c r="H14" s="728">
        <v>0</v>
      </c>
      <c r="I14" s="728">
        <v>0</v>
      </c>
      <c r="J14" s="728">
        <v>0</v>
      </c>
      <c r="K14" s="728">
        <v>0</v>
      </c>
      <c r="L14" s="728">
        <v>0</v>
      </c>
      <c r="M14" s="728">
        <v>0</v>
      </c>
      <c r="N14" s="728">
        <v>0</v>
      </c>
      <c r="O14" s="728">
        <v>0</v>
      </c>
      <c r="P14" s="728">
        <v>0</v>
      </c>
      <c r="Q14" s="728">
        <v>0</v>
      </c>
      <c r="R14" s="728">
        <v>0</v>
      </c>
      <c r="S14" s="741">
        <v>0</v>
      </c>
      <c r="T14" s="793"/>
      <c r="U14" s="456"/>
      <c r="V14" s="456"/>
      <c r="W14" s="456"/>
      <c r="X14" s="456"/>
      <c r="Y14" s="456"/>
      <c r="Z14" s="456"/>
      <c r="AA14" s="517"/>
    </row>
    <row r="15" spans="1:27">
      <c r="A15" s="518">
        <v>1.2</v>
      </c>
      <c r="B15" s="515" t="s">
        <v>891</v>
      </c>
      <c r="C15" s="744">
        <v>1228654.3160438938</v>
      </c>
      <c r="D15" s="728">
        <v>982978.14560640755</v>
      </c>
      <c r="E15" s="728">
        <v>886.32447322676023</v>
      </c>
      <c r="F15" s="728">
        <v>0</v>
      </c>
      <c r="G15" s="728">
        <v>0</v>
      </c>
      <c r="H15" s="728">
        <v>-1.8638073151977818E-14</v>
      </c>
      <c r="I15" s="728">
        <v>0</v>
      </c>
      <c r="J15" s="728">
        <v>-1.8638073151977818E-14</v>
      </c>
      <c r="K15" s="728">
        <v>0</v>
      </c>
      <c r="L15" s="728">
        <v>245676.17043748661</v>
      </c>
      <c r="M15" s="728">
        <v>25759.210524000002</v>
      </c>
      <c r="N15" s="728">
        <v>83377.510540507821</v>
      </c>
      <c r="O15" s="728">
        <v>0</v>
      </c>
      <c r="P15" s="728">
        <v>0</v>
      </c>
      <c r="Q15" s="728">
        <v>0</v>
      </c>
      <c r="R15" s="728">
        <v>1497.8527630825604</v>
      </c>
      <c r="S15" s="741">
        <v>3.2638148618027708E-6</v>
      </c>
      <c r="T15" s="793"/>
      <c r="U15" s="456"/>
      <c r="V15" s="456"/>
      <c r="W15" s="456"/>
      <c r="X15" s="456"/>
      <c r="Y15" s="456"/>
      <c r="Z15" s="456"/>
      <c r="AA15" s="517"/>
    </row>
    <row r="16" spans="1:27">
      <c r="A16" s="516">
        <v>1.3</v>
      </c>
      <c r="B16" s="515" t="s">
        <v>579</v>
      </c>
      <c r="C16" s="745"/>
      <c r="D16" s="746"/>
      <c r="E16" s="746"/>
      <c r="F16" s="746"/>
      <c r="G16" s="746"/>
      <c r="H16" s="746"/>
      <c r="I16" s="746"/>
      <c r="J16" s="746"/>
      <c r="K16" s="746"/>
      <c r="L16" s="746"/>
      <c r="M16" s="746"/>
      <c r="N16" s="746"/>
      <c r="O16" s="746"/>
      <c r="P16" s="746"/>
      <c r="Q16" s="746"/>
      <c r="R16" s="746"/>
      <c r="S16" s="747"/>
      <c r="T16" s="794"/>
      <c r="U16" s="514"/>
      <c r="V16" s="514"/>
      <c r="W16" s="514"/>
      <c r="X16" s="514"/>
      <c r="Y16" s="514"/>
      <c r="Z16" s="514"/>
      <c r="AA16" s="513"/>
    </row>
    <row r="17" spans="1:27" s="498" customFormat="1" ht="25.5">
      <c r="A17" s="511" t="s">
        <v>580</v>
      </c>
      <c r="B17" s="512" t="s">
        <v>581</v>
      </c>
      <c r="C17" s="748">
        <v>262562851.00325057</v>
      </c>
      <c r="D17" s="729">
        <v>261566190.50785652</v>
      </c>
      <c r="E17" s="729">
        <v>416290.03303199995</v>
      </c>
      <c r="F17" s="729">
        <v>0</v>
      </c>
      <c r="G17" s="729">
        <v>0</v>
      </c>
      <c r="H17" s="729">
        <v>35201.350000000006</v>
      </c>
      <c r="I17" s="729">
        <v>0</v>
      </c>
      <c r="J17" s="729">
        <v>35201.350000000006</v>
      </c>
      <c r="K17" s="729">
        <v>0</v>
      </c>
      <c r="L17" s="729">
        <v>961459.14539400011</v>
      </c>
      <c r="M17" s="729">
        <v>402189.417526</v>
      </c>
      <c r="N17" s="729">
        <v>144808.88</v>
      </c>
      <c r="O17" s="729">
        <v>0</v>
      </c>
      <c r="P17" s="729">
        <v>0</v>
      </c>
      <c r="Q17" s="729">
        <v>0</v>
      </c>
      <c r="R17" s="729">
        <v>4393.1400000000003</v>
      </c>
      <c r="S17" s="749">
        <v>300</v>
      </c>
      <c r="T17" s="795"/>
      <c r="U17" s="457"/>
      <c r="V17" s="457"/>
      <c r="W17" s="457"/>
      <c r="X17" s="457"/>
      <c r="Y17" s="457"/>
      <c r="Z17" s="457"/>
      <c r="AA17" s="504"/>
    </row>
    <row r="18" spans="1:27" s="498" customFormat="1" ht="25.5">
      <c r="A18" s="508" t="s">
        <v>582</v>
      </c>
      <c r="B18" s="509" t="s">
        <v>583</v>
      </c>
      <c r="C18" s="750">
        <v>109964436.3554021</v>
      </c>
      <c r="D18" s="729">
        <v>109036173.14000812</v>
      </c>
      <c r="E18" s="729">
        <v>416290.03303199995</v>
      </c>
      <c r="F18" s="729">
        <v>0</v>
      </c>
      <c r="G18" s="729">
        <v>0</v>
      </c>
      <c r="H18" s="729">
        <v>35201.350000000006</v>
      </c>
      <c r="I18" s="729">
        <v>0</v>
      </c>
      <c r="J18" s="729">
        <v>35201.350000000006</v>
      </c>
      <c r="K18" s="729">
        <v>0</v>
      </c>
      <c r="L18" s="729">
        <v>893061.86539400008</v>
      </c>
      <c r="M18" s="729">
        <v>402189.417526</v>
      </c>
      <c r="N18" s="729">
        <v>81104.740000000005</v>
      </c>
      <c r="O18" s="729">
        <v>0</v>
      </c>
      <c r="P18" s="729">
        <v>0</v>
      </c>
      <c r="Q18" s="729">
        <v>0</v>
      </c>
      <c r="R18" s="729">
        <v>0</v>
      </c>
      <c r="S18" s="749">
        <v>0</v>
      </c>
      <c r="T18" s="795"/>
      <c r="U18" s="457"/>
      <c r="V18" s="457"/>
      <c r="W18" s="457"/>
      <c r="X18" s="457"/>
      <c r="Y18" s="457"/>
      <c r="Z18" s="457"/>
      <c r="AA18" s="504"/>
    </row>
    <row r="19" spans="1:27" s="498" customFormat="1">
      <c r="A19" s="511" t="s">
        <v>584</v>
      </c>
      <c r="B19" s="510" t="s">
        <v>585</v>
      </c>
      <c r="C19" s="751">
        <v>242685145.54292265</v>
      </c>
      <c r="D19" s="729">
        <v>240195440.91770124</v>
      </c>
      <c r="E19" s="729">
        <v>684735.4800000001</v>
      </c>
      <c r="F19" s="729">
        <v>0</v>
      </c>
      <c r="G19" s="729">
        <v>0</v>
      </c>
      <c r="H19" s="729">
        <v>150163.79999999996</v>
      </c>
      <c r="I19" s="729">
        <v>0</v>
      </c>
      <c r="J19" s="729">
        <v>150163.79999999996</v>
      </c>
      <c r="K19" s="729">
        <v>0</v>
      </c>
      <c r="L19" s="729">
        <v>2339540.8252213504</v>
      </c>
      <c r="M19" s="729">
        <v>1891783.2000000002</v>
      </c>
      <c r="N19" s="729">
        <v>21343.460000000036</v>
      </c>
      <c r="O19" s="729">
        <v>0</v>
      </c>
      <c r="P19" s="729">
        <v>0</v>
      </c>
      <c r="Q19" s="729">
        <v>0</v>
      </c>
      <c r="R19" s="729">
        <v>0</v>
      </c>
      <c r="S19" s="749">
        <v>0</v>
      </c>
      <c r="T19" s="795"/>
      <c r="U19" s="457"/>
      <c r="V19" s="457"/>
      <c r="W19" s="457"/>
      <c r="X19" s="457"/>
      <c r="Y19" s="457"/>
      <c r="Z19" s="457"/>
      <c r="AA19" s="504"/>
    </row>
    <row r="20" spans="1:27" s="498" customFormat="1">
      <c r="A20" s="508" t="s">
        <v>586</v>
      </c>
      <c r="B20" s="509" t="s">
        <v>587</v>
      </c>
      <c r="C20" s="750">
        <v>145526781.56971496</v>
      </c>
      <c r="D20" s="729">
        <v>143474467.71201959</v>
      </c>
      <c r="E20" s="729">
        <v>274182.76696800004</v>
      </c>
      <c r="F20" s="729">
        <v>0</v>
      </c>
      <c r="G20" s="729">
        <v>0</v>
      </c>
      <c r="H20" s="729">
        <v>114962.44999999995</v>
      </c>
      <c r="I20" s="729">
        <v>0</v>
      </c>
      <c r="J20" s="729">
        <v>114962.44999999995</v>
      </c>
      <c r="K20" s="729">
        <v>0</v>
      </c>
      <c r="L20" s="729">
        <v>1937351.4076953509</v>
      </c>
      <c r="M20" s="729">
        <v>1489593.7824740002</v>
      </c>
      <c r="N20" s="729">
        <v>21343.460000000036</v>
      </c>
      <c r="O20" s="729">
        <v>0</v>
      </c>
      <c r="P20" s="729">
        <v>0</v>
      </c>
      <c r="Q20" s="729">
        <v>0</v>
      </c>
      <c r="R20" s="729">
        <v>0</v>
      </c>
      <c r="S20" s="749">
        <v>0</v>
      </c>
      <c r="T20" s="795"/>
      <c r="U20" s="457"/>
      <c r="V20" s="457"/>
      <c r="W20" s="457"/>
      <c r="X20" s="457"/>
      <c r="Y20" s="457"/>
      <c r="Z20" s="457"/>
      <c r="AA20" s="504"/>
    </row>
    <row r="21" spans="1:27" s="498" customFormat="1">
      <c r="A21" s="507">
        <v>1.4</v>
      </c>
      <c r="B21" s="506" t="s">
        <v>676</v>
      </c>
      <c r="C21" s="505"/>
      <c r="D21" s="457"/>
      <c r="E21" s="457"/>
      <c r="F21" s="457"/>
      <c r="G21" s="457"/>
      <c r="H21" s="457"/>
      <c r="I21" s="457"/>
      <c r="J21" s="457"/>
      <c r="K21" s="457"/>
      <c r="L21" s="457"/>
      <c r="M21" s="457"/>
      <c r="N21" s="457"/>
      <c r="O21" s="457"/>
      <c r="P21" s="457"/>
      <c r="Q21" s="457"/>
      <c r="R21" s="457"/>
      <c r="S21" s="504"/>
      <c r="T21" s="795"/>
      <c r="U21" s="457"/>
      <c r="V21" s="457"/>
      <c r="W21" s="457"/>
      <c r="X21" s="457"/>
      <c r="Y21" s="457"/>
      <c r="Z21" s="457"/>
      <c r="AA21" s="504"/>
    </row>
    <row r="22" spans="1:27" s="498" customFormat="1" ht="13.5" thickBot="1">
      <c r="A22" s="503">
        <v>1.5</v>
      </c>
      <c r="B22" s="502" t="s">
        <v>677</v>
      </c>
      <c r="C22" s="501"/>
      <c r="D22" s="500"/>
      <c r="E22" s="500"/>
      <c r="F22" s="500"/>
      <c r="G22" s="500"/>
      <c r="H22" s="500"/>
      <c r="I22" s="500"/>
      <c r="J22" s="500"/>
      <c r="K22" s="500"/>
      <c r="L22" s="500"/>
      <c r="M22" s="500"/>
      <c r="N22" s="500"/>
      <c r="O22" s="500"/>
      <c r="P22" s="500"/>
      <c r="Q22" s="500"/>
      <c r="R22" s="500"/>
      <c r="S22" s="499"/>
      <c r="T22" s="796"/>
      <c r="U22" s="500"/>
      <c r="V22" s="500"/>
      <c r="W22" s="500"/>
      <c r="X22" s="500"/>
      <c r="Y22" s="500"/>
      <c r="Z22" s="500"/>
      <c r="AA22" s="499"/>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5"/>
  <sheetViews>
    <sheetView showGridLines="0" zoomScaleNormal="100" workbookViewId="0">
      <selection activeCell="A5" sqref="A5:B6"/>
    </sheetView>
  </sheetViews>
  <sheetFormatPr defaultColWidth="9.140625" defaultRowHeight="12.75"/>
  <cols>
    <col min="1" max="1" width="11.85546875" style="467" bestFit="1" customWidth="1"/>
    <col min="2" max="2" width="93.42578125" style="467" customWidth="1"/>
    <col min="3" max="3" width="12.28515625" style="467" bestFit="1" customWidth="1"/>
    <col min="4" max="5" width="15.85546875" style="467" bestFit="1" customWidth="1"/>
    <col min="6" max="6" width="15.85546875" style="528" bestFit="1" customWidth="1"/>
    <col min="7" max="7" width="24.85546875" style="528" bestFit="1" customWidth="1"/>
    <col min="8" max="8" width="10.28515625" style="467" bestFit="1" customWidth="1"/>
    <col min="9" max="11" width="15.85546875" style="528" bestFit="1" customWidth="1"/>
    <col min="12" max="12" width="24.85546875" style="528" bestFit="1" customWidth="1"/>
    <col min="13" max="16384" width="9.140625" style="467"/>
  </cols>
  <sheetData>
    <row r="1" spans="1:12" ht="13.5">
      <c r="A1" s="373" t="s">
        <v>108</v>
      </c>
      <c r="B1" s="603" t="str">
        <f>'1. key ratios'!B1</f>
        <v>სს იშბანკი საქართველო</v>
      </c>
      <c r="F1" s="467"/>
      <c r="G1" s="467"/>
      <c r="I1" s="467"/>
      <c r="J1" s="467"/>
      <c r="K1" s="467"/>
      <c r="L1" s="467"/>
    </row>
    <row r="2" spans="1:12" ht="13.5">
      <c r="A2" s="375" t="s">
        <v>109</v>
      </c>
      <c r="B2" s="604">
        <f>'1. key ratios'!B2</f>
        <v>45657</v>
      </c>
      <c r="F2" s="467"/>
      <c r="G2" s="467"/>
      <c r="I2" s="467"/>
      <c r="J2" s="467"/>
      <c r="K2" s="467"/>
      <c r="L2" s="467"/>
    </row>
    <row r="3" spans="1:12">
      <c r="A3" s="376" t="s">
        <v>590</v>
      </c>
      <c r="F3" s="467"/>
      <c r="G3" s="467"/>
      <c r="I3" s="467"/>
      <c r="J3" s="467"/>
      <c r="K3" s="467"/>
      <c r="L3" s="467"/>
    </row>
    <row r="4" spans="1:12">
      <c r="F4" s="467"/>
      <c r="G4" s="467"/>
      <c r="I4" s="467"/>
      <c r="J4" s="467"/>
      <c r="K4" s="467"/>
      <c r="L4" s="467"/>
    </row>
    <row r="5" spans="1:12" ht="37.5" customHeight="1">
      <c r="A5" s="919" t="s">
        <v>591</v>
      </c>
      <c r="B5" s="920"/>
      <c r="C5" s="970" t="s">
        <v>592</v>
      </c>
      <c r="D5" s="971"/>
      <c r="E5" s="971"/>
      <c r="F5" s="971"/>
      <c r="G5" s="971"/>
      <c r="H5" s="972" t="s">
        <v>903</v>
      </c>
      <c r="I5" s="973"/>
      <c r="J5" s="973"/>
      <c r="K5" s="973"/>
      <c r="L5" s="974"/>
    </row>
    <row r="6" spans="1:12" ht="39.6" customHeight="1">
      <c r="A6" s="923"/>
      <c r="B6" s="924"/>
      <c r="C6" s="382"/>
      <c r="D6" s="465" t="s">
        <v>888</v>
      </c>
      <c r="E6" s="465" t="s">
        <v>887</v>
      </c>
      <c r="F6" s="465" t="s">
        <v>886</v>
      </c>
      <c r="G6" s="465" t="s">
        <v>885</v>
      </c>
      <c r="H6" s="531"/>
      <c r="I6" s="465" t="s">
        <v>888</v>
      </c>
      <c r="J6" s="465" t="s">
        <v>887</v>
      </c>
      <c r="K6" s="465" t="s">
        <v>886</v>
      </c>
      <c r="L6" s="465" t="s">
        <v>885</v>
      </c>
    </row>
    <row r="7" spans="1:12">
      <c r="A7" s="456">
        <v>1</v>
      </c>
      <c r="B7" s="471" t="s">
        <v>514</v>
      </c>
      <c r="C7" s="752">
        <v>2042385.5875240001</v>
      </c>
      <c r="D7" s="752">
        <v>2039060.6275240001</v>
      </c>
      <c r="E7" s="752">
        <v>0</v>
      </c>
      <c r="F7" s="752">
        <v>3324.96</v>
      </c>
      <c r="G7" s="752">
        <v>0</v>
      </c>
      <c r="H7" s="752">
        <v>13289.814930970475</v>
      </c>
      <c r="I7" s="752">
        <v>12204.609544680499</v>
      </c>
      <c r="J7" s="752">
        <v>0</v>
      </c>
      <c r="K7" s="752">
        <v>1085.2053862899741</v>
      </c>
      <c r="L7" s="752">
        <v>0</v>
      </c>
    </row>
    <row r="8" spans="1:12">
      <c r="A8" s="456">
        <v>2</v>
      </c>
      <c r="B8" s="471" t="s">
        <v>515</v>
      </c>
      <c r="C8" s="752">
        <v>26393697.753436003</v>
      </c>
      <c r="D8" s="728">
        <v>26393697.753436003</v>
      </c>
      <c r="E8" s="728">
        <v>0</v>
      </c>
      <c r="F8" s="753">
        <v>0</v>
      </c>
      <c r="G8" s="753">
        <v>0</v>
      </c>
      <c r="H8" s="728">
        <v>158373.78962626896</v>
      </c>
      <c r="I8" s="753">
        <v>158373.78962626896</v>
      </c>
      <c r="J8" s="753">
        <v>0</v>
      </c>
      <c r="K8" s="753">
        <v>0</v>
      </c>
      <c r="L8" s="753">
        <v>0</v>
      </c>
    </row>
    <row r="9" spans="1:12">
      <c r="A9" s="456">
        <v>3</v>
      </c>
      <c r="B9" s="471" t="s">
        <v>864</v>
      </c>
      <c r="C9" s="752">
        <v>0</v>
      </c>
      <c r="D9" s="728">
        <v>0</v>
      </c>
      <c r="E9" s="728">
        <v>0</v>
      </c>
      <c r="F9" s="754">
        <v>0</v>
      </c>
      <c r="G9" s="754">
        <v>0</v>
      </c>
      <c r="H9" s="728">
        <v>0</v>
      </c>
      <c r="I9" s="754">
        <v>0</v>
      </c>
      <c r="J9" s="754">
        <v>0</v>
      </c>
      <c r="K9" s="754">
        <v>0</v>
      </c>
      <c r="L9" s="754">
        <v>0</v>
      </c>
    </row>
    <row r="10" spans="1:12">
      <c r="A10" s="456">
        <v>4</v>
      </c>
      <c r="B10" s="471" t="s">
        <v>516</v>
      </c>
      <c r="C10" s="752">
        <v>17081370.303978</v>
      </c>
      <c r="D10" s="728">
        <v>16778276.383978002</v>
      </c>
      <c r="E10" s="728">
        <v>0</v>
      </c>
      <c r="F10" s="754">
        <v>303093.92</v>
      </c>
      <c r="G10" s="754">
        <v>0</v>
      </c>
      <c r="H10" s="728">
        <v>55262.266492966024</v>
      </c>
      <c r="I10" s="754">
        <v>28978.71775433364</v>
      </c>
      <c r="J10" s="754">
        <v>0</v>
      </c>
      <c r="K10" s="754">
        <v>26283.54873863238</v>
      </c>
      <c r="L10" s="754">
        <v>0</v>
      </c>
    </row>
    <row r="11" spans="1:12">
      <c r="A11" s="456">
        <v>5</v>
      </c>
      <c r="B11" s="471" t="s">
        <v>517</v>
      </c>
      <c r="C11" s="752">
        <v>15239120</v>
      </c>
      <c r="D11" s="728">
        <v>15239120</v>
      </c>
      <c r="E11" s="728">
        <v>0</v>
      </c>
      <c r="F11" s="754">
        <v>0</v>
      </c>
      <c r="G11" s="754">
        <v>0</v>
      </c>
      <c r="H11" s="728">
        <v>0</v>
      </c>
      <c r="I11" s="754">
        <v>0</v>
      </c>
      <c r="J11" s="754">
        <v>0</v>
      </c>
      <c r="K11" s="754">
        <v>0</v>
      </c>
      <c r="L11" s="754">
        <v>0</v>
      </c>
    </row>
    <row r="12" spans="1:12">
      <c r="A12" s="456">
        <v>6</v>
      </c>
      <c r="B12" s="471" t="s">
        <v>518</v>
      </c>
      <c r="C12" s="752">
        <v>952801.40908800019</v>
      </c>
      <c r="D12" s="728">
        <v>568239.21766400011</v>
      </c>
      <c r="E12" s="728">
        <v>0</v>
      </c>
      <c r="F12" s="754">
        <v>384562.19142400002</v>
      </c>
      <c r="G12" s="754">
        <v>0</v>
      </c>
      <c r="H12" s="728">
        <v>1497.8527754617678</v>
      </c>
      <c r="I12" s="754">
        <v>1.2379202705127035E-5</v>
      </c>
      <c r="J12" s="754">
        <v>0</v>
      </c>
      <c r="K12" s="754">
        <v>1497.8527630825652</v>
      </c>
      <c r="L12" s="754">
        <v>0</v>
      </c>
    </row>
    <row r="13" spans="1:12">
      <c r="A13" s="456">
        <v>7</v>
      </c>
      <c r="B13" s="471" t="s">
        <v>519</v>
      </c>
      <c r="C13" s="752">
        <v>60490423.500715993</v>
      </c>
      <c r="D13" s="728">
        <v>60490423.500715993</v>
      </c>
      <c r="E13" s="728">
        <v>0</v>
      </c>
      <c r="F13" s="754">
        <v>0</v>
      </c>
      <c r="G13" s="754">
        <v>0</v>
      </c>
      <c r="H13" s="728">
        <v>163170.16392140198</v>
      </c>
      <c r="I13" s="754">
        <v>163170.16392140198</v>
      </c>
      <c r="J13" s="754">
        <v>0</v>
      </c>
      <c r="K13" s="754">
        <v>0</v>
      </c>
      <c r="L13" s="754">
        <v>0</v>
      </c>
    </row>
    <row r="14" spans="1:12">
      <c r="A14" s="456">
        <v>8</v>
      </c>
      <c r="B14" s="471" t="s">
        <v>520</v>
      </c>
      <c r="C14" s="752">
        <v>114727.98</v>
      </c>
      <c r="D14" s="728">
        <v>114727.98</v>
      </c>
      <c r="E14" s="728">
        <v>0</v>
      </c>
      <c r="F14" s="754">
        <v>0</v>
      </c>
      <c r="G14" s="754">
        <v>0</v>
      </c>
      <c r="H14" s="728">
        <v>2.1905706576634495E-15</v>
      </c>
      <c r="I14" s="754">
        <v>2.1905706576634495E-15</v>
      </c>
      <c r="J14" s="754">
        <v>0</v>
      </c>
      <c r="K14" s="754">
        <v>0</v>
      </c>
      <c r="L14" s="754">
        <v>0</v>
      </c>
    </row>
    <row r="15" spans="1:12">
      <c r="A15" s="456">
        <v>9</v>
      </c>
      <c r="B15" s="471" t="s">
        <v>521</v>
      </c>
      <c r="C15" s="752">
        <v>4699426.8137360001</v>
      </c>
      <c r="D15" s="728">
        <v>4699426.8137360001</v>
      </c>
      <c r="E15" s="728">
        <v>0</v>
      </c>
      <c r="F15" s="754">
        <v>0</v>
      </c>
      <c r="G15" s="754">
        <v>0</v>
      </c>
      <c r="H15" s="728">
        <v>0</v>
      </c>
      <c r="I15" s="754">
        <v>0</v>
      </c>
      <c r="J15" s="754">
        <v>0</v>
      </c>
      <c r="K15" s="754">
        <v>0</v>
      </c>
      <c r="L15" s="754">
        <v>0</v>
      </c>
    </row>
    <row r="16" spans="1:12">
      <c r="A16" s="456">
        <v>10</v>
      </c>
      <c r="B16" s="471" t="s">
        <v>522</v>
      </c>
      <c r="C16" s="752">
        <v>15475621.424336001</v>
      </c>
      <c r="D16" s="728">
        <v>15471449.984336002</v>
      </c>
      <c r="E16" s="728">
        <v>0</v>
      </c>
      <c r="F16" s="754">
        <v>4171.4399999999996</v>
      </c>
      <c r="G16" s="754">
        <v>0</v>
      </c>
      <c r="H16" s="728">
        <v>69130.74544731823</v>
      </c>
      <c r="I16" s="754">
        <v>67769.264660606379</v>
      </c>
      <c r="J16" s="754">
        <v>0</v>
      </c>
      <c r="K16" s="754">
        <v>1361.4807867118548</v>
      </c>
      <c r="L16" s="754">
        <v>0</v>
      </c>
    </row>
    <row r="17" spans="1:12">
      <c r="A17" s="456">
        <v>11</v>
      </c>
      <c r="B17" s="471" t="s">
        <v>523</v>
      </c>
      <c r="C17" s="752">
        <v>30149855.665615998</v>
      </c>
      <c r="D17" s="728">
        <v>30143602.675615996</v>
      </c>
      <c r="E17" s="728">
        <v>0</v>
      </c>
      <c r="F17" s="754">
        <v>6252.99</v>
      </c>
      <c r="G17" s="754">
        <v>0</v>
      </c>
      <c r="H17" s="728">
        <v>74783.839221312635</v>
      </c>
      <c r="I17" s="754">
        <v>73069.360534958687</v>
      </c>
      <c r="J17" s="754">
        <v>0</v>
      </c>
      <c r="K17" s="754">
        <v>1714.4786863539487</v>
      </c>
      <c r="L17" s="754">
        <v>0</v>
      </c>
    </row>
    <row r="18" spans="1:12">
      <c r="A18" s="456">
        <v>12</v>
      </c>
      <c r="B18" s="471" t="s">
        <v>524</v>
      </c>
      <c r="C18" s="752">
        <v>14813347.549281999</v>
      </c>
      <c r="D18" s="728">
        <v>14735172.618758</v>
      </c>
      <c r="E18" s="728">
        <v>0</v>
      </c>
      <c r="F18" s="754">
        <v>78174.930523999996</v>
      </c>
      <c r="G18" s="754">
        <v>0</v>
      </c>
      <c r="H18" s="728">
        <v>117649.22227682493</v>
      </c>
      <c r="I18" s="754">
        <v>39474.291752824953</v>
      </c>
      <c r="J18" s="754">
        <v>0</v>
      </c>
      <c r="K18" s="754">
        <v>78174.930523999996</v>
      </c>
      <c r="L18" s="754">
        <v>0</v>
      </c>
    </row>
    <row r="19" spans="1:12">
      <c r="A19" s="456">
        <v>13</v>
      </c>
      <c r="B19" s="471" t="s">
        <v>525</v>
      </c>
      <c r="C19" s="752">
        <v>731308.89</v>
      </c>
      <c r="D19" s="728">
        <v>704340.64</v>
      </c>
      <c r="E19" s="728">
        <v>0</v>
      </c>
      <c r="F19" s="754">
        <v>26968.25</v>
      </c>
      <c r="G19" s="754">
        <v>0</v>
      </c>
      <c r="H19" s="728">
        <v>18543.200032218767</v>
      </c>
      <c r="I19" s="754">
        <v>986.26963816312639</v>
      </c>
      <c r="J19" s="754">
        <v>0</v>
      </c>
      <c r="K19" s="754">
        <v>17556.930394055642</v>
      </c>
      <c r="L19" s="754">
        <v>0</v>
      </c>
    </row>
    <row r="20" spans="1:12">
      <c r="A20" s="456">
        <v>14</v>
      </c>
      <c r="B20" s="471" t="s">
        <v>526</v>
      </c>
      <c r="C20" s="752">
        <v>1435463.9302639998</v>
      </c>
      <c r="D20" s="728">
        <v>1387463.9158439999</v>
      </c>
      <c r="E20" s="728">
        <v>0</v>
      </c>
      <c r="F20" s="754">
        <v>48000.01442</v>
      </c>
      <c r="G20" s="754">
        <v>0</v>
      </c>
      <c r="H20" s="728">
        <v>46732.311041492743</v>
      </c>
      <c r="I20" s="754">
        <v>172.2966149651152</v>
      </c>
      <c r="J20" s="754">
        <v>0</v>
      </c>
      <c r="K20" s="754">
        <v>46560.014426527625</v>
      </c>
      <c r="L20" s="754">
        <v>0</v>
      </c>
    </row>
    <row r="21" spans="1:12">
      <c r="A21" s="456">
        <v>15</v>
      </c>
      <c r="B21" s="471" t="s">
        <v>527</v>
      </c>
      <c r="C21" s="752">
        <v>10016295.35</v>
      </c>
      <c r="D21" s="728">
        <v>10016295.35</v>
      </c>
      <c r="E21" s="728">
        <v>0</v>
      </c>
      <c r="F21" s="754">
        <v>0</v>
      </c>
      <c r="G21" s="754">
        <v>0</v>
      </c>
      <c r="H21" s="728">
        <v>56544.118877701381</v>
      </c>
      <c r="I21" s="754">
        <v>56544.118877701381</v>
      </c>
      <c r="J21" s="754">
        <v>0</v>
      </c>
      <c r="K21" s="754">
        <v>0</v>
      </c>
      <c r="L21" s="754">
        <v>0</v>
      </c>
    </row>
    <row r="22" spans="1:12">
      <c r="A22" s="456">
        <v>16</v>
      </c>
      <c r="B22" s="471" t="s">
        <v>528</v>
      </c>
      <c r="C22" s="752">
        <v>0</v>
      </c>
      <c r="D22" s="728">
        <v>0</v>
      </c>
      <c r="E22" s="728">
        <v>0</v>
      </c>
      <c r="F22" s="754">
        <v>0</v>
      </c>
      <c r="G22" s="754">
        <v>0</v>
      </c>
      <c r="H22" s="728">
        <v>0</v>
      </c>
      <c r="I22" s="754">
        <v>0</v>
      </c>
      <c r="J22" s="754">
        <v>0</v>
      </c>
      <c r="K22" s="754">
        <v>0</v>
      </c>
      <c r="L22" s="754">
        <v>0</v>
      </c>
    </row>
    <row r="23" spans="1:12">
      <c r="A23" s="456">
        <v>17</v>
      </c>
      <c r="B23" s="471" t="s">
        <v>529</v>
      </c>
      <c r="C23" s="752">
        <v>0</v>
      </c>
      <c r="D23" s="728">
        <v>0</v>
      </c>
      <c r="E23" s="728">
        <v>0</v>
      </c>
      <c r="F23" s="754">
        <v>0</v>
      </c>
      <c r="G23" s="754">
        <v>0</v>
      </c>
      <c r="H23" s="728">
        <v>0</v>
      </c>
      <c r="I23" s="754">
        <v>0</v>
      </c>
      <c r="J23" s="754">
        <v>0</v>
      </c>
      <c r="K23" s="754">
        <v>0</v>
      </c>
      <c r="L23" s="754">
        <v>0</v>
      </c>
    </row>
    <row r="24" spans="1:12">
      <c r="A24" s="456">
        <v>18</v>
      </c>
      <c r="B24" s="471" t="s">
        <v>530</v>
      </c>
      <c r="C24" s="752">
        <v>66072973.220576003</v>
      </c>
      <c r="D24" s="728">
        <v>66072973.220576003</v>
      </c>
      <c r="E24" s="728">
        <v>0</v>
      </c>
      <c r="F24" s="754">
        <v>0</v>
      </c>
      <c r="G24" s="754">
        <v>0</v>
      </c>
      <c r="H24" s="728">
        <v>475720.25870634563</v>
      </c>
      <c r="I24" s="754">
        <v>475720.25870634563</v>
      </c>
      <c r="J24" s="754">
        <v>0</v>
      </c>
      <c r="K24" s="754">
        <v>0</v>
      </c>
      <c r="L24" s="754">
        <v>0</v>
      </c>
    </row>
    <row r="25" spans="1:12">
      <c r="A25" s="456">
        <v>19</v>
      </c>
      <c r="B25" s="471" t="s">
        <v>531</v>
      </c>
      <c r="C25" s="752">
        <v>14444390.800420003</v>
      </c>
      <c r="D25" s="728">
        <v>14444390.800420003</v>
      </c>
      <c r="E25" s="728">
        <v>0</v>
      </c>
      <c r="F25" s="754">
        <v>0</v>
      </c>
      <c r="G25" s="754">
        <v>0</v>
      </c>
      <c r="H25" s="728">
        <v>88325.890460908035</v>
      </c>
      <c r="I25" s="754">
        <v>88325.890460908035</v>
      </c>
      <c r="J25" s="754">
        <v>0</v>
      </c>
      <c r="K25" s="754">
        <v>0</v>
      </c>
      <c r="L25" s="754">
        <v>0</v>
      </c>
    </row>
    <row r="26" spans="1:12">
      <c r="A26" s="456">
        <v>20</v>
      </c>
      <c r="B26" s="471" t="s">
        <v>532</v>
      </c>
      <c r="C26" s="752">
        <v>23208427.210000001</v>
      </c>
      <c r="D26" s="728">
        <v>23181907.91</v>
      </c>
      <c r="E26" s="728">
        <v>0</v>
      </c>
      <c r="F26" s="754">
        <v>26519.3</v>
      </c>
      <c r="G26" s="754">
        <v>0</v>
      </c>
      <c r="H26" s="728">
        <v>152253.14915699998</v>
      </c>
      <c r="I26" s="754">
        <v>137350.06098303068</v>
      </c>
      <c r="J26" s="754">
        <v>0</v>
      </c>
      <c r="K26" s="754">
        <v>14903.088173969301</v>
      </c>
      <c r="L26" s="754">
        <v>0</v>
      </c>
    </row>
    <row r="27" spans="1:12">
      <c r="A27" s="456">
        <v>21</v>
      </c>
      <c r="B27" s="471" t="s">
        <v>533</v>
      </c>
      <c r="C27" s="752">
        <v>84937.13</v>
      </c>
      <c r="D27" s="728">
        <v>0</v>
      </c>
      <c r="E27" s="728">
        <v>0</v>
      </c>
      <c r="F27" s="754">
        <v>84937.13</v>
      </c>
      <c r="G27" s="754">
        <v>0</v>
      </c>
      <c r="H27" s="728">
        <v>27613.143558272433</v>
      </c>
      <c r="I27" s="754">
        <v>0</v>
      </c>
      <c r="J27" s="754">
        <v>0</v>
      </c>
      <c r="K27" s="754">
        <v>27613.143558272433</v>
      </c>
      <c r="L27" s="754">
        <v>0</v>
      </c>
    </row>
    <row r="28" spans="1:12">
      <c r="A28" s="456">
        <v>22</v>
      </c>
      <c r="B28" s="471" t="s">
        <v>534</v>
      </c>
      <c r="C28" s="752">
        <v>0</v>
      </c>
      <c r="D28" s="728">
        <v>0</v>
      </c>
      <c r="E28" s="728">
        <v>0</v>
      </c>
      <c r="F28" s="754">
        <v>0</v>
      </c>
      <c r="G28" s="754">
        <v>0</v>
      </c>
      <c r="H28" s="728">
        <v>0</v>
      </c>
      <c r="I28" s="754">
        <v>0</v>
      </c>
      <c r="J28" s="754">
        <v>0</v>
      </c>
      <c r="K28" s="754">
        <v>0</v>
      </c>
      <c r="L28" s="754">
        <v>0</v>
      </c>
    </row>
    <row r="29" spans="1:12">
      <c r="A29" s="456">
        <v>23</v>
      </c>
      <c r="B29" s="471" t="s">
        <v>535</v>
      </c>
      <c r="C29" s="752">
        <v>13432788.794171996</v>
      </c>
      <c r="D29" s="728">
        <v>13410090.054171996</v>
      </c>
      <c r="E29" s="728">
        <v>0</v>
      </c>
      <c r="F29" s="754">
        <v>22698.74</v>
      </c>
      <c r="G29" s="754">
        <v>0</v>
      </c>
      <c r="H29" s="728">
        <v>46404.734388843004</v>
      </c>
      <c r="I29" s="754">
        <v>24295.994385579186</v>
      </c>
      <c r="J29" s="754">
        <v>0</v>
      </c>
      <c r="K29" s="754">
        <v>22108.740003263818</v>
      </c>
      <c r="L29" s="754">
        <v>0</v>
      </c>
    </row>
    <row r="30" spans="1:12">
      <c r="A30" s="456">
        <v>24</v>
      </c>
      <c r="B30" s="471" t="s">
        <v>536</v>
      </c>
      <c r="C30" s="752">
        <v>8251814.301492</v>
      </c>
      <c r="D30" s="728">
        <v>8251814.301492</v>
      </c>
      <c r="E30" s="728">
        <v>0</v>
      </c>
      <c r="F30" s="754">
        <v>0</v>
      </c>
      <c r="G30" s="754">
        <v>0</v>
      </c>
      <c r="H30" s="728">
        <v>1355.687431262847</v>
      </c>
      <c r="I30" s="754">
        <v>1355.687431262847</v>
      </c>
      <c r="J30" s="754">
        <v>0</v>
      </c>
      <c r="K30" s="754">
        <v>0</v>
      </c>
      <c r="L30" s="754">
        <v>0</v>
      </c>
    </row>
    <row r="31" spans="1:12">
      <c r="A31" s="456">
        <v>25</v>
      </c>
      <c r="B31" s="471" t="s">
        <v>537</v>
      </c>
      <c r="C31" s="752">
        <v>96732.677867999999</v>
      </c>
      <c r="D31" s="728">
        <v>0</v>
      </c>
      <c r="E31" s="728">
        <v>36208.100000000006</v>
      </c>
      <c r="F31" s="754">
        <v>60524.577867999993</v>
      </c>
      <c r="G31" s="754">
        <v>0</v>
      </c>
      <c r="H31" s="728">
        <v>60224.577871263813</v>
      </c>
      <c r="I31" s="754">
        <v>0</v>
      </c>
      <c r="J31" s="754">
        <v>0</v>
      </c>
      <c r="K31" s="754">
        <v>60224.577871263813</v>
      </c>
      <c r="L31" s="754">
        <v>0</v>
      </c>
    </row>
    <row r="32" spans="1:12">
      <c r="A32" s="456">
        <v>26</v>
      </c>
      <c r="B32" s="471" t="s">
        <v>593</v>
      </c>
      <c r="C32" s="752">
        <v>0</v>
      </c>
      <c r="D32" s="728">
        <v>0</v>
      </c>
      <c r="E32" s="728">
        <v>0</v>
      </c>
      <c r="F32" s="754">
        <v>0</v>
      </c>
      <c r="G32" s="754">
        <v>0</v>
      </c>
      <c r="H32" s="728">
        <v>0</v>
      </c>
      <c r="I32" s="754">
        <v>0</v>
      </c>
      <c r="J32" s="754">
        <v>0</v>
      </c>
      <c r="K32" s="754">
        <v>0</v>
      </c>
      <c r="L32" s="754">
        <v>0</v>
      </c>
    </row>
    <row r="33" spans="1:12">
      <c r="A33" s="456">
        <v>27</v>
      </c>
      <c r="B33" s="530" t="s">
        <v>66</v>
      </c>
      <c r="C33" s="755">
        <f>SUM(C7:C32)</f>
        <v>325227910.29250395</v>
      </c>
      <c r="D33" s="755">
        <f t="shared" ref="D33:L33" si="0">SUM(D7:D32)</f>
        <v>324142473.74826795</v>
      </c>
      <c r="E33" s="755">
        <f t="shared" si="0"/>
        <v>36208.100000000006</v>
      </c>
      <c r="F33" s="755">
        <f t="shared" si="0"/>
        <v>1049228.4442359998</v>
      </c>
      <c r="G33" s="755">
        <f t="shared" si="0"/>
        <v>0</v>
      </c>
      <c r="H33" s="755">
        <f t="shared" si="0"/>
        <v>1626874.7662178334</v>
      </c>
      <c r="I33" s="755">
        <f t="shared" si="0"/>
        <v>1327790.7749054099</v>
      </c>
      <c r="J33" s="755">
        <f t="shared" si="0"/>
        <v>0</v>
      </c>
      <c r="K33" s="755">
        <f t="shared" si="0"/>
        <v>299083.99131242337</v>
      </c>
      <c r="L33" s="755">
        <f t="shared" si="0"/>
        <v>0</v>
      </c>
    </row>
    <row r="34" spans="1:12">
      <c r="A34" s="484"/>
      <c r="B34" s="484"/>
      <c r="C34" s="484"/>
      <c r="D34" s="484"/>
      <c r="E34" s="484"/>
      <c r="H34" s="484"/>
    </row>
    <row r="35" spans="1:12">
      <c r="A35" s="484"/>
      <c r="B35" s="529"/>
      <c r="C35" s="529"/>
      <c r="D35" s="484"/>
      <c r="E35" s="484"/>
      <c r="H35" s="484"/>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3"/>
  <sheetViews>
    <sheetView showGridLines="0" zoomScaleNormal="100" workbookViewId="0">
      <selection activeCell="A5" sqref="A5:B5"/>
    </sheetView>
  </sheetViews>
  <sheetFormatPr defaultColWidth="8.7109375" defaultRowHeight="12"/>
  <cols>
    <col min="1" max="1" width="11.85546875" style="383" bestFit="1" customWidth="1"/>
    <col min="2" max="2" width="70.28515625" style="383" customWidth="1"/>
    <col min="3" max="3" width="19.5703125" style="383" bestFit="1" customWidth="1"/>
    <col min="4" max="4" width="27.28515625" style="383" bestFit="1" customWidth="1"/>
    <col min="5" max="5" width="24.5703125" style="383" bestFit="1" customWidth="1"/>
    <col min="6" max="6" width="26.5703125" style="383" bestFit="1" customWidth="1"/>
    <col min="7" max="7" width="19.5703125" style="383" bestFit="1" customWidth="1"/>
    <col min="8" max="8" width="27" style="383" bestFit="1" customWidth="1"/>
    <col min="9" max="9" width="24.140625" style="383" bestFit="1" customWidth="1"/>
    <col min="10" max="10" width="19.5703125" style="383" bestFit="1" customWidth="1"/>
    <col min="11" max="11" width="22.85546875" style="383" bestFit="1" customWidth="1"/>
    <col min="12" max="16384" width="8.7109375" style="383"/>
  </cols>
  <sheetData>
    <row r="1" spans="1:11" s="374" customFormat="1" ht="13.5">
      <c r="A1" s="373" t="s">
        <v>108</v>
      </c>
      <c r="B1" s="603" t="str">
        <f>'1. key ratios'!B1</f>
        <v>სს იშბანკი საქართველო</v>
      </c>
      <c r="C1" s="467"/>
      <c r="D1" s="467"/>
      <c r="E1" s="467"/>
      <c r="F1" s="467"/>
      <c r="G1" s="467"/>
      <c r="H1" s="467"/>
      <c r="I1" s="467"/>
      <c r="J1" s="467"/>
      <c r="K1" s="467"/>
    </row>
    <row r="2" spans="1:11" s="374" customFormat="1" ht="13.5">
      <c r="A2" s="375" t="s">
        <v>109</v>
      </c>
      <c r="B2" s="604">
        <f>'1. key ratios'!B2</f>
        <v>45657</v>
      </c>
      <c r="C2" s="467"/>
      <c r="D2" s="467"/>
      <c r="E2" s="467"/>
      <c r="F2" s="467"/>
      <c r="G2" s="467"/>
      <c r="H2" s="467"/>
      <c r="I2" s="467"/>
      <c r="J2" s="467"/>
      <c r="K2" s="467"/>
    </row>
    <row r="3" spans="1:11" s="374" customFormat="1" ht="12.75">
      <c r="A3" s="376" t="s">
        <v>594</v>
      </c>
      <c r="B3" s="467"/>
      <c r="C3" s="467"/>
      <c r="D3" s="467"/>
      <c r="E3" s="467"/>
      <c r="F3" s="467"/>
      <c r="G3" s="467"/>
      <c r="H3" s="467"/>
      <c r="I3" s="467"/>
      <c r="J3" s="467"/>
      <c r="K3" s="467"/>
    </row>
    <row r="4" spans="1:11">
      <c r="A4" s="536"/>
      <c r="B4" s="536"/>
      <c r="C4" s="535" t="s">
        <v>498</v>
      </c>
      <c r="D4" s="535" t="s">
        <v>499</v>
      </c>
      <c r="E4" s="535" t="s">
        <v>500</v>
      </c>
      <c r="F4" s="535" t="s">
        <v>501</v>
      </c>
      <c r="G4" s="535" t="s">
        <v>502</v>
      </c>
      <c r="H4" s="535" t="s">
        <v>503</v>
      </c>
      <c r="I4" s="535" t="s">
        <v>504</v>
      </c>
      <c r="J4" s="535" t="s">
        <v>505</v>
      </c>
      <c r="K4" s="535" t="s">
        <v>506</v>
      </c>
    </row>
    <row r="5" spans="1:11" ht="104.1" customHeight="1">
      <c r="A5" s="975" t="s">
        <v>902</v>
      </c>
      <c r="B5" s="976"/>
      <c r="C5" s="534" t="s">
        <v>595</v>
      </c>
      <c r="D5" s="534" t="s">
        <v>588</v>
      </c>
      <c r="E5" s="534" t="s">
        <v>589</v>
      </c>
      <c r="F5" s="534" t="s">
        <v>901</v>
      </c>
      <c r="G5" s="534" t="s">
        <v>596</v>
      </c>
      <c r="H5" s="534" t="s">
        <v>597</v>
      </c>
      <c r="I5" s="534" t="s">
        <v>598</v>
      </c>
      <c r="J5" s="534" t="s">
        <v>599</v>
      </c>
      <c r="K5" s="534" t="s">
        <v>600</v>
      </c>
    </row>
    <row r="6" spans="1:11" ht="12.75">
      <c r="A6" s="456">
        <v>1</v>
      </c>
      <c r="B6" s="456" t="s">
        <v>601</v>
      </c>
      <c r="C6" s="728">
        <v>20795397.359999996</v>
      </c>
      <c r="D6" s="728">
        <v>0</v>
      </c>
      <c r="E6" s="728">
        <v>0</v>
      </c>
      <c r="F6" s="728">
        <v>0</v>
      </c>
      <c r="G6" s="728">
        <v>105418033.87033416</v>
      </c>
      <c r="H6" s="728">
        <v>0</v>
      </c>
      <c r="I6" s="728">
        <v>12498668.226929277</v>
      </c>
      <c r="J6" s="728">
        <v>123850751.54598694</v>
      </c>
      <c r="K6" s="728">
        <v>60547336.16407156</v>
      </c>
    </row>
    <row r="7" spans="1:11" ht="12.75">
      <c r="A7" s="456">
        <v>2</v>
      </c>
      <c r="B7" s="457" t="s">
        <v>602</v>
      </c>
      <c r="C7" s="728">
        <v>0</v>
      </c>
      <c r="D7" s="728">
        <v>0</v>
      </c>
      <c r="E7" s="728">
        <v>0</v>
      </c>
      <c r="F7" s="728">
        <v>0</v>
      </c>
      <c r="G7" s="728">
        <v>0</v>
      </c>
      <c r="H7" s="728">
        <v>0</v>
      </c>
      <c r="I7" s="728">
        <v>0</v>
      </c>
      <c r="J7" s="728">
        <v>0</v>
      </c>
      <c r="K7" s="728">
        <v>52919641.8293548</v>
      </c>
    </row>
    <row r="8" spans="1:11" ht="12.75">
      <c r="A8" s="456">
        <v>3</v>
      </c>
      <c r="B8" s="457" t="s">
        <v>566</v>
      </c>
      <c r="C8" s="728">
        <v>3421423.2274000007</v>
      </c>
      <c r="D8" s="728"/>
      <c r="E8" s="728">
        <v>0</v>
      </c>
      <c r="F8" s="728">
        <v>0</v>
      </c>
      <c r="G8" s="728">
        <v>5885812.0171775697</v>
      </c>
      <c r="H8" s="728">
        <v>0</v>
      </c>
      <c r="I8" s="728">
        <v>0</v>
      </c>
      <c r="J8" s="728">
        <v>3585498.6280664303</v>
      </c>
      <c r="K8" s="728">
        <v>147287159.50293401</v>
      </c>
    </row>
    <row r="9" spans="1:11" ht="12.75">
      <c r="A9" s="456">
        <v>4</v>
      </c>
      <c r="B9" s="485" t="s">
        <v>900</v>
      </c>
      <c r="C9" s="756">
        <v>0</v>
      </c>
      <c r="D9" s="756"/>
      <c r="E9" s="756">
        <v>0</v>
      </c>
      <c r="F9" s="756">
        <v>0</v>
      </c>
      <c r="G9" s="756">
        <v>893061.86539400008</v>
      </c>
      <c r="H9" s="756">
        <v>0</v>
      </c>
      <c r="I9" s="756">
        <v>0</v>
      </c>
      <c r="J9" s="756">
        <v>68397.279999999999</v>
      </c>
      <c r="K9" s="756">
        <v>77876.364419999998</v>
      </c>
    </row>
    <row r="10" spans="1:11" ht="12.75">
      <c r="A10" s="456">
        <v>5</v>
      </c>
      <c r="B10" s="475" t="s">
        <v>899</v>
      </c>
      <c r="C10" s="756"/>
      <c r="D10" s="756"/>
      <c r="E10" s="756"/>
      <c r="F10" s="756"/>
      <c r="G10" s="756"/>
      <c r="H10" s="756"/>
      <c r="I10" s="756"/>
      <c r="J10" s="756"/>
      <c r="K10" s="756"/>
    </row>
    <row r="11" spans="1:11" ht="12.75">
      <c r="A11" s="456">
        <v>6</v>
      </c>
      <c r="B11" s="475" t="s">
        <v>898</v>
      </c>
      <c r="C11" s="756"/>
      <c r="D11" s="756"/>
      <c r="E11" s="756"/>
      <c r="F11" s="756"/>
      <c r="G11" s="756"/>
      <c r="H11" s="756"/>
      <c r="I11" s="756"/>
      <c r="J11" s="756"/>
      <c r="K11" s="756"/>
    </row>
    <row r="13" spans="1:11" ht="15">
      <c r="B13" s="532"/>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
  <sheetViews>
    <sheetView showGridLines="0" zoomScaleNormal="100" workbookViewId="0">
      <selection activeCell="A5" sqref="A5:B6"/>
    </sheetView>
  </sheetViews>
  <sheetFormatPr defaultColWidth="8.7109375" defaultRowHeight="15"/>
  <cols>
    <col min="1" max="1" width="10" style="537" bestFit="1" customWidth="1"/>
    <col min="2" max="2" width="71.7109375" style="537" customWidth="1"/>
    <col min="3" max="3" width="9" style="537" bestFit="1" customWidth="1"/>
    <col min="4" max="6" width="15.85546875" style="537" bestFit="1" customWidth="1"/>
    <col min="7" max="7" width="37.42578125" style="537" bestFit="1" customWidth="1"/>
    <col min="8" max="8" width="10.5703125" style="537" bestFit="1" customWidth="1"/>
    <col min="9" max="10" width="15.140625" style="537" bestFit="1" customWidth="1"/>
    <col min="11" max="11" width="20" style="537" bestFit="1" customWidth="1"/>
    <col min="12" max="12" width="37.5703125" style="537" bestFit="1" customWidth="1"/>
    <col min="13" max="13" width="10.5703125" style="537" bestFit="1" customWidth="1"/>
    <col min="14" max="15" width="15.140625" style="537" bestFit="1" customWidth="1"/>
    <col min="16" max="16" width="20" style="537" bestFit="1" customWidth="1"/>
    <col min="17" max="17" width="37.5703125" style="537" bestFit="1" customWidth="1"/>
    <col min="18" max="18" width="17.28515625" style="537" bestFit="1" customWidth="1"/>
    <col min="19" max="19" width="40.7109375" style="537" customWidth="1"/>
    <col min="20" max="20" width="45.85546875" style="537" bestFit="1" customWidth="1"/>
    <col min="21" max="21" width="48" style="537" bestFit="1" customWidth="1"/>
    <col min="22" max="22" width="44.42578125" style="537" bestFit="1" customWidth="1"/>
    <col min="23" max="16384" width="8.7109375" style="537"/>
  </cols>
  <sheetData>
    <row r="1" spans="1:22">
      <c r="A1" s="373" t="s">
        <v>108</v>
      </c>
      <c r="B1" s="603" t="str">
        <f>'1. key ratios'!B1</f>
        <v>სს იშბანკი საქართველო</v>
      </c>
    </row>
    <row r="2" spans="1:22">
      <c r="A2" s="375" t="s">
        <v>109</v>
      </c>
      <c r="B2" s="604">
        <f>'1. key ratios'!B2</f>
        <v>45657</v>
      </c>
    </row>
    <row r="3" spans="1:22">
      <c r="A3" s="376" t="s">
        <v>685</v>
      </c>
      <c r="B3" s="467"/>
    </row>
    <row r="4" spans="1:22">
      <c r="A4" s="376"/>
      <c r="B4" s="467"/>
    </row>
    <row r="5" spans="1:22" ht="24" customHeight="1">
      <c r="A5" s="977" t="s">
        <v>712</v>
      </c>
      <c r="B5" s="977"/>
      <c r="C5" s="979" t="s">
        <v>904</v>
      </c>
      <c r="D5" s="979"/>
      <c r="E5" s="979"/>
      <c r="F5" s="979"/>
      <c r="G5" s="979"/>
      <c r="H5" s="979" t="s">
        <v>592</v>
      </c>
      <c r="I5" s="979"/>
      <c r="J5" s="979"/>
      <c r="K5" s="979"/>
      <c r="L5" s="979"/>
      <c r="M5" s="979" t="s">
        <v>903</v>
      </c>
      <c r="N5" s="979"/>
      <c r="O5" s="979"/>
      <c r="P5" s="979"/>
      <c r="Q5" s="979"/>
      <c r="R5" s="978" t="s">
        <v>711</v>
      </c>
      <c r="S5" s="978" t="s">
        <v>715</v>
      </c>
      <c r="T5" s="978" t="s">
        <v>714</v>
      </c>
      <c r="U5" s="978" t="s">
        <v>949</v>
      </c>
      <c r="V5" s="978" t="s">
        <v>950</v>
      </c>
    </row>
    <row r="6" spans="1:22" ht="36" customHeight="1">
      <c r="A6" s="977"/>
      <c r="B6" s="977"/>
      <c r="C6" s="547"/>
      <c r="D6" s="465" t="s">
        <v>888</v>
      </c>
      <c r="E6" s="465" t="s">
        <v>887</v>
      </c>
      <c r="F6" s="465" t="s">
        <v>886</v>
      </c>
      <c r="G6" s="465" t="s">
        <v>885</v>
      </c>
      <c r="H6" s="547"/>
      <c r="I6" s="465" t="s">
        <v>888</v>
      </c>
      <c r="J6" s="465" t="s">
        <v>887</v>
      </c>
      <c r="K6" s="465" t="s">
        <v>886</v>
      </c>
      <c r="L6" s="465" t="s">
        <v>885</v>
      </c>
      <c r="M6" s="547"/>
      <c r="N6" s="465" t="s">
        <v>888</v>
      </c>
      <c r="O6" s="465" t="s">
        <v>887</v>
      </c>
      <c r="P6" s="465" t="s">
        <v>886</v>
      </c>
      <c r="Q6" s="465" t="s">
        <v>885</v>
      </c>
      <c r="R6" s="978"/>
      <c r="S6" s="978"/>
      <c r="T6" s="978"/>
      <c r="U6" s="978"/>
      <c r="V6" s="978"/>
    </row>
    <row r="7" spans="1:22">
      <c r="A7" s="545">
        <v>1</v>
      </c>
      <c r="B7" s="546" t="s">
        <v>686</v>
      </c>
      <c r="C7" s="756">
        <v>0</v>
      </c>
      <c r="D7" s="756">
        <v>0</v>
      </c>
      <c r="E7" s="756">
        <v>0</v>
      </c>
      <c r="F7" s="756">
        <v>0</v>
      </c>
      <c r="G7" s="756">
        <v>0</v>
      </c>
      <c r="H7" s="756">
        <v>0</v>
      </c>
      <c r="I7" s="756">
        <v>0</v>
      </c>
      <c r="J7" s="756">
        <v>0</v>
      </c>
      <c r="K7" s="756">
        <v>0</v>
      </c>
      <c r="L7" s="756">
        <v>0</v>
      </c>
      <c r="M7" s="756">
        <v>0</v>
      </c>
      <c r="N7" s="756">
        <v>0</v>
      </c>
      <c r="O7" s="756">
        <v>0</v>
      </c>
      <c r="P7" s="756">
        <v>0</v>
      </c>
      <c r="Q7" s="756">
        <v>0</v>
      </c>
      <c r="R7" s="756">
        <v>0</v>
      </c>
      <c r="S7" s="757">
        <v>0</v>
      </c>
      <c r="T7" s="757">
        <v>0</v>
      </c>
      <c r="U7" s="757">
        <v>0</v>
      </c>
      <c r="V7" s="756">
        <v>0</v>
      </c>
    </row>
    <row r="8" spans="1:22">
      <c r="A8" s="545">
        <v>2</v>
      </c>
      <c r="B8" s="544" t="s">
        <v>687</v>
      </c>
      <c r="C8" s="756">
        <v>3007656.7626739996</v>
      </c>
      <c r="D8" s="756">
        <v>2836325.4982539997</v>
      </c>
      <c r="E8" s="756">
        <v>35201.350000000006</v>
      </c>
      <c r="F8" s="756">
        <v>136129.91441999999</v>
      </c>
      <c r="G8" s="756">
        <v>0</v>
      </c>
      <c r="H8" s="756">
        <v>3026158.6929359995</v>
      </c>
      <c r="I8" s="756">
        <v>2853387.1085159997</v>
      </c>
      <c r="J8" s="756">
        <v>36208.100000000006</v>
      </c>
      <c r="K8" s="756">
        <v>136563.48441999999</v>
      </c>
      <c r="L8" s="756">
        <v>0</v>
      </c>
      <c r="M8" s="756">
        <v>120590.73237230915</v>
      </c>
      <c r="N8" s="756">
        <v>9967.6030924374536</v>
      </c>
      <c r="O8" s="756">
        <v>-1.8638073151977818E-14</v>
      </c>
      <c r="P8" s="756">
        <v>110623.12927987173</v>
      </c>
      <c r="Q8" s="756">
        <v>0</v>
      </c>
      <c r="R8" s="756">
        <v>92</v>
      </c>
      <c r="S8" s="757">
        <v>0.11477151412083163</v>
      </c>
      <c r="T8" s="757">
        <v>0.12882424200961126</v>
      </c>
      <c r="U8" s="757">
        <v>0.12015067575553429</v>
      </c>
      <c r="V8" s="756">
        <v>22.334598578438634</v>
      </c>
    </row>
    <row r="9" spans="1:22">
      <c r="A9" s="545">
        <v>3</v>
      </c>
      <c r="B9" s="544" t="s">
        <v>688</v>
      </c>
      <c r="C9" s="756">
        <v>0</v>
      </c>
      <c r="D9" s="756">
        <v>0</v>
      </c>
      <c r="E9" s="756">
        <v>0</v>
      </c>
      <c r="F9" s="756">
        <v>0</v>
      </c>
      <c r="G9" s="756">
        <v>0</v>
      </c>
      <c r="H9" s="756">
        <v>0</v>
      </c>
      <c r="I9" s="756">
        <v>0</v>
      </c>
      <c r="J9" s="756">
        <v>0</v>
      </c>
      <c r="K9" s="756">
        <v>0</v>
      </c>
      <c r="L9" s="756">
        <v>0</v>
      </c>
      <c r="M9" s="756">
        <v>0</v>
      </c>
      <c r="N9" s="756">
        <v>0</v>
      </c>
      <c r="O9" s="756">
        <v>0</v>
      </c>
      <c r="P9" s="756">
        <v>0</v>
      </c>
      <c r="Q9" s="756">
        <v>0</v>
      </c>
      <c r="R9" s="756"/>
      <c r="S9" s="757"/>
      <c r="T9" s="757"/>
      <c r="U9" s="757"/>
      <c r="V9" s="756"/>
    </row>
    <row r="10" spans="1:22">
      <c r="A10" s="545">
        <v>4</v>
      </c>
      <c r="B10" s="544" t="s">
        <v>689</v>
      </c>
      <c r="C10" s="756">
        <v>0</v>
      </c>
      <c r="D10" s="756">
        <v>0</v>
      </c>
      <c r="E10" s="756">
        <v>0</v>
      </c>
      <c r="F10" s="756">
        <v>0</v>
      </c>
      <c r="G10" s="756">
        <v>0</v>
      </c>
      <c r="H10" s="756">
        <v>0</v>
      </c>
      <c r="I10" s="756">
        <v>0</v>
      </c>
      <c r="J10" s="756">
        <v>0</v>
      </c>
      <c r="K10" s="756">
        <v>0</v>
      </c>
      <c r="L10" s="756">
        <v>0</v>
      </c>
      <c r="M10" s="756">
        <v>0</v>
      </c>
      <c r="N10" s="756">
        <v>0</v>
      </c>
      <c r="O10" s="756">
        <v>0</v>
      </c>
      <c r="P10" s="756">
        <v>0</v>
      </c>
      <c r="Q10" s="756">
        <v>0</v>
      </c>
      <c r="R10" s="756"/>
      <c r="S10" s="757"/>
      <c r="T10" s="757"/>
      <c r="U10" s="757"/>
      <c r="V10" s="756"/>
    </row>
    <row r="11" spans="1:22">
      <c r="A11" s="545">
        <v>5</v>
      </c>
      <c r="B11" s="544" t="s">
        <v>690</v>
      </c>
      <c r="C11" s="756">
        <v>19369.849999999999</v>
      </c>
      <c r="D11" s="756">
        <v>9226.119999999999</v>
      </c>
      <c r="E11" s="756">
        <v>0</v>
      </c>
      <c r="F11" s="756">
        <v>10143.73</v>
      </c>
      <c r="G11" s="756">
        <v>0</v>
      </c>
      <c r="H11" s="756">
        <v>19403.55</v>
      </c>
      <c r="I11" s="756">
        <v>9259.82</v>
      </c>
      <c r="J11" s="756">
        <v>0</v>
      </c>
      <c r="K11" s="756">
        <v>10143.73</v>
      </c>
      <c r="L11" s="756">
        <v>0</v>
      </c>
      <c r="M11" s="756">
        <v>93.101181542852885</v>
      </c>
      <c r="N11" s="756">
        <v>46.189837896013032</v>
      </c>
      <c r="O11" s="756">
        <v>0</v>
      </c>
      <c r="P11" s="756">
        <v>46.911343646839839</v>
      </c>
      <c r="Q11" s="756">
        <v>0</v>
      </c>
      <c r="R11" s="756">
        <v>24</v>
      </c>
      <c r="S11" s="757">
        <v>0.11000000000000001</v>
      </c>
      <c r="T11" s="757">
        <v>0.1157</v>
      </c>
      <c r="U11" s="757">
        <v>0.11675694330302744</v>
      </c>
      <c r="V11" s="756">
        <v>28.184695731823545</v>
      </c>
    </row>
    <row r="12" spans="1:22">
      <c r="A12" s="545">
        <v>6</v>
      </c>
      <c r="B12" s="544" t="s">
        <v>691</v>
      </c>
      <c r="C12" s="756">
        <v>0</v>
      </c>
      <c r="D12" s="756">
        <v>0</v>
      </c>
      <c r="E12" s="756">
        <v>0</v>
      </c>
      <c r="F12" s="756">
        <v>0</v>
      </c>
      <c r="G12" s="756">
        <v>0</v>
      </c>
      <c r="H12" s="756">
        <v>0</v>
      </c>
      <c r="I12" s="756">
        <v>0</v>
      </c>
      <c r="J12" s="756">
        <v>0</v>
      </c>
      <c r="K12" s="756">
        <v>0</v>
      </c>
      <c r="L12" s="756">
        <v>0</v>
      </c>
      <c r="M12" s="756">
        <v>0</v>
      </c>
      <c r="N12" s="756">
        <v>0</v>
      </c>
      <c r="O12" s="756">
        <v>0</v>
      </c>
      <c r="P12" s="756">
        <v>0</v>
      </c>
      <c r="Q12" s="756">
        <v>0</v>
      </c>
      <c r="R12" s="756"/>
      <c r="S12" s="757"/>
      <c r="T12" s="757"/>
      <c r="U12" s="757"/>
      <c r="V12" s="756"/>
    </row>
    <row r="13" spans="1:22">
      <c r="A13" s="545">
        <v>7</v>
      </c>
      <c r="B13" s="544" t="s">
        <v>692</v>
      </c>
      <c r="C13" s="758">
        <f>SUM(C14:C16)</f>
        <v>2191076.8659799998</v>
      </c>
      <c r="D13" s="758">
        <f t="shared" ref="D13:R13" si="0">SUM(D14:D16)</f>
        <v>1700204.4181119998</v>
      </c>
      <c r="E13" s="758">
        <f t="shared" si="0"/>
        <v>0</v>
      </c>
      <c r="F13" s="758">
        <f t="shared" si="0"/>
        <v>490872.44786800002</v>
      </c>
      <c r="G13" s="758">
        <f t="shared" si="0"/>
        <v>0</v>
      </c>
      <c r="H13" s="758">
        <f t="shared" si="0"/>
        <v>2207111.7229840001</v>
      </c>
      <c r="I13" s="758">
        <f t="shared" si="0"/>
        <v>1710322.6251159997</v>
      </c>
      <c r="J13" s="758">
        <f t="shared" si="0"/>
        <v>0</v>
      </c>
      <c r="K13" s="758">
        <f t="shared" si="0"/>
        <v>496789.09786800004</v>
      </c>
      <c r="L13" s="758">
        <f t="shared" si="0"/>
        <v>0</v>
      </c>
      <c r="M13" s="758">
        <f t="shared" si="0"/>
        <v>164105.60323181824</v>
      </c>
      <c r="N13" s="758">
        <f t="shared" si="0"/>
        <v>1450.8630669134288</v>
      </c>
      <c r="O13" s="758">
        <f t="shared" si="0"/>
        <v>0</v>
      </c>
      <c r="P13" s="758">
        <f t="shared" si="0"/>
        <v>162654.7401649048</v>
      </c>
      <c r="Q13" s="758">
        <f t="shared" si="0"/>
        <v>0</v>
      </c>
      <c r="R13" s="758">
        <f t="shared" si="0"/>
        <v>15</v>
      </c>
      <c r="S13" s="757">
        <v>0.1094906128443212</v>
      </c>
      <c r="T13" s="757">
        <v>0.1323974719614899</v>
      </c>
      <c r="U13" s="757">
        <v>0.11680414687347537</v>
      </c>
      <c r="V13" s="756">
        <v>56.439906453257109</v>
      </c>
    </row>
    <row r="14" spans="1:22">
      <c r="A14" s="539">
        <v>7.1</v>
      </c>
      <c r="B14" s="538" t="s">
        <v>693</v>
      </c>
      <c r="C14" s="756">
        <v>2004692.2027119999</v>
      </c>
      <c r="D14" s="756">
        <v>1570162.0827119998</v>
      </c>
      <c r="E14" s="756">
        <v>0</v>
      </c>
      <c r="F14" s="756">
        <v>434530.12</v>
      </c>
      <c r="G14" s="756">
        <v>0</v>
      </c>
      <c r="H14" s="756">
        <v>2019531.693212</v>
      </c>
      <c r="I14" s="756">
        <v>1579084.9232119997</v>
      </c>
      <c r="J14" s="756">
        <v>0</v>
      </c>
      <c r="K14" s="756">
        <v>440446.77</v>
      </c>
      <c r="L14" s="756">
        <v>0</v>
      </c>
      <c r="M14" s="756">
        <v>107727.90916972165</v>
      </c>
      <c r="N14" s="756">
        <v>1415.4968728168324</v>
      </c>
      <c r="O14" s="756">
        <v>0</v>
      </c>
      <c r="P14" s="756">
        <v>106312.4122969048</v>
      </c>
      <c r="Q14" s="756">
        <v>0</v>
      </c>
      <c r="R14" s="756">
        <v>12</v>
      </c>
      <c r="S14" s="757">
        <v>0.1094906128443212</v>
      </c>
      <c r="T14" s="757">
        <v>0.1323974719614899</v>
      </c>
      <c r="U14" s="757">
        <v>0.1167775406582723</v>
      </c>
      <c r="V14" s="756">
        <v>57.129158019594897</v>
      </c>
    </row>
    <row r="15" spans="1:22" ht="25.5">
      <c r="A15" s="539">
        <v>7.2</v>
      </c>
      <c r="B15" s="538" t="s">
        <v>694</v>
      </c>
      <c r="C15" s="756">
        <v>186384.663268</v>
      </c>
      <c r="D15" s="756">
        <v>130042.3354</v>
      </c>
      <c r="E15" s="756">
        <v>0</v>
      </c>
      <c r="F15" s="756">
        <v>56342.327867999993</v>
      </c>
      <c r="G15" s="756">
        <v>0</v>
      </c>
      <c r="H15" s="756">
        <v>187580.02977200001</v>
      </c>
      <c r="I15" s="756">
        <v>131237.70190399999</v>
      </c>
      <c r="J15" s="756">
        <v>0</v>
      </c>
      <c r="K15" s="756">
        <v>56342.327867999993</v>
      </c>
      <c r="L15" s="756">
        <v>0</v>
      </c>
      <c r="M15" s="756">
        <v>56377.694062096598</v>
      </c>
      <c r="N15" s="756">
        <v>35.366194096596523</v>
      </c>
      <c r="O15" s="756">
        <v>0</v>
      </c>
      <c r="P15" s="756">
        <v>56342.327868</v>
      </c>
      <c r="Q15" s="756">
        <v>0</v>
      </c>
      <c r="R15" s="756">
        <v>3</v>
      </c>
      <c r="S15" s="757"/>
      <c r="T15" s="757"/>
      <c r="U15" s="757">
        <v>0.11709031458291069</v>
      </c>
      <c r="V15" s="756">
        <v>49.026543054587165</v>
      </c>
    </row>
    <row r="16" spans="1:22">
      <c r="A16" s="539">
        <v>7.3</v>
      </c>
      <c r="B16" s="538" t="s">
        <v>695</v>
      </c>
      <c r="C16" s="756">
        <v>0</v>
      </c>
      <c r="D16" s="756">
        <v>0</v>
      </c>
      <c r="E16" s="756">
        <v>0</v>
      </c>
      <c r="F16" s="756">
        <v>0</v>
      </c>
      <c r="G16" s="756">
        <v>0</v>
      </c>
      <c r="H16" s="756">
        <v>0</v>
      </c>
      <c r="I16" s="756">
        <v>0</v>
      </c>
      <c r="J16" s="756">
        <v>0</v>
      </c>
      <c r="K16" s="756">
        <v>0</v>
      </c>
      <c r="L16" s="756">
        <v>0</v>
      </c>
      <c r="M16" s="756">
        <v>0</v>
      </c>
      <c r="N16" s="756">
        <v>0</v>
      </c>
      <c r="O16" s="756">
        <v>0</v>
      </c>
      <c r="P16" s="756">
        <v>0</v>
      </c>
      <c r="Q16" s="756">
        <v>0</v>
      </c>
      <c r="R16" s="756"/>
      <c r="S16" s="757"/>
      <c r="T16" s="757"/>
      <c r="U16" s="757"/>
      <c r="V16" s="756"/>
    </row>
    <row r="17" spans="1:22">
      <c r="A17" s="545">
        <v>8</v>
      </c>
      <c r="B17" s="544" t="s">
        <v>696</v>
      </c>
      <c r="C17" s="756">
        <v>0</v>
      </c>
      <c r="D17" s="756">
        <v>0</v>
      </c>
      <c r="E17" s="756">
        <v>0</v>
      </c>
      <c r="F17" s="756">
        <v>0</v>
      </c>
      <c r="G17" s="756">
        <v>0</v>
      </c>
      <c r="H17" s="756">
        <v>0</v>
      </c>
      <c r="I17" s="756">
        <v>0</v>
      </c>
      <c r="J17" s="756">
        <v>0</v>
      </c>
      <c r="K17" s="756">
        <v>0</v>
      </c>
      <c r="L17" s="756">
        <v>0</v>
      </c>
      <c r="M17" s="756">
        <v>0</v>
      </c>
      <c r="N17" s="756">
        <v>0</v>
      </c>
      <c r="O17" s="756">
        <v>0</v>
      </c>
      <c r="P17" s="756">
        <v>0</v>
      </c>
      <c r="Q17" s="756">
        <v>0</v>
      </c>
      <c r="R17" s="756"/>
      <c r="S17" s="757"/>
      <c r="T17" s="757"/>
      <c r="U17" s="757"/>
      <c r="V17" s="756"/>
    </row>
    <row r="18" spans="1:22">
      <c r="A18" s="543">
        <v>9</v>
      </c>
      <c r="B18" s="542" t="s">
        <v>697</v>
      </c>
      <c r="C18" s="759">
        <v>0</v>
      </c>
      <c r="D18" s="759">
        <v>0</v>
      </c>
      <c r="E18" s="759">
        <v>0</v>
      </c>
      <c r="F18" s="759">
        <v>0</v>
      </c>
      <c r="G18" s="759">
        <v>0</v>
      </c>
      <c r="H18" s="759">
        <v>0</v>
      </c>
      <c r="I18" s="759">
        <v>0</v>
      </c>
      <c r="J18" s="759">
        <v>0</v>
      </c>
      <c r="K18" s="759">
        <v>0</v>
      </c>
      <c r="L18" s="759">
        <v>0</v>
      </c>
      <c r="M18" s="759">
        <v>0</v>
      </c>
      <c r="N18" s="759">
        <v>0</v>
      </c>
      <c r="O18" s="759">
        <v>0</v>
      </c>
      <c r="P18" s="759">
        <v>0</v>
      </c>
      <c r="Q18" s="759">
        <v>0</v>
      </c>
      <c r="R18" s="759"/>
      <c r="S18" s="760"/>
      <c r="T18" s="760"/>
      <c r="U18" s="760"/>
      <c r="V18" s="759"/>
    </row>
    <row r="19" spans="1:22">
      <c r="A19" s="541">
        <v>10</v>
      </c>
      <c r="B19" s="540" t="s">
        <v>713</v>
      </c>
      <c r="C19" s="758">
        <f>SUM(C7:C13)</f>
        <v>5218103.478653999</v>
      </c>
      <c r="D19" s="758">
        <f t="shared" ref="D19:R19" si="1">SUM(D7:D13)</f>
        <v>4545756.0363659998</v>
      </c>
      <c r="E19" s="758">
        <f>SUM(E7:E13)</f>
        <v>35201.350000000006</v>
      </c>
      <c r="F19" s="758">
        <f t="shared" si="1"/>
        <v>637146.09228800004</v>
      </c>
      <c r="G19" s="758">
        <f t="shared" si="1"/>
        <v>0</v>
      </c>
      <c r="H19" s="758">
        <f t="shared" si="1"/>
        <v>5252673.9659199994</v>
      </c>
      <c r="I19" s="758">
        <f t="shared" si="1"/>
        <v>4572969.5536319995</v>
      </c>
      <c r="J19" s="758">
        <f>SUM(J7:J13)</f>
        <v>36208.100000000006</v>
      </c>
      <c r="K19" s="758">
        <f t="shared" si="1"/>
        <v>643496.31228800002</v>
      </c>
      <c r="L19" s="758">
        <f t="shared" si="1"/>
        <v>0</v>
      </c>
      <c r="M19" s="758">
        <f t="shared" si="1"/>
        <v>284789.43678567023</v>
      </c>
      <c r="N19" s="758">
        <f t="shared" si="1"/>
        <v>11464.655997246895</v>
      </c>
      <c r="O19" s="758">
        <f t="shared" si="1"/>
        <v>-1.8638073151977818E-14</v>
      </c>
      <c r="P19" s="758">
        <f t="shared" si="1"/>
        <v>273324.78078842338</v>
      </c>
      <c r="Q19" s="758">
        <f t="shared" si="1"/>
        <v>0</v>
      </c>
      <c r="R19" s="758">
        <f t="shared" si="1"/>
        <v>131</v>
      </c>
      <c r="S19" s="757">
        <v>0.11368220230411261</v>
      </c>
      <c r="T19" s="757">
        <v>0.12953983635480698</v>
      </c>
      <c r="U19" s="757">
        <v>0.11859163392318221</v>
      </c>
      <c r="V19" s="756">
        <v>36.920570178418707</v>
      </c>
    </row>
    <row r="20" spans="1:22" ht="25.5">
      <c r="A20" s="539">
        <v>10.1</v>
      </c>
      <c r="B20" s="538" t="s">
        <v>716</v>
      </c>
      <c r="C20" s="533"/>
      <c r="D20" s="533"/>
      <c r="E20" s="533"/>
      <c r="F20" s="533"/>
      <c r="G20" s="533"/>
      <c r="H20" s="533"/>
      <c r="I20" s="533"/>
      <c r="J20" s="533"/>
      <c r="K20" s="533"/>
      <c r="L20" s="533"/>
      <c r="M20" s="533"/>
      <c r="N20" s="533"/>
      <c r="O20" s="533"/>
      <c r="P20" s="533"/>
      <c r="Q20" s="533"/>
      <c r="R20" s="533"/>
      <c r="S20" s="757"/>
      <c r="T20" s="757"/>
      <c r="U20" s="757"/>
      <c r="V20" s="533"/>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9"/>
  <sheetViews>
    <sheetView showGridLines="0" zoomScale="90" zoomScaleNormal="90" workbookViewId="0">
      <selection activeCell="B4" sqref="B4:B5"/>
    </sheetView>
  </sheetViews>
  <sheetFormatPr defaultRowHeight="15"/>
  <cols>
    <col min="1" max="1" width="8.7109375" style="435"/>
    <col min="2" max="2" width="69.28515625" style="422" customWidth="1"/>
    <col min="3" max="3" width="16.140625" bestFit="1" customWidth="1"/>
    <col min="4" max="5" width="16.28515625" bestFit="1" customWidth="1"/>
    <col min="6" max="6" width="18.85546875" customWidth="1"/>
    <col min="7" max="7" width="13" bestFit="1" customWidth="1"/>
    <col min="8" max="8" width="13.28515625" bestFit="1" customWidth="1"/>
  </cols>
  <sheetData>
    <row r="1" spans="1:8" ht="15.75">
      <c r="A1" s="17" t="s">
        <v>108</v>
      </c>
      <c r="B1" s="603" t="str">
        <f>'1. key ratios'!B1</f>
        <v>სს იშბანკი საქართველო</v>
      </c>
      <c r="C1" s="16"/>
      <c r="D1" s="218"/>
      <c r="E1" s="218"/>
      <c r="F1" s="218"/>
      <c r="G1" s="218"/>
    </row>
    <row r="2" spans="1:8" ht="15.75">
      <c r="A2" s="17" t="s">
        <v>109</v>
      </c>
      <c r="B2" s="604">
        <f>'1. key ratios'!B2</f>
        <v>45657</v>
      </c>
      <c r="C2" s="29"/>
      <c r="D2" s="18"/>
      <c r="E2" s="18"/>
      <c r="F2" s="18"/>
      <c r="G2" s="18"/>
      <c r="H2" s="1"/>
    </row>
    <row r="3" spans="1:8" ht="16.5" thickBot="1">
      <c r="A3" s="17"/>
      <c r="B3" s="16"/>
      <c r="C3" s="29"/>
      <c r="D3" s="18"/>
      <c r="E3" s="18"/>
      <c r="F3" s="18"/>
      <c r="G3" s="18"/>
      <c r="H3" s="1"/>
    </row>
    <row r="4" spans="1:8" ht="21" customHeight="1">
      <c r="A4" s="864" t="s">
        <v>25</v>
      </c>
      <c r="B4" s="866" t="s">
        <v>725</v>
      </c>
      <c r="C4" s="868" t="s">
        <v>114</v>
      </c>
      <c r="D4" s="868"/>
      <c r="E4" s="868"/>
      <c r="F4" s="868" t="s">
        <v>115</v>
      </c>
      <c r="G4" s="868"/>
      <c r="H4" s="869"/>
    </row>
    <row r="5" spans="1:8" ht="21" customHeight="1">
      <c r="A5" s="865"/>
      <c r="B5" s="867"/>
      <c r="C5" s="806" t="s">
        <v>26</v>
      </c>
      <c r="D5" s="806" t="s">
        <v>88</v>
      </c>
      <c r="E5" s="806" t="s">
        <v>66</v>
      </c>
      <c r="F5" s="806" t="s">
        <v>26</v>
      </c>
      <c r="G5" s="806" t="s">
        <v>88</v>
      </c>
      <c r="H5" s="807" t="s">
        <v>66</v>
      </c>
    </row>
    <row r="6" spans="1:8" ht="26.45" customHeight="1">
      <c r="A6" s="865"/>
      <c r="B6" s="808" t="s">
        <v>95</v>
      </c>
      <c r="C6" s="870"/>
      <c r="D6" s="871"/>
      <c r="E6" s="871"/>
      <c r="F6" s="871"/>
      <c r="G6" s="871"/>
      <c r="H6" s="872"/>
    </row>
    <row r="7" spans="1:8" ht="23.1" customHeight="1">
      <c r="A7" s="809">
        <v>1</v>
      </c>
      <c r="B7" s="810" t="s">
        <v>839</v>
      </c>
      <c r="C7" s="789">
        <f>SUM(C8:C10)</f>
        <v>5643034.2737126127</v>
      </c>
      <c r="D7" s="789">
        <f>SUM(D8:D10)</f>
        <v>82353631.494010046</v>
      </c>
      <c r="E7" s="811">
        <f>C7+D7</f>
        <v>87996665.767722666</v>
      </c>
      <c r="F7" s="797">
        <f>SUM(F8:F10)</f>
        <v>31005326.267321486</v>
      </c>
      <c r="G7" s="789">
        <f>SUM(G8:G10)</f>
        <v>82269021.023203075</v>
      </c>
      <c r="H7" s="798">
        <f>F7+G7</f>
        <v>113274347.29052456</v>
      </c>
    </row>
    <row r="8" spans="1:8">
      <c r="A8" s="809">
        <v>1.1000000000000001</v>
      </c>
      <c r="B8" s="812" t="s">
        <v>96</v>
      </c>
      <c r="C8" s="617">
        <v>425892.95</v>
      </c>
      <c r="D8" s="617">
        <v>1286033.8574999999</v>
      </c>
      <c r="E8" s="813">
        <f t="shared" ref="E8:E36" si="0">C8+D8</f>
        <v>1711926.8074999999</v>
      </c>
      <c r="F8" s="799">
        <v>430464.3</v>
      </c>
      <c r="G8" s="617">
        <v>1416727.0799999998</v>
      </c>
      <c r="H8" s="798">
        <f t="shared" ref="H8:H36" si="1">F8+G8</f>
        <v>1847191.38</v>
      </c>
    </row>
    <row r="9" spans="1:8">
      <c r="A9" s="809">
        <v>1.2</v>
      </c>
      <c r="B9" s="812" t="s">
        <v>97</v>
      </c>
      <c r="C9" s="617">
        <v>5212889.0237908904</v>
      </c>
      <c r="D9" s="617">
        <v>41399528.18780192</v>
      </c>
      <c r="E9" s="813">
        <f t="shared" si="0"/>
        <v>46612417.211592808</v>
      </c>
      <c r="F9" s="799">
        <v>4654026.1187735666</v>
      </c>
      <c r="G9" s="617">
        <v>35987745.741156571</v>
      </c>
      <c r="H9" s="798">
        <f t="shared" si="1"/>
        <v>40641771.859930135</v>
      </c>
    </row>
    <row r="10" spans="1:8">
      <c r="A10" s="809">
        <v>1.3</v>
      </c>
      <c r="B10" s="812" t="s">
        <v>98</v>
      </c>
      <c r="C10" s="617">
        <v>4252.2999217221413</v>
      </c>
      <c r="D10" s="617">
        <v>39668069.448708124</v>
      </c>
      <c r="E10" s="813">
        <f t="shared" si="0"/>
        <v>39672321.748629846</v>
      </c>
      <c r="F10" s="799">
        <v>25920835.848547921</v>
      </c>
      <c r="G10" s="617">
        <v>44864548.202046506</v>
      </c>
      <c r="H10" s="798">
        <f t="shared" si="1"/>
        <v>70785384.050594419</v>
      </c>
    </row>
    <row r="11" spans="1:8">
      <c r="A11" s="809">
        <v>2</v>
      </c>
      <c r="B11" s="814" t="s">
        <v>726</v>
      </c>
      <c r="C11" s="617"/>
      <c r="D11" s="617"/>
      <c r="E11" s="813">
        <f t="shared" si="0"/>
        <v>0</v>
      </c>
      <c r="F11" s="799"/>
      <c r="G11" s="617"/>
      <c r="H11" s="798">
        <f t="shared" si="1"/>
        <v>0</v>
      </c>
    </row>
    <row r="12" spans="1:8">
      <c r="A12" s="809">
        <v>2.1</v>
      </c>
      <c r="B12" s="815" t="s">
        <v>727</v>
      </c>
      <c r="C12" s="617"/>
      <c r="D12" s="617"/>
      <c r="E12" s="813">
        <f t="shared" si="0"/>
        <v>0</v>
      </c>
      <c r="F12" s="799"/>
      <c r="G12" s="617"/>
      <c r="H12" s="798">
        <f t="shared" si="1"/>
        <v>0</v>
      </c>
    </row>
    <row r="13" spans="1:8" ht="26.45" customHeight="1">
      <c r="A13" s="809">
        <v>3</v>
      </c>
      <c r="B13" s="399" t="s">
        <v>728</v>
      </c>
      <c r="C13" s="617"/>
      <c r="D13" s="617"/>
      <c r="E13" s="813">
        <f t="shared" si="0"/>
        <v>0</v>
      </c>
      <c r="F13" s="799"/>
      <c r="G13" s="617"/>
      <c r="H13" s="798">
        <f t="shared" si="1"/>
        <v>0</v>
      </c>
    </row>
    <row r="14" spans="1:8" ht="26.45" customHeight="1">
      <c r="A14" s="809">
        <v>4</v>
      </c>
      <c r="B14" s="400" t="s">
        <v>729</v>
      </c>
      <c r="C14" s="617"/>
      <c r="D14" s="617"/>
      <c r="E14" s="813">
        <f t="shared" si="0"/>
        <v>0</v>
      </c>
      <c r="F14" s="799"/>
      <c r="G14" s="617"/>
      <c r="H14" s="798">
        <f t="shared" si="1"/>
        <v>0</v>
      </c>
    </row>
    <row r="15" spans="1:8" ht="24.6" customHeight="1">
      <c r="A15" s="809">
        <v>5</v>
      </c>
      <c r="B15" s="400" t="s">
        <v>730</v>
      </c>
      <c r="C15" s="801">
        <f>SUM(C16:C18)</f>
        <v>0</v>
      </c>
      <c r="D15" s="801">
        <f>SUM(D16:D18)</f>
        <v>0</v>
      </c>
      <c r="E15" s="816">
        <f t="shared" si="0"/>
        <v>0</v>
      </c>
      <c r="F15" s="800">
        <f>SUM(F16:F18)</f>
        <v>0</v>
      </c>
      <c r="G15" s="801">
        <f>SUM(G16:G18)</f>
        <v>0</v>
      </c>
      <c r="H15" s="802">
        <f t="shared" si="1"/>
        <v>0</v>
      </c>
    </row>
    <row r="16" spans="1:8">
      <c r="A16" s="809">
        <v>5.0999999999999996</v>
      </c>
      <c r="B16" s="401" t="s">
        <v>731</v>
      </c>
      <c r="C16" s="617"/>
      <c r="D16" s="617"/>
      <c r="E16" s="813">
        <f t="shared" si="0"/>
        <v>0</v>
      </c>
      <c r="F16" s="799"/>
      <c r="G16" s="617"/>
      <c r="H16" s="798">
        <f t="shared" si="1"/>
        <v>0</v>
      </c>
    </row>
    <row r="17" spans="1:8">
      <c r="A17" s="809">
        <v>5.2</v>
      </c>
      <c r="B17" s="401" t="s">
        <v>565</v>
      </c>
      <c r="C17" s="617"/>
      <c r="D17" s="617"/>
      <c r="E17" s="813">
        <f t="shared" si="0"/>
        <v>0</v>
      </c>
      <c r="F17" s="799"/>
      <c r="G17" s="617">
        <v>0</v>
      </c>
      <c r="H17" s="798">
        <f t="shared" si="1"/>
        <v>0</v>
      </c>
    </row>
    <row r="18" spans="1:8">
      <c r="A18" s="809">
        <v>5.3</v>
      </c>
      <c r="B18" s="401" t="s">
        <v>732</v>
      </c>
      <c r="C18" s="617"/>
      <c r="D18" s="617"/>
      <c r="E18" s="813">
        <f t="shared" si="0"/>
        <v>0</v>
      </c>
      <c r="F18" s="799"/>
      <c r="G18" s="617"/>
      <c r="H18" s="798">
        <f t="shared" si="1"/>
        <v>0</v>
      </c>
    </row>
    <row r="19" spans="1:8">
      <c r="A19" s="809">
        <v>6</v>
      </c>
      <c r="B19" s="399" t="s">
        <v>733</v>
      </c>
      <c r="C19" s="789">
        <f>SUM(C20:C21)</f>
        <v>191553907.85861251</v>
      </c>
      <c r="D19" s="789">
        <f>SUM(D20:D21)</f>
        <v>188261471.22757697</v>
      </c>
      <c r="E19" s="811">
        <f t="shared" si="0"/>
        <v>379815379.08618951</v>
      </c>
      <c r="F19" s="797">
        <f>SUM(F20:F21)</f>
        <v>149529024.87302142</v>
      </c>
      <c r="G19" s="789">
        <f>SUM(G20:G21)</f>
        <v>190825763.26574636</v>
      </c>
      <c r="H19" s="798">
        <f t="shared" si="1"/>
        <v>340354788.13876778</v>
      </c>
    </row>
    <row r="20" spans="1:8">
      <c r="A20" s="809">
        <v>6.1</v>
      </c>
      <c r="B20" s="401" t="s">
        <v>565</v>
      </c>
      <c r="C20" s="617">
        <v>42032718.790847979</v>
      </c>
      <c r="D20" s="617">
        <v>14181624.769055314</v>
      </c>
      <c r="E20" s="813">
        <f t="shared" si="0"/>
        <v>56214343.559903294</v>
      </c>
      <c r="F20" s="799">
        <v>52293655.767584018</v>
      </c>
      <c r="G20" s="617">
        <v>17574431.251907825</v>
      </c>
      <c r="H20" s="798">
        <f t="shared" si="1"/>
        <v>69868087.019491851</v>
      </c>
    </row>
    <row r="21" spans="1:8">
      <c r="A21" s="809">
        <v>6.2</v>
      </c>
      <c r="B21" s="401" t="s">
        <v>732</v>
      </c>
      <c r="C21" s="616">
        <v>149521189.06776452</v>
      </c>
      <c r="D21" s="617">
        <v>174079846.45852166</v>
      </c>
      <c r="E21" s="813">
        <f t="shared" si="0"/>
        <v>323601035.52628618</v>
      </c>
      <c r="F21" s="799">
        <v>97235369.105437398</v>
      </c>
      <c r="G21" s="617">
        <v>173251332.01383853</v>
      </c>
      <c r="H21" s="798">
        <f t="shared" si="1"/>
        <v>270486701.11927593</v>
      </c>
    </row>
    <row r="22" spans="1:8">
      <c r="A22" s="809">
        <v>7</v>
      </c>
      <c r="B22" s="402" t="s">
        <v>734</v>
      </c>
      <c r="C22" s="617"/>
      <c r="D22" s="617"/>
      <c r="E22" s="813">
        <f t="shared" si="0"/>
        <v>0</v>
      </c>
      <c r="F22" s="799"/>
      <c r="G22" s="617"/>
      <c r="H22" s="798">
        <f t="shared" si="1"/>
        <v>0</v>
      </c>
    </row>
    <row r="23" spans="1:8" ht="21">
      <c r="A23" s="809">
        <v>8</v>
      </c>
      <c r="B23" s="403" t="s">
        <v>735</v>
      </c>
      <c r="C23" s="617"/>
      <c r="D23" s="617"/>
      <c r="E23" s="813">
        <f t="shared" si="0"/>
        <v>0</v>
      </c>
      <c r="F23" s="799"/>
      <c r="G23" s="617"/>
      <c r="H23" s="798">
        <f t="shared" si="1"/>
        <v>0</v>
      </c>
    </row>
    <row r="24" spans="1:8">
      <c r="A24" s="809">
        <v>9</v>
      </c>
      <c r="B24" s="400" t="s">
        <v>736</v>
      </c>
      <c r="C24" s="789">
        <f>SUM(C25:C26)</f>
        <v>6782728.7300000004</v>
      </c>
      <c r="D24" s="789">
        <f>SUM(D25:D26)</f>
        <v>0</v>
      </c>
      <c r="E24" s="811">
        <f t="shared" si="0"/>
        <v>6782728.7300000004</v>
      </c>
      <c r="F24" s="797">
        <f>SUM(F25:F26)</f>
        <v>7818769.0599999987</v>
      </c>
      <c r="G24" s="789">
        <f>SUM(G25:G26)</f>
        <v>0</v>
      </c>
      <c r="H24" s="798">
        <f t="shared" si="1"/>
        <v>7818769.0599999987</v>
      </c>
    </row>
    <row r="25" spans="1:8">
      <c r="A25" s="809">
        <v>9.1</v>
      </c>
      <c r="B25" s="404" t="s">
        <v>737</v>
      </c>
      <c r="C25" s="617">
        <v>6782728.7300000004</v>
      </c>
      <c r="D25" s="617"/>
      <c r="E25" s="813">
        <f t="shared" si="0"/>
        <v>6782728.7300000004</v>
      </c>
      <c r="F25" s="799">
        <v>7818769.0599999987</v>
      </c>
      <c r="G25" s="617"/>
      <c r="H25" s="798">
        <f t="shared" si="1"/>
        <v>7818769.0599999987</v>
      </c>
    </row>
    <row r="26" spans="1:8">
      <c r="A26" s="809">
        <v>9.1999999999999993</v>
      </c>
      <c r="B26" s="404" t="s">
        <v>738</v>
      </c>
      <c r="C26" s="617"/>
      <c r="D26" s="617"/>
      <c r="E26" s="813">
        <f t="shared" si="0"/>
        <v>0</v>
      </c>
      <c r="F26" s="799"/>
      <c r="G26" s="617"/>
      <c r="H26" s="798">
        <f t="shared" si="1"/>
        <v>0</v>
      </c>
    </row>
    <row r="27" spans="1:8">
      <c r="A27" s="809">
        <v>10</v>
      </c>
      <c r="B27" s="400" t="s">
        <v>36</v>
      </c>
      <c r="C27" s="789">
        <f>SUM(C28:C29)</f>
        <v>2727053.4502263302</v>
      </c>
      <c r="D27" s="789">
        <f>SUM(D28:D29)</f>
        <v>0</v>
      </c>
      <c r="E27" s="811">
        <f t="shared" si="0"/>
        <v>2727053.4502263302</v>
      </c>
      <c r="F27" s="797">
        <f>SUM(F28:F29)</f>
        <v>166203.18946849319</v>
      </c>
      <c r="G27" s="789">
        <f>SUM(G28:G29)</f>
        <v>0</v>
      </c>
      <c r="H27" s="798">
        <f t="shared" si="1"/>
        <v>166203.18946849319</v>
      </c>
    </row>
    <row r="28" spans="1:8">
      <c r="A28" s="809">
        <v>10.1</v>
      </c>
      <c r="B28" s="404" t="s">
        <v>739</v>
      </c>
      <c r="C28" s="617"/>
      <c r="D28" s="617"/>
      <c r="E28" s="813">
        <f t="shared" si="0"/>
        <v>0</v>
      </c>
      <c r="F28" s="799"/>
      <c r="G28" s="617"/>
      <c r="H28" s="798">
        <f t="shared" si="1"/>
        <v>0</v>
      </c>
    </row>
    <row r="29" spans="1:8">
      <c r="A29" s="809">
        <v>10.199999999999999</v>
      </c>
      <c r="B29" s="404" t="s">
        <v>740</v>
      </c>
      <c r="C29" s="617">
        <v>2727053.4502263302</v>
      </c>
      <c r="D29" s="617"/>
      <c r="E29" s="813">
        <f t="shared" si="0"/>
        <v>2727053.4502263302</v>
      </c>
      <c r="F29" s="799">
        <v>166203.18946849319</v>
      </c>
      <c r="G29" s="617"/>
      <c r="H29" s="798">
        <f t="shared" si="1"/>
        <v>166203.18946849319</v>
      </c>
    </row>
    <row r="30" spans="1:8">
      <c r="A30" s="809">
        <v>11</v>
      </c>
      <c r="B30" s="400" t="s">
        <v>741</v>
      </c>
      <c r="C30" s="789">
        <f>SUM(C31:C32)</f>
        <v>6617042.8200000003</v>
      </c>
      <c r="D30" s="789">
        <f>SUM(D31:D32)</f>
        <v>0</v>
      </c>
      <c r="E30" s="811">
        <f t="shared" si="0"/>
        <v>6617042.8200000003</v>
      </c>
      <c r="F30" s="797">
        <f>SUM(F31:F32)</f>
        <v>4919148.09</v>
      </c>
      <c r="G30" s="789">
        <f>SUM(G31:G32)</f>
        <v>0</v>
      </c>
      <c r="H30" s="798">
        <f t="shared" si="1"/>
        <v>4919148.09</v>
      </c>
    </row>
    <row r="31" spans="1:8">
      <c r="A31" s="809">
        <v>11.1</v>
      </c>
      <c r="B31" s="404" t="s">
        <v>742</v>
      </c>
      <c r="C31" s="617">
        <v>6617042.8200000003</v>
      </c>
      <c r="D31" s="617"/>
      <c r="E31" s="813">
        <f t="shared" si="0"/>
        <v>6617042.8200000003</v>
      </c>
      <c r="F31" s="799">
        <v>4919148.09</v>
      </c>
      <c r="G31" s="617"/>
      <c r="H31" s="798">
        <f t="shared" si="1"/>
        <v>4919148.09</v>
      </c>
    </row>
    <row r="32" spans="1:8">
      <c r="A32" s="809">
        <v>11.2</v>
      </c>
      <c r="B32" s="404" t="s">
        <v>743</v>
      </c>
      <c r="C32" s="617"/>
      <c r="D32" s="617"/>
      <c r="E32" s="813">
        <f t="shared" si="0"/>
        <v>0</v>
      </c>
      <c r="F32" s="799"/>
      <c r="G32" s="617"/>
      <c r="H32" s="798">
        <f t="shared" si="1"/>
        <v>0</v>
      </c>
    </row>
    <row r="33" spans="1:8">
      <c r="A33" s="809">
        <v>13</v>
      </c>
      <c r="B33" s="400" t="s">
        <v>99</v>
      </c>
      <c r="C33" s="789">
        <v>4183606.13</v>
      </c>
      <c r="D33" s="789">
        <v>1824398.587908</v>
      </c>
      <c r="E33" s="811">
        <f t="shared" si="0"/>
        <v>6008004.7179079996</v>
      </c>
      <c r="F33" s="797">
        <v>3029195.3600000003</v>
      </c>
      <c r="G33" s="789">
        <v>219406.21</v>
      </c>
      <c r="H33" s="798">
        <f t="shared" si="1"/>
        <v>3248601.5700000003</v>
      </c>
    </row>
    <row r="34" spans="1:8">
      <c r="A34" s="809">
        <v>13.1</v>
      </c>
      <c r="B34" s="817" t="s">
        <v>744</v>
      </c>
      <c r="C34" s="617">
        <v>1349093.18</v>
      </c>
      <c r="D34" s="617"/>
      <c r="E34" s="813">
        <f t="shared" si="0"/>
        <v>1349093.18</v>
      </c>
      <c r="F34" s="799">
        <v>1349093.18</v>
      </c>
      <c r="G34" s="617"/>
      <c r="H34" s="798">
        <f t="shared" si="1"/>
        <v>1349093.18</v>
      </c>
    </row>
    <row r="35" spans="1:8">
      <c r="A35" s="809">
        <v>13.2</v>
      </c>
      <c r="B35" s="817" t="s">
        <v>745</v>
      </c>
      <c r="C35" s="617"/>
      <c r="D35" s="617"/>
      <c r="E35" s="813">
        <f t="shared" si="0"/>
        <v>0</v>
      </c>
      <c r="F35" s="799"/>
      <c r="G35" s="617"/>
      <c r="H35" s="798">
        <f t="shared" si="1"/>
        <v>0</v>
      </c>
    </row>
    <row r="36" spans="1:8">
      <c r="A36" s="809">
        <v>14</v>
      </c>
      <c r="B36" s="818" t="s">
        <v>746</v>
      </c>
      <c r="C36" s="789">
        <f>SUM(C7,C11,C13,C14,C15,C19,C22,C23,C24,C27,C30,C33)</f>
        <v>217507373.26255143</v>
      </c>
      <c r="D36" s="789">
        <f>SUM(D7,D11,D13,D14,D15,D19,D22,D23,D24,D27,D30,D33)</f>
        <v>272439501.30949503</v>
      </c>
      <c r="E36" s="811">
        <f t="shared" si="0"/>
        <v>489946874.57204646</v>
      </c>
      <c r="F36" s="797">
        <f>SUM(F7,F11,F13,F14,F15,F19,F22,F23,F24,F27,F30,F33)</f>
        <v>196467666.83981144</v>
      </c>
      <c r="G36" s="789">
        <f>SUM(G7,G11,G13,G14,G15,G19,G22,G23,G24,G27,G30,G33)</f>
        <v>273314190.49894941</v>
      </c>
      <c r="H36" s="798">
        <f t="shared" si="1"/>
        <v>469781857.33876085</v>
      </c>
    </row>
    <row r="37" spans="1:8" ht="22.5" customHeight="1">
      <c r="A37" s="809"/>
      <c r="B37" s="819" t="s">
        <v>104</v>
      </c>
      <c r="C37" s="861"/>
      <c r="D37" s="862"/>
      <c r="E37" s="862"/>
      <c r="F37" s="862"/>
      <c r="G37" s="862"/>
      <c r="H37" s="863"/>
    </row>
    <row r="38" spans="1:8">
      <c r="A38" s="809">
        <v>15</v>
      </c>
      <c r="B38" s="408" t="s">
        <v>747</v>
      </c>
      <c r="C38" s="617"/>
      <c r="D38" s="617"/>
      <c r="E38" s="813">
        <f>C38+D38</f>
        <v>0</v>
      </c>
      <c r="F38" s="799"/>
      <c r="G38" s="617"/>
      <c r="H38" s="798">
        <f>F38+G38</f>
        <v>0</v>
      </c>
    </row>
    <row r="39" spans="1:8">
      <c r="A39" s="809">
        <v>15.1</v>
      </c>
      <c r="B39" s="815" t="s">
        <v>727</v>
      </c>
      <c r="C39" s="617"/>
      <c r="D39" s="617"/>
      <c r="E39" s="813">
        <f t="shared" ref="E39:E53" si="2">C39+D39</f>
        <v>0</v>
      </c>
      <c r="F39" s="799"/>
      <c r="G39" s="617"/>
      <c r="H39" s="798">
        <f t="shared" ref="H39:H53" si="3">F39+G39</f>
        <v>0</v>
      </c>
    </row>
    <row r="40" spans="1:8" ht="24" customHeight="1">
      <c r="A40" s="809">
        <v>16</v>
      </c>
      <c r="B40" s="402" t="s">
        <v>748</v>
      </c>
      <c r="C40" s="617"/>
      <c r="D40" s="617"/>
      <c r="E40" s="813">
        <f t="shared" si="2"/>
        <v>0</v>
      </c>
      <c r="F40" s="799"/>
      <c r="G40" s="617"/>
      <c r="H40" s="798">
        <f t="shared" si="3"/>
        <v>0</v>
      </c>
    </row>
    <row r="41" spans="1:8" ht="21">
      <c r="A41" s="809">
        <v>17</v>
      </c>
      <c r="B41" s="402" t="s">
        <v>749</v>
      </c>
      <c r="C41" s="789">
        <f>SUM(C42:C45)</f>
        <v>60925448.509162992</v>
      </c>
      <c r="D41" s="789">
        <f>SUM(D42:D45)</f>
        <v>272974671.01899296</v>
      </c>
      <c r="E41" s="811">
        <f t="shared" si="2"/>
        <v>333900119.52815592</v>
      </c>
      <c r="F41" s="797">
        <f>SUM(F42:F45)</f>
        <v>52276060.459999964</v>
      </c>
      <c r="G41" s="789">
        <f>SUM(G42:G45)</f>
        <v>274993425.57999998</v>
      </c>
      <c r="H41" s="798">
        <f t="shared" si="3"/>
        <v>327269486.03999996</v>
      </c>
    </row>
    <row r="42" spans="1:8">
      <c r="A42" s="809">
        <v>17.100000000000001</v>
      </c>
      <c r="B42" s="410" t="s">
        <v>750</v>
      </c>
      <c r="C42" s="617">
        <v>32889058.098204091</v>
      </c>
      <c r="D42" s="617">
        <v>197837216.36267692</v>
      </c>
      <c r="E42" s="813">
        <f t="shared" si="2"/>
        <v>230726274.46088099</v>
      </c>
      <c r="F42" s="799">
        <v>52276060.459999964</v>
      </c>
      <c r="G42" s="617">
        <v>230677944.40000001</v>
      </c>
      <c r="H42" s="798">
        <f t="shared" si="3"/>
        <v>282954004.85999995</v>
      </c>
    </row>
    <row r="43" spans="1:8">
      <c r="A43" s="809">
        <v>17.2</v>
      </c>
      <c r="B43" s="812" t="s">
        <v>100</v>
      </c>
      <c r="C43" s="617">
        <v>28036390.410958905</v>
      </c>
      <c r="D43" s="617">
        <v>70797737.199960083</v>
      </c>
      <c r="E43" s="813">
        <f t="shared" si="2"/>
        <v>98834127.610918984</v>
      </c>
      <c r="F43" s="799">
        <v>0</v>
      </c>
      <c r="G43" s="617">
        <v>39604039.739999995</v>
      </c>
      <c r="H43" s="798">
        <f t="shared" si="3"/>
        <v>39604039.739999995</v>
      </c>
    </row>
    <row r="44" spans="1:8">
      <c r="A44" s="809">
        <v>17.3</v>
      </c>
      <c r="B44" s="410" t="s">
        <v>751</v>
      </c>
      <c r="C44" s="617"/>
      <c r="D44" s="617"/>
      <c r="E44" s="813">
        <f t="shared" si="2"/>
        <v>0</v>
      </c>
      <c r="F44" s="799"/>
      <c r="G44" s="617"/>
      <c r="H44" s="798">
        <f t="shared" si="3"/>
        <v>0</v>
      </c>
    </row>
    <row r="45" spans="1:8">
      <c r="A45" s="809">
        <v>17.399999999999999</v>
      </c>
      <c r="B45" s="410" t="s">
        <v>752</v>
      </c>
      <c r="C45" s="617">
        <v>0</v>
      </c>
      <c r="D45" s="617">
        <v>4339717.4563560002</v>
      </c>
      <c r="E45" s="813">
        <f t="shared" si="2"/>
        <v>4339717.4563560002</v>
      </c>
      <c r="F45" s="799">
        <v>0</v>
      </c>
      <c r="G45" s="617">
        <v>4711441.4400000004</v>
      </c>
      <c r="H45" s="798">
        <f t="shared" si="3"/>
        <v>4711441.4400000004</v>
      </c>
    </row>
    <row r="46" spans="1:8">
      <c r="A46" s="809">
        <v>18</v>
      </c>
      <c r="B46" s="412" t="s">
        <v>753</v>
      </c>
      <c r="C46" s="788">
        <v>150865.3495425242</v>
      </c>
      <c r="D46" s="789">
        <v>263307.81776915735</v>
      </c>
      <c r="E46" s="811">
        <f t="shared" si="2"/>
        <v>414173.16731168155</v>
      </c>
      <c r="F46" s="797">
        <v>165714.34756523365</v>
      </c>
      <c r="G46" s="789">
        <v>300985.05618865683</v>
      </c>
      <c r="H46" s="798">
        <f t="shared" si="3"/>
        <v>466699.40375389048</v>
      </c>
    </row>
    <row r="47" spans="1:8">
      <c r="A47" s="809">
        <v>19</v>
      </c>
      <c r="B47" s="412" t="s">
        <v>754</v>
      </c>
      <c r="C47" s="789">
        <f>SUM(C48:C49)</f>
        <v>2794477.0510511133</v>
      </c>
      <c r="D47" s="789">
        <f>SUM(D48:D49)</f>
        <v>0</v>
      </c>
      <c r="E47" s="811">
        <f t="shared" si="2"/>
        <v>2794477.0510511133</v>
      </c>
      <c r="F47" s="797">
        <f>SUM(F48:F49)</f>
        <v>4845214.21</v>
      </c>
      <c r="G47" s="789">
        <f>SUM(G48:G49)</f>
        <v>0</v>
      </c>
      <c r="H47" s="798">
        <f t="shared" si="3"/>
        <v>4845214.21</v>
      </c>
    </row>
    <row r="48" spans="1:8">
      <c r="A48" s="809">
        <v>19.100000000000001</v>
      </c>
      <c r="B48" s="413" t="s">
        <v>755</v>
      </c>
      <c r="C48" s="616">
        <v>2794477.0510511133</v>
      </c>
      <c r="D48" s="617">
        <v>0</v>
      </c>
      <c r="E48" s="813">
        <f t="shared" si="2"/>
        <v>2794477.0510511133</v>
      </c>
      <c r="F48" s="799">
        <v>4845214.21</v>
      </c>
      <c r="G48" s="617"/>
      <c r="H48" s="798">
        <f t="shared" si="3"/>
        <v>4845214.21</v>
      </c>
    </row>
    <row r="49" spans="1:8">
      <c r="A49" s="809">
        <v>19.2</v>
      </c>
      <c r="B49" s="414" t="s">
        <v>756</v>
      </c>
      <c r="C49" s="617"/>
      <c r="D49" s="617"/>
      <c r="E49" s="813">
        <f t="shared" si="2"/>
        <v>0</v>
      </c>
      <c r="F49" s="799"/>
      <c r="G49" s="617"/>
      <c r="H49" s="798">
        <f t="shared" si="3"/>
        <v>0</v>
      </c>
    </row>
    <row r="50" spans="1:8">
      <c r="A50" s="809">
        <v>20</v>
      </c>
      <c r="B50" s="818" t="s">
        <v>101</v>
      </c>
      <c r="C50" s="617"/>
      <c r="D50" s="617"/>
      <c r="E50" s="813">
        <f t="shared" si="2"/>
        <v>0</v>
      </c>
      <c r="F50" s="799"/>
      <c r="G50" s="617"/>
      <c r="H50" s="798">
        <f t="shared" si="3"/>
        <v>0</v>
      </c>
    </row>
    <row r="51" spans="1:8">
      <c r="A51" s="809">
        <v>21</v>
      </c>
      <c r="B51" s="814" t="s">
        <v>89</v>
      </c>
      <c r="C51" s="788">
        <v>3770883.823583066</v>
      </c>
      <c r="D51" s="789">
        <v>3041430.8204069999</v>
      </c>
      <c r="E51" s="811">
        <f t="shared" si="2"/>
        <v>6812314.6439900659</v>
      </c>
      <c r="F51" s="797">
        <v>2006384.0953555058</v>
      </c>
      <c r="G51" s="789">
        <v>1301047.44</v>
      </c>
      <c r="H51" s="798">
        <f t="shared" si="3"/>
        <v>3307431.5353555055</v>
      </c>
    </row>
    <row r="52" spans="1:8">
      <c r="A52" s="809">
        <v>21.1</v>
      </c>
      <c r="B52" s="812" t="s">
        <v>757</v>
      </c>
      <c r="C52" s="617"/>
      <c r="D52" s="617"/>
      <c r="E52" s="813">
        <f t="shared" si="2"/>
        <v>0</v>
      </c>
      <c r="F52" s="799"/>
      <c r="G52" s="617"/>
      <c r="H52" s="798">
        <f t="shared" si="3"/>
        <v>0</v>
      </c>
    </row>
    <row r="53" spans="1:8">
      <c r="A53" s="809">
        <v>22</v>
      </c>
      <c r="B53" s="818" t="s">
        <v>758</v>
      </c>
      <c r="C53" s="789">
        <f>SUM(C38,C40,C41,C46,C47,C50,C51)</f>
        <v>67641674.733339682</v>
      </c>
      <c r="D53" s="789">
        <f>SUM(D38,D40,D41,D46,D47,D50,D51)</f>
        <v>276279409.6571691</v>
      </c>
      <c r="E53" s="811">
        <f t="shared" si="2"/>
        <v>343921084.39050877</v>
      </c>
      <c r="F53" s="797">
        <f>SUM(F38,F40,F41,F46,F47,F50,F51)</f>
        <v>59293373.112920702</v>
      </c>
      <c r="G53" s="789">
        <f>SUM(G38,G40,G41,G46,G47,G50,G51)</f>
        <v>276595458.07618862</v>
      </c>
      <c r="H53" s="798">
        <f t="shared" si="3"/>
        <v>335888831.18910933</v>
      </c>
    </row>
    <row r="54" spans="1:8" ht="24" customHeight="1">
      <c r="A54" s="809"/>
      <c r="B54" s="819" t="s">
        <v>759</v>
      </c>
      <c r="C54" s="861"/>
      <c r="D54" s="862"/>
      <c r="E54" s="862"/>
      <c r="F54" s="862"/>
      <c r="G54" s="862"/>
      <c r="H54" s="863"/>
    </row>
    <row r="55" spans="1:8">
      <c r="A55" s="809">
        <v>23</v>
      </c>
      <c r="B55" s="818" t="s">
        <v>105</v>
      </c>
      <c r="C55" s="617">
        <v>69161600</v>
      </c>
      <c r="D55" s="617"/>
      <c r="E55" s="813">
        <f>C55+D55</f>
        <v>69161600</v>
      </c>
      <c r="F55" s="799">
        <v>69161600</v>
      </c>
      <c r="G55" s="617"/>
      <c r="H55" s="798">
        <f>F55+G55</f>
        <v>69161600</v>
      </c>
    </row>
    <row r="56" spans="1:8">
      <c r="A56" s="809">
        <v>24</v>
      </c>
      <c r="B56" s="818" t="s">
        <v>760</v>
      </c>
      <c r="C56" s="617"/>
      <c r="D56" s="617"/>
      <c r="E56" s="813">
        <f t="shared" ref="E56:E69" si="4">C56+D56</f>
        <v>0</v>
      </c>
      <c r="F56" s="799"/>
      <c r="G56" s="617"/>
      <c r="H56" s="798">
        <f t="shared" ref="H56:H69" si="5">F56+G56</f>
        <v>0</v>
      </c>
    </row>
    <row r="57" spans="1:8">
      <c r="A57" s="809">
        <v>25</v>
      </c>
      <c r="B57" s="820" t="s">
        <v>102</v>
      </c>
      <c r="C57" s="617"/>
      <c r="D57" s="617"/>
      <c r="E57" s="813">
        <f t="shared" si="4"/>
        <v>0</v>
      </c>
      <c r="F57" s="799"/>
      <c r="G57" s="617"/>
      <c r="H57" s="798">
        <f t="shared" si="5"/>
        <v>0</v>
      </c>
    </row>
    <row r="58" spans="1:8">
      <c r="A58" s="809">
        <v>26</v>
      </c>
      <c r="B58" s="412" t="s">
        <v>761</v>
      </c>
      <c r="C58" s="617"/>
      <c r="D58" s="617"/>
      <c r="E58" s="813">
        <f t="shared" si="4"/>
        <v>0</v>
      </c>
      <c r="F58" s="799"/>
      <c r="G58" s="617"/>
      <c r="H58" s="798">
        <f t="shared" si="5"/>
        <v>0</v>
      </c>
    </row>
    <row r="59" spans="1:8" ht="21">
      <c r="A59" s="809">
        <v>27</v>
      </c>
      <c r="B59" s="412" t="s">
        <v>762</v>
      </c>
      <c r="C59" s="617">
        <f>SUM(C60:C61)</f>
        <v>0</v>
      </c>
      <c r="D59" s="617">
        <f>SUM(D60:D61)</f>
        <v>0</v>
      </c>
      <c r="E59" s="813">
        <f t="shared" si="4"/>
        <v>0</v>
      </c>
      <c r="F59" s="799"/>
      <c r="G59" s="617"/>
      <c r="H59" s="798">
        <f t="shared" si="5"/>
        <v>0</v>
      </c>
    </row>
    <row r="60" spans="1:8">
      <c r="A60" s="809">
        <v>27.1</v>
      </c>
      <c r="B60" s="419" t="s">
        <v>763</v>
      </c>
      <c r="C60" s="617"/>
      <c r="D60" s="617"/>
      <c r="E60" s="813">
        <f t="shared" si="4"/>
        <v>0</v>
      </c>
      <c r="F60" s="799"/>
      <c r="G60" s="617"/>
      <c r="H60" s="798">
        <f t="shared" si="5"/>
        <v>0</v>
      </c>
    </row>
    <row r="61" spans="1:8">
      <c r="A61" s="809">
        <v>27.2</v>
      </c>
      <c r="B61" s="410" t="s">
        <v>764</v>
      </c>
      <c r="C61" s="617"/>
      <c r="D61" s="617"/>
      <c r="E61" s="813">
        <f t="shared" si="4"/>
        <v>0</v>
      </c>
      <c r="F61" s="799"/>
      <c r="G61" s="617"/>
      <c r="H61" s="798">
        <f t="shared" si="5"/>
        <v>0</v>
      </c>
    </row>
    <row r="62" spans="1:8">
      <c r="A62" s="809">
        <v>28</v>
      </c>
      <c r="B62" s="814" t="s">
        <v>765</v>
      </c>
      <c r="C62" s="617"/>
      <c r="D62" s="617"/>
      <c r="E62" s="813">
        <f t="shared" si="4"/>
        <v>0</v>
      </c>
      <c r="F62" s="799"/>
      <c r="G62" s="617"/>
      <c r="H62" s="798">
        <f t="shared" si="5"/>
        <v>0</v>
      </c>
    </row>
    <row r="63" spans="1:8">
      <c r="A63" s="809">
        <v>29</v>
      </c>
      <c r="B63" s="412" t="s">
        <v>766</v>
      </c>
      <c r="C63" s="617">
        <f>SUM(C64:C66)</f>
        <v>0</v>
      </c>
      <c r="D63" s="617">
        <f>SUM(D64:D66)</f>
        <v>0</v>
      </c>
      <c r="E63" s="813">
        <f t="shared" si="4"/>
        <v>0</v>
      </c>
      <c r="F63" s="799"/>
      <c r="G63" s="617"/>
      <c r="H63" s="798">
        <f t="shared" si="5"/>
        <v>0</v>
      </c>
    </row>
    <row r="64" spans="1:8">
      <c r="A64" s="809">
        <v>29.1</v>
      </c>
      <c r="B64" s="401" t="s">
        <v>767</v>
      </c>
      <c r="C64" s="617"/>
      <c r="D64" s="617"/>
      <c r="E64" s="813">
        <f t="shared" si="4"/>
        <v>0</v>
      </c>
      <c r="F64" s="799"/>
      <c r="G64" s="617"/>
      <c r="H64" s="798">
        <f t="shared" si="5"/>
        <v>0</v>
      </c>
    </row>
    <row r="65" spans="1:8" ht="24.95" customHeight="1">
      <c r="A65" s="809">
        <v>29.2</v>
      </c>
      <c r="B65" s="419" t="s">
        <v>768</v>
      </c>
      <c r="C65" s="617"/>
      <c r="D65" s="617"/>
      <c r="E65" s="813">
        <f t="shared" si="4"/>
        <v>0</v>
      </c>
      <c r="F65" s="799"/>
      <c r="G65" s="617"/>
      <c r="H65" s="798">
        <f t="shared" si="5"/>
        <v>0</v>
      </c>
    </row>
    <row r="66" spans="1:8" ht="22.5" customHeight="1">
      <c r="A66" s="809">
        <v>29.3</v>
      </c>
      <c r="B66" s="404" t="s">
        <v>769</v>
      </c>
      <c r="C66" s="617"/>
      <c r="D66" s="617"/>
      <c r="E66" s="813">
        <f t="shared" si="4"/>
        <v>0</v>
      </c>
      <c r="F66" s="799"/>
      <c r="G66" s="617"/>
      <c r="H66" s="798">
        <f t="shared" si="5"/>
        <v>0</v>
      </c>
    </row>
    <row r="67" spans="1:8">
      <c r="A67" s="809">
        <v>30</v>
      </c>
      <c r="B67" s="400" t="s">
        <v>103</v>
      </c>
      <c r="C67" s="616">
        <v>76864190.181537807</v>
      </c>
      <c r="D67" s="617"/>
      <c r="E67" s="813">
        <f t="shared" si="4"/>
        <v>76864190.181537807</v>
      </c>
      <c r="F67" s="799">
        <v>64731426.149651363</v>
      </c>
      <c r="G67" s="617"/>
      <c r="H67" s="798">
        <f t="shared" si="5"/>
        <v>64731426.149651363</v>
      </c>
    </row>
    <row r="68" spans="1:8">
      <c r="A68" s="809">
        <v>31</v>
      </c>
      <c r="B68" s="821" t="s">
        <v>770</v>
      </c>
      <c r="C68" s="789">
        <f>SUM(C55,C56,C57,C58,C59,C62,C63,C67)</f>
        <v>146025790.18153781</v>
      </c>
      <c r="D68" s="789">
        <f>SUM(D55,D56,D57,D58,D59,D62,D63,D67)</f>
        <v>0</v>
      </c>
      <c r="E68" s="811">
        <f t="shared" si="4"/>
        <v>146025790.18153781</v>
      </c>
      <c r="F68" s="797">
        <f>SUM(F55,F56,F57,F58,F59,F62,F63,F67)</f>
        <v>133893026.14965136</v>
      </c>
      <c r="G68" s="789">
        <f>SUM(G55,G56,G57,G58,G59,G62,G63,G67)</f>
        <v>0</v>
      </c>
      <c r="H68" s="798">
        <f t="shared" si="5"/>
        <v>133893026.14965136</v>
      </c>
    </row>
    <row r="69" spans="1:8" ht="15.75" thickBot="1">
      <c r="A69" s="822">
        <v>32</v>
      </c>
      <c r="B69" s="823" t="s">
        <v>771</v>
      </c>
      <c r="C69" s="804">
        <f>SUM(C53,C68)</f>
        <v>213667464.91487747</v>
      </c>
      <c r="D69" s="804">
        <f>SUM(D53,D68)</f>
        <v>276279409.6571691</v>
      </c>
      <c r="E69" s="824">
        <f t="shared" si="4"/>
        <v>489946874.57204658</v>
      </c>
      <c r="F69" s="803">
        <f>SUM(F53,F68)</f>
        <v>193186399.26257205</v>
      </c>
      <c r="G69" s="804">
        <f>SUM(G53,G68)</f>
        <v>276595458.07618862</v>
      </c>
      <c r="H69" s="805">
        <f t="shared" si="5"/>
        <v>469781857.33876067</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showGridLines="0" zoomScale="80" zoomScaleNormal="80" workbookViewId="0">
      <selection activeCell="B2" sqref="B2:C2"/>
    </sheetView>
  </sheetViews>
  <sheetFormatPr defaultColWidth="43.5703125" defaultRowHeight="11.25"/>
  <cols>
    <col min="1" max="1" width="8" style="162" customWidth="1"/>
    <col min="2" max="2" width="66.140625" style="163" customWidth="1"/>
    <col min="3" max="3" width="131.42578125" style="164" customWidth="1"/>
    <col min="4" max="5" width="10.28515625" style="155" customWidth="1"/>
    <col min="6" max="6" width="67.5703125" style="155" customWidth="1"/>
    <col min="7" max="16384" width="43.5703125" style="155"/>
  </cols>
  <sheetData>
    <row r="1" spans="1:3" ht="12.75" thickTop="1" thickBot="1">
      <c r="A1" s="1035" t="s">
        <v>187</v>
      </c>
      <c r="B1" s="1036"/>
      <c r="C1" s="1037"/>
    </row>
    <row r="2" spans="1:3" ht="26.25" customHeight="1">
      <c r="A2" s="384"/>
      <c r="B2" s="1038" t="s">
        <v>188</v>
      </c>
      <c r="C2" s="1038"/>
    </row>
    <row r="3" spans="1:3" s="160" customFormat="1" ht="11.25" customHeight="1">
      <c r="A3" s="159"/>
      <c r="B3" s="1038" t="s">
        <v>263</v>
      </c>
      <c r="C3" s="1038"/>
    </row>
    <row r="4" spans="1:3" ht="12" customHeight="1" thickBot="1">
      <c r="A4" s="1017" t="s">
        <v>267</v>
      </c>
      <c r="B4" s="1018"/>
      <c r="C4" s="1019"/>
    </row>
    <row r="5" spans="1:3" ht="12" thickTop="1">
      <c r="A5" s="156"/>
      <c r="B5" s="1020" t="s">
        <v>189</v>
      </c>
      <c r="C5" s="1021"/>
    </row>
    <row r="6" spans="1:3">
      <c r="A6" s="384"/>
      <c r="B6" s="997" t="s">
        <v>264</v>
      </c>
      <c r="C6" s="998"/>
    </row>
    <row r="7" spans="1:3">
      <c r="A7" s="384"/>
      <c r="B7" s="997" t="s">
        <v>190</v>
      </c>
      <c r="C7" s="998"/>
    </row>
    <row r="8" spans="1:3">
      <c r="A8" s="384"/>
      <c r="B8" s="997" t="s">
        <v>265</v>
      </c>
      <c r="C8" s="998"/>
    </row>
    <row r="9" spans="1:3">
      <c r="A9" s="384"/>
      <c r="B9" s="1041" t="s">
        <v>266</v>
      </c>
      <c r="C9" s="1042"/>
    </row>
    <row r="10" spans="1:3">
      <c r="A10" s="384"/>
      <c r="B10" s="1033" t="s">
        <v>191</v>
      </c>
      <c r="C10" s="1034" t="s">
        <v>191</v>
      </c>
    </row>
    <row r="11" spans="1:3">
      <c r="A11" s="384"/>
      <c r="B11" s="1033" t="s">
        <v>192</v>
      </c>
      <c r="C11" s="1034" t="s">
        <v>192</v>
      </c>
    </row>
    <row r="12" spans="1:3">
      <c r="A12" s="384"/>
      <c r="B12" s="1033" t="s">
        <v>193</v>
      </c>
      <c r="C12" s="1034" t="s">
        <v>193</v>
      </c>
    </row>
    <row r="13" spans="1:3">
      <c r="A13" s="384"/>
      <c r="B13" s="1033" t="s">
        <v>194</v>
      </c>
      <c r="C13" s="1034" t="s">
        <v>194</v>
      </c>
    </row>
    <row r="14" spans="1:3">
      <c r="A14" s="384"/>
      <c r="B14" s="1033" t="s">
        <v>195</v>
      </c>
      <c r="C14" s="1034" t="s">
        <v>195</v>
      </c>
    </row>
    <row r="15" spans="1:3" ht="21.75" customHeight="1">
      <c r="A15" s="384"/>
      <c r="B15" s="1033" t="s">
        <v>196</v>
      </c>
      <c r="C15" s="1034" t="s">
        <v>196</v>
      </c>
    </row>
    <row r="16" spans="1:3">
      <c r="A16" s="384"/>
      <c r="B16" s="1033" t="s">
        <v>197</v>
      </c>
      <c r="C16" s="1034" t="s">
        <v>198</v>
      </c>
    </row>
    <row r="17" spans="1:6">
      <c r="A17" s="384"/>
      <c r="B17" s="1033" t="s">
        <v>199</v>
      </c>
      <c r="C17" s="1034" t="s">
        <v>200</v>
      </c>
    </row>
    <row r="18" spans="1:6">
      <c r="A18" s="384"/>
      <c r="B18" s="1033" t="s">
        <v>201</v>
      </c>
      <c r="C18" s="1034" t="s">
        <v>202</v>
      </c>
    </row>
    <row r="19" spans="1:6">
      <c r="A19" s="384"/>
      <c r="B19" s="1033" t="s">
        <v>203</v>
      </c>
      <c r="C19" s="1034" t="s">
        <v>203</v>
      </c>
    </row>
    <row r="20" spans="1:6">
      <c r="A20" s="384"/>
      <c r="B20" s="1039" t="s">
        <v>952</v>
      </c>
      <c r="C20" s="1040" t="s">
        <v>204</v>
      </c>
    </row>
    <row r="21" spans="1:6">
      <c r="A21" s="384"/>
      <c r="B21" s="1033" t="s">
        <v>941</v>
      </c>
      <c r="C21" s="1034" t="s">
        <v>205</v>
      </c>
    </row>
    <row r="22" spans="1:6" ht="23.25" customHeight="1">
      <c r="A22" s="384"/>
      <c r="B22" s="1033" t="s">
        <v>206</v>
      </c>
      <c r="C22" s="1034" t="s">
        <v>207</v>
      </c>
      <c r="F22" s="600"/>
    </row>
    <row r="23" spans="1:6">
      <c r="A23" s="384"/>
      <c r="B23" s="1033" t="s">
        <v>208</v>
      </c>
      <c r="C23" s="1034" t="s">
        <v>208</v>
      </c>
    </row>
    <row r="24" spans="1:6">
      <c r="A24" s="384"/>
      <c r="B24" s="1033" t="s">
        <v>209</v>
      </c>
      <c r="C24" s="1034" t="s">
        <v>210</v>
      </c>
    </row>
    <row r="25" spans="1:6" ht="12" thickBot="1">
      <c r="A25" s="157"/>
      <c r="B25" s="1027" t="s">
        <v>211</v>
      </c>
      <c r="C25" s="1028"/>
    </row>
    <row r="26" spans="1:6" ht="12.75" thickTop="1" thickBot="1">
      <c r="A26" s="1017" t="s">
        <v>840</v>
      </c>
      <c r="B26" s="1018"/>
      <c r="C26" s="1019"/>
    </row>
    <row r="27" spans="1:6" ht="12.75" thickTop="1" thickBot="1">
      <c r="A27" s="158"/>
      <c r="B27" s="1029" t="s">
        <v>841</v>
      </c>
      <c r="C27" s="1030"/>
    </row>
    <row r="28" spans="1:6" ht="12.75" thickTop="1" thickBot="1">
      <c r="A28" s="1017" t="s">
        <v>268</v>
      </c>
      <c r="B28" s="1018"/>
      <c r="C28" s="1019"/>
    </row>
    <row r="29" spans="1:6" ht="12" thickTop="1">
      <c r="A29" s="156"/>
      <c r="B29" s="1031" t="s">
        <v>844</v>
      </c>
      <c r="C29" s="1032" t="s">
        <v>212</v>
      </c>
    </row>
    <row r="30" spans="1:6">
      <c r="A30" s="384"/>
      <c r="B30" s="1022" t="s">
        <v>216</v>
      </c>
      <c r="C30" s="1023" t="s">
        <v>213</v>
      </c>
    </row>
    <row r="31" spans="1:6">
      <c r="A31" s="384"/>
      <c r="B31" s="1022" t="s">
        <v>842</v>
      </c>
      <c r="C31" s="1023" t="s">
        <v>214</v>
      </c>
    </row>
    <row r="32" spans="1:6">
      <c r="A32" s="384"/>
      <c r="B32" s="1022" t="s">
        <v>843</v>
      </c>
      <c r="C32" s="1023" t="s">
        <v>215</v>
      </c>
    </row>
    <row r="33" spans="1:3">
      <c r="A33" s="384"/>
      <c r="B33" s="1022" t="s">
        <v>219</v>
      </c>
      <c r="C33" s="1023" t="s">
        <v>220</v>
      </c>
    </row>
    <row r="34" spans="1:3">
      <c r="A34" s="384"/>
      <c r="B34" s="1022" t="s">
        <v>845</v>
      </c>
      <c r="C34" s="1023" t="s">
        <v>217</v>
      </c>
    </row>
    <row r="35" spans="1:3">
      <c r="A35" s="384"/>
      <c r="B35" s="1022" t="s">
        <v>846</v>
      </c>
      <c r="C35" s="1023" t="s">
        <v>218</v>
      </c>
    </row>
    <row r="36" spans="1:3">
      <c r="A36" s="384"/>
      <c r="B36" s="1024" t="s">
        <v>847</v>
      </c>
      <c r="C36" s="1025"/>
    </row>
    <row r="37" spans="1:3" ht="24.75" customHeight="1">
      <c r="A37" s="384"/>
      <c r="B37" s="1022" t="s">
        <v>848</v>
      </c>
      <c r="C37" s="1023" t="s">
        <v>221</v>
      </c>
    </row>
    <row r="38" spans="1:3" ht="23.25" customHeight="1">
      <c r="A38" s="384"/>
      <c r="B38" s="1022" t="s">
        <v>849</v>
      </c>
      <c r="C38" s="1023" t="s">
        <v>222</v>
      </c>
    </row>
    <row r="39" spans="1:3" ht="23.25" customHeight="1">
      <c r="A39" s="437"/>
      <c r="B39" s="1024" t="s">
        <v>850</v>
      </c>
      <c r="C39" s="1026"/>
    </row>
    <row r="40" spans="1:3" ht="12" customHeight="1">
      <c r="A40" s="384"/>
      <c r="B40" s="1022" t="s">
        <v>851</v>
      </c>
      <c r="C40" s="1023"/>
    </row>
    <row r="41" spans="1:3" ht="12" thickBot="1">
      <c r="A41" s="1017" t="s">
        <v>269</v>
      </c>
      <c r="B41" s="1018"/>
      <c r="C41" s="1019"/>
    </row>
    <row r="42" spans="1:3" ht="12" thickTop="1">
      <c r="A42" s="156"/>
      <c r="B42" s="1020" t="s">
        <v>299</v>
      </c>
      <c r="C42" s="1021" t="s">
        <v>223</v>
      </c>
    </row>
    <row r="43" spans="1:3">
      <c r="A43" s="384"/>
      <c r="B43" s="997" t="s">
        <v>298</v>
      </c>
      <c r="C43" s="998"/>
    </row>
    <row r="44" spans="1:3" ht="23.25" customHeight="1" thickBot="1">
      <c r="A44" s="157"/>
      <c r="B44" s="1015" t="s">
        <v>224</v>
      </c>
      <c r="C44" s="1016" t="s">
        <v>225</v>
      </c>
    </row>
    <row r="45" spans="1:3" ht="11.25" customHeight="1" thickTop="1" thickBot="1">
      <c r="A45" s="1017" t="s">
        <v>270</v>
      </c>
      <c r="B45" s="1018"/>
      <c r="C45" s="1019"/>
    </row>
    <row r="46" spans="1:3" ht="26.25" customHeight="1" thickTop="1">
      <c r="A46" s="384"/>
      <c r="B46" s="997" t="s">
        <v>271</v>
      </c>
      <c r="C46" s="998"/>
    </row>
    <row r="47" spans="1:3" ht="12" thickBot="1">
      <c r="A47" s="1017" t="s">
        <v>272</v>
      </c>
      <c r="B47" s="1018"/>
      <c r="C47" s="1019"/>
    </row>
    <row r="48" spans="1:3" ht="12" thickTop="1">
      <c r="A48" s="156"/>
      <c r="B48" s="1020" t="s">
        <v>226</v>
      </c>
      <c r="C48" s="1021" t="s">
        <v>226</v>
      </c>
    </row>
    <row r="49" spans="1:3" ht="11.25" customHeight="1">
      <c r="A49" s="384"/>
      <c r="B49" s="997" t="s">
        <v>227</v>
      </c>
      <c r="C49" s="998" t="s">
        <v>227</v>
      </c>
    </row>
    <row r="50" spans="1:3">
      <c r="A50" s="384"/>
      <c r="B50" s="997" t="s">
        <v>228</v>
      </c>
      <c r="C50" s="998" t="s">
        <v>228</v>
      </c>
    </row>
    <row r="51" spans="1:3" ht="11.25" customHeight="1">
      <c r="A51" s="384"/>
      <c r="B51" s="997" t="s">
        <v>853</v>
      </c>
      <c r="C51" s="998" t="s">
        <v>229</v>
      </c>
    </row>
    <row r="52" spans="1:3" ht="33.6" customHeight="1">
      <c r="A52" s="384"/>
      <c r="B52" s="997" t="s">
        <v>230</v>
      </c>
      <c r="C52" s="998" t="s">
        <v>230</v>
      </c>
    </row>
    <row r="53" spans="1:3" ht="11.25" customHeight="1">
      <c r="A53" s="384"/>
      <c r="B53" s="997" t="s">
        <v>319</v>
      </c>
      <c r="C53" s="998" t="s">
        <v>231</v>
      </c>
    </row>
    <row r="54" spans="1:3" ht="11.25" customHeight="1" thickBot="1">
      <c r="A54" s="1017" t="s">
        <v>273</v>
      </c>
      <c r="B54" s="1018"/>
      <c r="C54" s="1019"/>
    </row>
    <row r="55" spans="1:3" ht="12" thickTop="1">
      <c r="A55" s="156"/>
      <c r="B55" s="1020" t="s">
        <v>226</v>
      </c>
      <c r="C55" s="1021" t="s">
        <v>226</v>
      </c>
    </row>
    <row r="56" spans="1:3">
      <c r="A56" s="384"/>
      <c r="B56" s="997" t="s">
        <v>232</v>
      </c>
      <c r="C56" s="998" t="s">
        <v>232</v>
      </c>
    </row>
    <row r="57" spans="1:3">
      <c r="A57" s="384"/>
      <c r="B57" s="997" t="s">
        <v>276</v>
      </c>
      <c r="C57" s="998" t="s">
        <v>233</v>
      </c>
    </row>
    <row r="58" spans="1:3">
      <c r="A58" s="384"/>
      <c r="B58" s="997" t="s">
        <v>234</v>
      </c>
      <c r="C58" s="998" t="s">
        <v>234</v>
      </c>
    </row>
    <row r="59" spans="1:3">
      <c r="A59" s="384"/>
      <c r="B59" s="997" t="s">
        <v>235</v>
      </c>
      <c r="C59" s="998" t="s">
        <v>235</v>
      </c>
    </row>
    <row r="60" spans="1:3">
      <c r="A60" s="384"/>
      <c r="B60" s="997" t="s">
        <v>236</v>
      </c>
      <c r="C60" s="998" t="s">
        <v>236</v>
      </c>
    </row>
    <row r="61" spans="1:3">
      <c r="A61" s="384"/>
      <c r="B61" s="997" t="s">
        <v>277</v>
      </c>
      <c r="C61" s="998" t="s">
        <v>237</v>
      </c>
    </row>
    <row r="62" spans="1:3">
      <c r="A62" s="384"/>
      <c r="B62" s="997" t="s">
        <v>238</v>
      </c>
      <c r="C62" s="998" t="s">
        <v>238</v>
      </c>
    </row>
    <row r="63" spans="1:3" ht="12" thickBot="1">
      <c r="A63" s="157"/>
      <c r="B63" s="1015" t="s">
        <v>239</v>
      </c>
      <c r="C63" s="1016" t="s">
        <v>239</v>
      </c>
    </row>
    <row r="64" spans="1:3" ht="11.25" customHeight="1" thickTop="1">
      <c r="A64" s="1003" t="s">
        <v>274</v>
      </c>
      <c r="B64" s="1004"/>
      <c r="C64" s="1005"/>
    </row>
    <row r="65" spans="1:3" ht="12" thickBot="1">
      <c r="A65" s="157"/>
      <c r="B65" s="1015" t="s">
        <v>240</v>
      </c>
      <c r="C65" s="1016" t="s">
        <v>240</v>
      </c>
    </row>
    <row r="66" spans="1:3" ht="11.25" customHeight="1" thickTop="1" thickBot="1">
      <c r="A66" s="1017" t="s">
        <v>275</v>
      </c>
      <c r="B66" s="1018"/>
      <c r="C66" s="1019"/>
    </row>
    <row r="67" spans="1:3" ht="12" thickTop="1">
      <c r="A67" s="156"/>
      <c r="B67" s="1020" t="s">
        <v>241</v>
      </c>
      <c r="C67" s="1021" t="s">
        <v>241</v>
      </c>
    </row>
    <row r="68" spans="1:3">
      <c r="A68" s="384"/>
      <c r="B68" s="997" t="s">
        <v>855</v>
      </c>
      <c r="C68" s="998" t="s">
        <v>242</v>
      </c>
    </row>
    <row r="69" spans="1:3">
      <c r="A69" s="384"/>
      <c r="B69" s="997" t="s">
        <v>243</v>
      </c>
      <c r="C69" s="998" t="s">
        <v>243</v>
      </c>
    </row>
    <row r="70" spans="1:3" ht="54.95" customHeight="1">
      <c r="A70" s="384"/>
      <c r="B70" s="1013" t="s">
        <v>684</v>
      </c>
      <c r="C70" s="1014" t="s">
        <v>244</v>
      </c>
    </row>
    <row r="71" spans="1:3" ht="33.75" customHeight="1">
      <c r="A71" s="384"/>
      <c r="B71" s="1013" t="s">
        <v>278</v>
      </c>
      <c r="C71" s="1014" t="s">
        <v>245</v>
      </c>
    </row>
    <row r="72" spans="1:3" ht="15.75" customHeight="1">
      <c r="A72" s="384"/>
      <c r="B72" s="1013" t="s">
        <v>856</v>
      </c>
      <c r="C72" s="1014" t="s">
        <v>246</v>
      </c>
    </row>
    <row r="73" spans="1:3">
      <c r="A73" s="384"/>
      <c r="B73" s="997" t="s">
        <v>247</v>
      </c>
      <c r="C73" s="998" t="s">
        <v>247</v>
      </c>
    </row>
    <row r="74" spans="1:3" ht="12" thickBot="1">
      <c r="A74" s="157"/>
      <c r="B74" s="1015" t="s">
        <v>248</v>
      </c>
      <c r="C74" s="1016" t="s">
        <v>248</v>
      </c>
    </row>
    <row r="75" spans="1:3" ht="12" thickTop="1">
      <c r="A75" s="1003" t="s">
        <v>302</v>
      </c>
      <c r="B75" s="1004"/>
      <c r="C75" s="1005"/>
    </row>
    <row r="76" spans="1:3">
      <c r="A76" s="384"/>
      <c r="B76" s="997" t="s">
        <v>240</v>
      </c>
      <c r="C76" s="998"/>
    </row>
    <row r="77" spans="1:3">
      <c r="A77" s="384"/>
      <c r="B77" s="997" t="s">
        <v>300</v>
      </c>
      <c r="C77" s="998"/>
    </row>
    <row r="78" spans="1:3">
      <c r="A78" s="384"/>
      <c r="B78" s="997" t="s">
        <v>301</v>
      </c>
      <c r="C78" s="998"/>
    </row>
    <row r="79" spans="1:3">
      <c r="A79" s="1003" t="s">
        <v>303</v>
      </c>
      <c r="B79" s="1004"/>
      <c r="C79" s="1005"/>
    </row>
    <row r="80" spans="1:3">
      <c r="A80" s="384"/>
      <c r="B80" s="997" t="s">
        <v>240</v>
      </c>
      <c r="C80" s="998"/>
    </row>
    <row r="81" spans="1:3">
      <c r="A81" s="384"/>
      <c r="B81" s="997" t="s">
        <v>304</v>
      </c>
      <c r="C81" s="998"/>
    </row>
    <row r="82" spans="1:3" ht="79.5" customHeight="1">
      <c r="A82" s="384"/>
      <c r="B82" s="997" t="s">
        <v>318</v>
      </c>
      <c r="C82" s="998"/>
    </row>
    <row r="83" spans="1:3" ht="53.25" customHeight="1">
      <c r="A83" s="384"/>
      <c r="B83" s="997" t="s">
        <v>317</v>
      </c>
      <c r="C83" s="998"/>
    </row>
    <row r="84" spans="1:3">
      <c r="A84" s="384"/>
      <c r="B84" s="997" t="s">
        <v>305</v>
      </c>
      <c r="C84" s="998"/>
    </row>
    <row r="85" spans="1:3">
      <c r="A85" s="384"/>
      <c r="B85" s="997" t="s">
        <v>306</v>
      </c>
      <c r="C85" s="998"/>
    </row>
    <row r="86" spans="1:3">
      <c r="A86" s="384"/>
      <c r="B86" s="997" t="s">
        <v>307</v>
      </c>
      <c r="C86" s="998"/>
    </row>
    <row r="87" spans="1:3">
      <c r="A87" s="1003" t="s">
        <v>308</v>
      </c>
      <c r="B87" s="1004"/>
      <c r="C87" s="1005"/>
    </row>
    <row r="88" spans="1:3">
      <c r="A88" s="384"/>
      <c r="B88" s="997" t="s">
        <v>240</v>
      </c>
      <c r="C88" s="998"/>
    </row>
    <row r="89" spans="1:3">
      <c r="A89" s="384"/>
      <c r="B89" s="997" t="s">
        <v>310</v>
      </c>
      <c r="C89" s="998"/>
    </row>
    <row r="90" spans="1:3" ht="12" customHeight="1">
      <c r="A90" s="384"/>
      <c r="B90" s="997" t="s">
        <v>311</v>
      </c>
      <c r="C90" s="998"/>
    </row>
    <row r="91" spans="1:3">
      <c r="A91" s="384"/>
      <c r="B91" s="997" t="s">
        <v>312</v>
      </c>
      <c r="C91" s="998"/>
    </row>
    <row r="92" spans="1:3" ht="24.75" customHeight="1">
      <c r="A92" s="384"/>
      <c r="B92" s="1006" t="s">
        <v>348</v>
      </c>
      <c r="C92" s="1007"/>
    </row>
    <row r="93" spans="1:3" ht="24" customHeight="1">
      <c r="A93" s="384"/>
      <c r="B93" s="1006" t="s">
        <v>349</v>
      </c>
      <c r="C93" s="1007"/>
    </row>
    <row r="94" spans="1:3" ht="13.5" customHeight="1">
      <c r="A94" s="384"/>
      <c r="B94" s="1008" t="s">
        <v>313</v>
      </c>
      <c r="C94" s="1009"/>
    </row>
    <row r="95" spans="1:3" ht="11.25" customHeight="1" thickBot="1">
      <c r="A95" s="1010" t="s">
        <v>344</v>
      </c>
      <c r="B95" s="1011"/>
      <c r="C95" s="1012"/>
    </row>
    <row r="96" spans="1:3" ht="12.75" thickTop="1" thickBot="1">
      <c r="A96" s="1002" t="s">
        <v>249</v>
      </c>
      <c r="B96" s="1002"/>
      <c r="C96" s="1002"/>
    </row>
    <row r="97" spans="1:3">
      <c r="A97" s="221">
        <v>2</v>
      </c>
      <c r="B97" s="370" t="s">
        <v>324</v>
      </c>
      <c r="C97" s="370" t="s">
        <v>345</v>
      </c>
    </row>
    <row r="98" spans="1:3">
      <c r="A98" s="161">
        <v>3</v>
      </c>
      <c r="B98" s="371" t="s">
        <v>325</v>
      </c>
      <c r="C98" s="372" t="s">
        <v>346</v>
      </c>
    </row>
    <row r="99" spans="1:3">
      <c r="A99" s="161">
        <v>4</v>
      </c>
      <c r="B99" s="371" t="s">
        <v>326</v>
      </c>
      <c r="C99" s="372" t="s">
        <v>350</v>
      </c>
    </row>
    <row r="100" spans="1:3" ht="11.25" customHeight="1">
      <c r="A100" s="161">
        <v>5</v>
      </c>
      <c r="B100" s="371" t="s">
        <v>327</v>
      </c>
      <c r="C100" s="372" t="s">
        <v>347</v>
      </c>
    </row>
    <row r="101" spans="1:3" ht="12" customHeight="1">
      <c r="A101" s="161">
        <v>6</v>
      </c>
      <c r="B101" s="371" t="s">
        <v>342</v>
      </c>
      <c r="C101" s="372" t="s">
        <v>328</v>
      </c>
    </row>
    <row r="102" spans="1:3" ht="12" customHeight="1">
      <c r="A102" s="161">
        <v>7</v>
      </c>
      <c r="B102" s="371" t="s">
        <v>329</v>
      </c>
      <c r="C102" s="372" t="s">
        <v>343</v>
      </c>
    </row>
    <row r="103" spans="1:3">
      <c r="A103" s="161">
        <v>8</v>
      </c>
      <c r="B103" s="371" t="s">
        <v>334</v>
      </c>
      <c r="C103" s="372" t="s">
        <v>354</v>
      </c>
    </row>
    <row r="104" spans="1:3" ht="11.25" customHeight="1">
      <c r="A104" s="1003" t="s">
        <v>314</v>
      </c>
      <c r="B104" s="1004"/>
      <c r="C104" s="1005"/>
    </row>
    <row r="105" spans="1:3" ht="12" customHeight="1">
      <c r="A105" s="384"/>
      <c r="B105" s="997" t="s">
        <v>240</v>
      </c>
      <c r="C105" s="998"/>
    </row>
    <row r="106" spans="1:3">
      <c r="A106" s="1003" t="s">
        <v>485</v>
      </c>
      <c r="B106" s="1004"/>
      <c r="C106" s="1005"/>
    </row>
    <row r="107" spans="1:3" ht="12" customHeight="1">
      <c r="A107" s="384"/>
      <c r="B107" s="997" t="s">
        <v>487</v>
      </c>
      <c r="C107" s="998"/>
    </row>
    <row r="108" spans="1:3">
      <c r="A108" s="384"/>
      <c r="B108" s="997" t="s">
        <v>488</v>
      </c>
      <c r="C108" s="998"/>
    </row>
    <row r="109" spans="1:3">
      <c r="A109" s="384"/>
      <c r="B109" s="997" t="s">
        <v>486</v>
      </c>
      <c r="C109" s="998"/>
    </row>
    <row r="110" spans="1:3">
      <c r="A110" s="994" t="s">
        <v>720</v>
      </c>
      <c r="B110" s="994"/>
      <c r="C110" s="994"/>
    </row>
    <row r="111" spans="1:3">
      <c r="A111" s="999" t="s">
        <v>187</v>
      </c>
      <c r="B111" s="999"/>
      <c r="C111" s="999"/>
    </row>
    <row r="112" spans="1:3">
      <c r="A112" s="580">
        <v>1</v>
      </c>
      <c r="B112" s="984" t="s">
        <v>603</v>
      </c>
      <c r="C112" s="985"/>
    </row>
    <row r="113" spans="1:3">
      <c r="A113" s="580">
        <v>2</v>
      </c>
      <c r="B113" s="1000" t="s">
        <v>604</v>
      </c>
      <c r="C113" s="1001"/>
    </row>
    <row r="114" spans="1:3">
      <c r="A114" s="580">
        <v>3</v>
      </c>
      <c r="B114" s="984" t="s">
        <v>930</v>
      </c>
      <c r="C114" s="985"/>
    </row>
    <row r="115" spans="1:3">
      <c r="A115" s="580">
        <v>4</v>
      </c>
      <c r="B115" s="984" t="s">
        <v>929</v>
      </c>
      <c r="C115" s="985"/>
    </row>
    <row r="116" spans="1:3">
      <c r="A116" s="580">
        <v>5</v>
      </c>
      <c r="B116" s="584" t="s">
        <v>928</v>
      </c>
      <c r="C116" s="583"/>
    </row>
    <row r="117" spans="1:3">
      <c r="A117" s="580">
        <v>6</v>
      </c>
      <c r="B117" s="984" t="s">
        <v>939</v>
      </c>
      <c r="C117" s="985"/>
    </row>
    <row r="118" spans="1:3" ht="48.6" customHeight="1">
      <c r="A118" s="580">
        <v>7</v>
      </c>
      <c r="B118" s="984" t="s">
        <v>940</v>
      </c>
      <c r="C118" s="985"/>
    </row>
    <row r="119" spans="1:3">
      <c r="A119" s="554">
        <v>8</v>
      </c>
      <c r="B119" s="551" t="s">
        <v>630</v>
      </c>
      <c r="C119" s="577" t="s">
        <v>927</v>
      </c>
    </row>
    <row r="120" spans="1:3" ht="22.5">
      <c r="A120" s="580">
        <v>9.01</v>
      </c>
      <c r="B120" s="551" t="s">
        <v>514</v>
      </c>
      <c r="C120" s="564" t="s">
        <v>679</v>
      </c>
    </row>
    <row r="121" spans="1:3" ht="33.75">
      <c r="A121" s="580">
        <v>9.02</v>
      </c>
      <c r="B121" s="551" t="s">
        <v>515</v>
      </c>
      <c r="C121" s="564" t="s">
        <v>682</v>
      </c>
    </row>
    <row r="122" spans="1:3">
      <c r="A122" s="580">
        <v>9.0299999999999994</v>
      </c>
      <c r="B122" s="567" t="s">
        <v>864</v>
      </c>
      <c r="C122" s="567" t="s">
        <v>605</v>
      </c>
    </row>
    <row r="123" spans="1:3">
      <c r="A123" s="580">
        <v>9.0399999999999991</v>
      </c>
      <c r="B123" s="551" t="s">
        <v>516</v>
      </c>
      <c r="C123" s="567" t="s">
        <v>606</v>
      </c>
    </row>
    <row r="124" spans="1:3">
      <c r="A124" s="580">
        <v>9.0500000000000007</v>
      </c>
      <c r="B124" s="551" t="s">
        <v>517</v>
      </c>
      <c r="C124" s="567" t="s">
        <v>607</v>
      </c>
    </row>
    <row r="125" spans="1:3" ht="22.5">
      <c r="A125" s="580">
        <v>9.06</v>
      </c>
      <c r="B125" s="551" t="s">
        <v>518</v>
      </c>
      <c r="C125" s="567" t="s">
        <v>608</v>
      </c>
    </row>
    <row r="126" spans="1:3">
      <c r="A126" s="580">
        <v>9.07</v>
      </c>
      <c r="B126" s="582" t="s">
        <v>519</v>
      </c>
      <c r="C126" s="567" t="s">
        <v>609</v>
      </c>
    </row>
    <row r="127" spans="1:3" ht="22.5">
      <c r="A127" s="580">
        <v>9.08</v>
      </c>
      <c r="B127" s="551" t="s">
        <v>520</v>
      </c>
      <c r="C127" s="567" t="s">
        <v>610</v>
      </c>
    </row>
    <row r="128" spans="1:3" ht="22.5">
      <c r="A128" s="580">
        <v>9.09</v>
      </c>
      <c r="B128" s="551" t="s">
        <v>521</v>
      </c>
      <c r="C128" s="567" t="s">
        <v>611</v>
      </c>
    </row>
    <row r="129" spans="1:3">
      <c r="A129" s="581">
        <v>9.1</v>
      </c>
      <c r="B129" s="551" t="s">
        <v>522</v>
      </c>
      <c r="C129" s="567" t="s">
        <v>612</v>
      </c>
    </row>
    <row r="130" spans="1:3">
      <c r="A130" s="580">
        <v>9.11</v>
      </c>
      <c r="B130" s="551" t="s">
        <v>523</v>
      </c>
      <c r="C130" s="567" t="s">
        <v>613</v>
      </c>
    </row>
    <row r="131" spans="1:3">
      <c r="A131" s="580">
        <v>9.1199999999999992</v>
      </c>
      <c r="B131" s="551" t="s">
        <v>524</v>
      </c>
      <c r="C131" s="567" t="s">
        <v>614</v>
      </c>
    </row>
    <row r="132" spans="1:3">
      <c r="A132" s="580">
        <v>9.1300000000000008</v>
      </c>
      <c r="B132" s="551" t="s">
        <v>525</v>
      </c>
      <c r="C132" s="567" t="s">
        <v>615</v>
      </c>
    </row>
    <row r="133" spans="1:3">
      <c r="A133" s="580">
        <v>9.14</v>
      </c>
      <c r="B133" s="551" t="s">
        <v>526</v>
      </c>
      <c r="C133" s="567" t="s">
        <v>616</v>
      </c>
    </row>
    <row r="134" spans="1:3">
      <c r="A134" s="580">
        <v>9.15</v>
      </c>
      <c r="B134" s="551" t="s">
        <v>527</v>
      </c>
      <c r="C134" s="567" t="s">
        <v>617</v>
      </c>
    </row>
    <row r="135" spans="1:3" ht="22.5">
      <c r="A135" s="580">
        <v>9.16</v>
      </c>
      <c r="B135" s="551" t="s">
        <v>528</v>
      </c>
      <c r="C135" s="567" t="s">
        <v>618</v>
      </c>
    </row>
    <row r="136" spans="1:3">
      <c r="A136" s="580">
        <v>9.17</v>
      </c>
      <c r="B136" s="567" t="s">
        <v>529</v>
      </c>
      <c r="C136" s="567" t="s">
        <v>619</v>
      </c>
    </row>
    <row r="137" spans="1:3" ht="22.5">
      <c r="A137" s="580">
        <v>9.18</v>
      </c>
      <c r="B137" s="551" t="s">
        <v>530</v>
      </c>
      <c r="C137" s="567" t="s">
        <v>620</v>
      </c>
    </row>
    <row r="138" spans="1:3">
      <c r="A138" s="580">
        <v>9.19</v>
      </c>
      <c r="B138" s="551" t="s">
        <v>531</v>
      </c>
      <c r="C138" s="567" t="s">
        <v>621</v>
      </c>
    </row>
    <row r="139" spans="1:3">
      <c r="A139" s="581">
        <v>9.1999999999999993</v>
      </c>
      <c r="B139" s="551" t="s">
        <v>532</v>
      </c>
      <c r="C139" s="567" t="s">
        <v>622</v>
      </c>
    </row>
    <row r="140" spans="1:3">
      <c r="A140" s="580">
        <v>9.2100000000000009</v>
      </c>
      <c r="B140" s="551" t="s">
        <v>533</v>
      </c>
      <c r="C140" s="567" t="s">
        <v>623</v>
      </c>
    </row>
    <row r="141" spans="1:3">
      <c r="A141" s="580">
        <v>9.2200000000000006</v>
      </c>
      <c r="B141" s="551" t="s">
        <v>534</v>
      </c>
      <c r="C141" s="567" t="s">
        <v>624</v>
      </c>
    </row>
    <row r="142" spans="1:3" ht="22.5">
      <c r="A142" s="580">
        <v>9.23</v>
      </c>
      <c r="B142" s="551" t="s">
        <v>535</v>
      </c>
      <c r="C142" s="567" t="s">
        <v>625</v>
      </c>
    </row>
    <row r="143" spans="1:3" ht="22.5">
      <c r="A143" s="580">
        <v>9.24</v>
      </c>
      <c r="B143" s="551" t="s">
        <v>536</v>
      </c>
      <c r="C143" s="567" t="s">
        <v>626</v>
      </c>
    </row>
    <row r="144" spans="1:3">
      <c r="A144" s="580">
        <v>9.2500000000000107</v>
      </c>
      <c r="B144" s="551" t="s">
        <v>537</v>
      </c>
      <c r="C144" s="567" t="s">
        <v>627</v>
      </c>
    </row>
    <row r="145" spans="1:3" ht="22.5">
      <c r="A145" s="580">
        <v>9.2600000000000193</v>
      </c>
      <c r="B145" s="551" t="s">
        <v>628</v>
      </c>
      <c r="C145" s="579" t="s">
        <v>629</v>
      </c>
    </row>
    <row r="146" spans="1:3" s="385" customFormat="1" ht="22.5">
      <c r="A146" s="580">
        <v>9.2700000000000298</v>
      </c>
      <c r="B146" s="551" t="s">
        <v>99</v>
      </c>
      <c r="C146" s="579" t="s">
        <v>680</v>
      </c>
    </row>
    <row r="147" spans="1:3" s="385" customFormat="1">
      <c r="A147" s="555"/>
      <c r="B147" s="980" t="s">
        <v>631</v>
      </c>
      <c r="C147" s="981"/>
    </row>
    <row r="148" spans="1:3" s="385" customFormat="1">
      <c r="A148" s="554">
        <v>1</v>
      </c>
      <c r="B148" s="986" t="s">
        <v>926</v>
      </c>
      <c r="C148" s="987"/>
    </row>
    <row r="149" spans="1:3" s="385" customFormat="1">
      <c r="A149" s="554">
        <v>2</v>
      </c>
      <c r="B149" s="986" t="s">
        <v>681</v>
      </c>
      <c r="C149" s="987"/>
    </row>
    <row r="150" spans="1:3" s="385" customFormat="1">
      <c r="A150" s="554">
        <v>3</v>
      </c>
      <c r="B150" s="986" t="s">
        <v>678</v>
      </c>
      <c r="C150" s="987"/>
    </row>
    <row r="151" spans="1:3" s="385" customFormat="1">
      <c r="A151" s="555"/>
      <c r="B151" s="980" t="s">
        <v>632</v>
      </c>
      <c r="C151" s="981"/>
    </row>
    <row r="152" spans="1:3" s="385" customFormat="1">
      <c r="A152" s="554">
        <v>1</v>
      </c>
      <c r="B152" s="988" t="s">
        <v>925</v>
      </c>
      <c r="C152" s="989"/>
    </row>
    <row r="153" spans="1:3" s="385" customFormat="1">
      <c r="A153" s="554">
        <v>2</v>
      </c>
      <c r="B153" s="551" t="s">
        <v>862</v>
      </c>
      <c r="C153" s="577" t="s">
        <v>944</v>
      </c>
    </row>
    <row r="154" spans="1:3" ht="22.5">
      <c r="A154" s="554">
        <v>3</v>
      </c>
      <c r="B154" s="551" t="s">
        <v>861</v>
      </c>
      <c r="C154" s="577" t="s">
        <v>924</v>
      </c>
    </row>
    <row r="155" spans="1:3">
      <c r="A155" s="554">
        <v>4</v>
      </c>
      <c r="B155" s="551" t="s">
        <v>507</v>
      </c>
      <c r="C155" s="551" t="s">
        <v>945</v>
      </c>
    </row>
    <row r="156" spans="1:3" ht="24.95" customHeight="1">
      <c r="A156" s="555"/>
      <c r="B156" s="980" t="s">
        <v>633</v>
      </c>
      <c r="C156" s="981"/>
    </row>
    <row r="157" spans="1:3" ht="33.75">
      <c r="A157" s="554"/>
      <c r="B157" s="551" t="s">
        <v>913</v>
      </c>
      <c r="C157" s="556" t="s">
        <v>946</v>
      </c>
    </row>
    <row r="158" spans="1:3">
      <c r="A158" s="555"/>
      <c r="B158" s="980" t="s">
        <v>634</v>
      </c>
      <c r="C158" s="981"/>
    </row>
    <row r="159" spans="1:3" ht="39" customHeight="1">
      <c r="A159" s="555"/>
      <c r="B159" s="982" t="s">
        <v>923</v>
      </c>
      <c r="C159" s="983"/>
    </row>
    <row r="160" spans="1:3">
      <c r="A160" s="555" t="s">
        <v>635</v>
      </c>
      <c r="B160" s="578" t="s">
        <v>545</v>
      </c>
      <c r="C160" s="569" t="s">
        <v>636</v>
      </c>
    </row>
    <row r="161" spans="1:3">
      <c r="A161" s="555" t="s">
        <v>369</v>
      </c>
      <c r="B161" s="575" t="s">
        <v>546</v>
      </c>
      <c r="C161" s="577" t="s">
        <v>922</v>
      </c>
    </row>
    <row r="162" spans="1:3" ht="22.5">
      <c r="A162" s="555" t="s">
        <v>376</v>
      </c>
      <c r="B162" s="569" t="s">
        <v>547</v>
      </c>
      <c r="C162" s="577" t="s">
        <v>637</v>
      </c>
    </row>
    <row r="163" spans="1:3">
      <c r="A163" s="555" t="s">
        <v>638</v>
      </c>
      <c r="B163" s="575" t="s">
        <v>548</v>
      </c>
      <c r="C163" s="576" t="s">
        <v>639</v>
      </c>
    </row>
    <row r="164" spans="1:3" ht="22.5">
      <c r="A164" s="555" t="s">
        <v>640</v>
      </c>
      <c r="B164" s="575" t="s">
        <v>877</v>
      </c>
      <c r="C164" s="574" t="s">
        <v>921</v>
      </c>
    </row>
    <row r="165" spans="1:3" ht="22.5">
      <c r="A165" s="555" t="s">
        <v>377</v>
      </c>
      <c r="B165" s="575" t="s">
        <v>549</v>
      </c>
      <c r="C165" s="574" t="s">
        <v>642</v>
      </c>
    </row>
    <row r="166" spans="1:3" ht="22.5">
      <c r="A166" s="555" t="s">
        <v>641</v>
      </c>
      <c r="B166" s="572" t="s">
        <v>552</v>
      </c>
      <c r="C166" s="573" t="s">
        <v>649</v>
      </c>
    </row>
    <row r="167" spans="1:3" ht="22.5">
      <c r="A167" s="555" t="s">
        <v>643</v>
      </c>
      <c r="B167" s="572" t="s">
        <v>550</v>
      </c>
      <c r="C167" s="574" t="s">
        <v>645</v>
      </c>
    </row>
    <row r="168" spans="1:3" ht="26.45" customHeight="1">
      <c r="A168" s="555" t="s">
        <v>644</v>
      </c>
      <c r="B168" s="572" t="s">
        <v>551</v>
      </c>
      <c r="C168" s="573" t="s">
        <v>647</v>
      </c>
    </row>
    <row r="169" spans="1:3" ht="22.5">
      <c r="A169" s="555" t="s">
        <v>646</v>
      </c>
      <c r="B169" s="549" t="s">
        <v>553</v>
      </c>
      <c r="C169" s="573" t="s">
        <v>651</v>
      </c>
    </row>
    <row r="170" spans="1:3" ht="22.5">
      <c r="A170" s="555" t="s">
        <v>648</v>
      </c>
      <c r="B170" s="572" t="s">
        <v>554</v>
      </c>
      <c r="C170" s="571" t="s">
        <v>652</v>
      </c>
    </row>
    <row r="171" spans="1:3">
      <c r="A171" s="555" t="s">
        <v>650</v>
      </c>
      <c r="B171" s="570" t="s">
        <v>555</v>
      </c>
      <c r="C171" s="569" t="s">
        <v>653</v>
      </c>
    </row>
    <row r="172" spans="1:3" ht="22.5">
      <c r="A172" s="555"/>
      <c r="B172" s="568" t="s">
        <v>920</v>
      </c>
      <c r="C172" s="567" t="s">
        <v>654</v>
      </c>
    </row>
    <row r="173" spans="1:3" ht="22.5">
      <c r="A173" s="555"/>
      <c r="B173" s="568" t="s">
        <v>919</v>
      </c>
      <c r="C173" s="567" t="s">
        <v>655</v>
      </c>
    </row>
    <row r="174" spans="1:3" ht="22.5">
      <c r="A174" s="555"/>
      <c r="B174" s="568" t="s">
        <v>918</v>
      </c>
      <c r="C174" s="567" t="s">
        <v>656</v>
      </c>
    </row>
    <row r="175" spans="1:3">
      <c r="A175" s="555"/>
      <c r="B175" s="980" t="s">
        <v>657</v>
      </c>
      <c r="C175" s="981"/>
    </row>
    <row r="176" spans="1:3">
      <c r="A176" s="555"/>
      <c r="B176" s="986" t="s">
        <v>917</v>
      </c>
      <c r="C176" s="987"/>
    </row>
    <row r="177" spans="1:3">
      <c r="A177" s="554">
        <v>1</v>
      </c>
      <c r="B177" s="567" t="s">
        <v>559</v>
      </c>
      <c r="C177" s="567" t="s">
        <v>559</v>
      </c>
    </row>
    <row r="178" spans="1:3" ht="33.75">
      <c r="A178" s="554">
        <v>2</v>
      </c>
      <c r="B178" s="567" t="s">
        <v>658</v>
      </c>
      <c r="C178" s="567" t="s">
        <v>659</v>
      </c>
    </row>
    <row r="179" spans="1:3">
      <c r="A179" s="554">
        <v>3</v>
      </c>
      <c r="B179" s="567" t="s">
        <v>561</v>
      </c>
      <c r="C179" s="567" t="s">
        <v>660</v>
      </c>
    </row>
    <row r="180" spans="1:3" ht="22.5">
      <c r="A180" s="554">
        <v>4</v>
      </c>
      <c r="B180" s="567" t="s">
        <v>562</v>
      </c>
      <c r="C180" s="567" t="s">
        <v>661</v>
      </c>
    </row>
    <row r="181" spans="1:3" ht="22.5">
      <c r="A181" s="554">
        <v>5</v>
      </c>
      <c r="B181" s="567" t="s">
        <v>563</v>
      </c>
      <c r="C181" s="567" t="s">
        <v>683</v>
      </c>
    </row>
    <row r="182" spans="1:3" ht="45">
      <c r="A182" s="554">
        <v>6</v>
      </c>
      <c r="B182" s="567" t="s">
        <v>564</v>
      </c>
      <c r="C182" s="567" t="s">
        <v>662</v>
      </c>
    </row>
    <row r="183" spans="1:3">
      <c r="A183" s="555"/>
      <c r="B183" s="980" t="s">
        <v>663</v>
      </c>
      <c r="C183" s="981"/>
    </row>
    <row r="184" spans="1:3">
      <c r="A184" s="555"/>
      <c r="B184" s="991" t="s">
        <v>916</v>
      </c>
      <c r="C184" s="992"/>
    </row>
    <row r="185" spans="1:3" ht="22.5">
      <c r="A185" s="555">
        <v>1.1000000000000001</v>
      </c>
      <c r="B185" s="566" t="s">
        <v>569</v>
      </c>
      <c r="C185" s="564" t="s">
        <v>664</v>
      </c>
    </row>
    <row r="186" spans="1:3" ht="50.1" customHeight="1">
      <c r="A186" s="555" t="s">
        <v>157</v>
      </c>
      <c r="B186" s="550" t="s">
        <v>570</v>
      </c>
      <c r="C186" s="564" t="s">
        <v>665</v>
      </c>
    </row>
    <row r="187" spans="1:3">
      <c r="A187" s="555" t="s">
        <v>571</v>
      </c>
      <c r="B187" s="565" t="s">
        <v>572</v>
      </c>
      <c r="C187" s="993" t="s">
        <v>915</v>
      </c>
    </row>
    <row r="188" spans="1:3">
      <c r="A188" s="555" t="s">
        <v>573</v>
      </c>
      <c r="B188" s="565" t="s">
        <v>574</v>
      </c>
      <c r="C188" s="993"/>
    </row>
    <row r="189" spans="1:3">
      <c r="A189" s="555" t="s">
        <v>575</v>
      </c>
      <c r="B189" s="565" t="s">
        <v>576</v>
      </c>
      <c r="C189" s="993"/>
    </row>
    <row r="190" spans="1:3">
      <c r="A190" s="555" t="s">
        <v>577</v>
      </c>
      <c r="B190" s="565" t="s">
        <v>578</v>
      </c>
      <c r="C190" s="993"/>
    </row>
    <row r="191" spans="1:3" ht="25.5" customHeight="1">
      <c r="A191" s="555">
        <v>1.2</v>
      </c>
      <c r="B191" s="563" t="s">
        <v>891</v>
      </c>
      <c r="C191" s="548" t="s">
        <v>947</v>
      </c>
    </row>
    <row r="192" spans="1:3" ht="22.5">
      <c r="A192" s="555" t="s">
        <v>580</v>
      </c>
      <c r="B192" s="558" t="s">
        <v>581</v>
      </c>
      <c r="C192" s="561" t="s">
        <v>666</v>
      </c>
    </row>
    <row r="193" spans="1:4" ht="22.5">
      <c r="A193" s="555" t="s">
        <v>582</v>
      </c>
      <c r="B193" s="562" t="s">
        <v>583</v>
      </c>
      <c r="C193" s="561" t="s">
        <v>667</v>
      </c>
    </row>
    <row r="194" spans="1:4" ht="26.1" customHeight="1">
      <c r="A194" s="555" t="s">
        <v>584</v>
      </c>
      <c r="B194" s="560" t="s">
        <v>585</v>
      </c>
      <c r="C194" s="548" t="s">
        <v>668</v>
      </c>
    </row>
    <row r="195" spans="1:4" ht="22.5">
      <c r="A195" s="555" t="s">
        <v>586</v>
      </c>
      <c r="B195" s="559" t="s">
        <v>587</v>
      </c>
      <c r="C195" s="548" t="s">
        <v>669</v>
      </c>
      <c r="D195" s="386"/>
    </row>
    <row r="196" spans="1:4" ht="22.5">
      <c r="A196" s="555">
        <v>1.4</v>
      </c>
      <c r="B196" s="558" t="s">
        <v>676</v>
      </c>
      <c r="C196" s="557" t="s">
        <v>670</v>
      </c>
      <c r="D196" s="387"/>
    </row>
    <row r="197" spans="1:4" ht="12.75">
      <c r="A197" s="555">
        <v>1.5</v>
      </c>
      <c r="B197" s="558" t="s">
        <v>677</v>
      </c>
      <c r="C197" s="557" t="s">
        <v>670</v>
      </c>
      <c r="D197" s="388"/>
    </row>
    <row r="198" spans="1:4" ht="12.75">
      <c r="A198" s="555"/>
      <c r="B198" s="994" t="s">
        <v>671</v>
      </c>
      <c r="C198" s="994"/>
      <c r="D198" s="388"/>
    </row>
    <row r="199" spans="1:4" ht="12.75">
      <c r="A199" s="555"/>
      <c r="B199" s="991" t="s">
        <v>914</v>
      </c>
      <c r="C199" s="991"/>
      <c r="D199" s="388"/>
    </row>
    <row r="200" spans="1:4" ht="12.75">
      <c r="A200" s="554"/>
      <c r="B200" s="551" t="s">
        <v>913</v>
      </c>
      <c r="C200" s="556" t="s">
        <v>944</v>
      </c>
      <c r="D200" s="388"/>
    </row>
    <row r="201" spans="1:4" ht="12.75">
      <c r="A201" s="555"/>
      <c r="B201" s="994" t="s">
        <v>672</v>
      </c>
      <c r="C201" s="994"/>
      <c r="D201" s="389"/>
    </row>
    <row r="202" spans="1:4" ht="12.75">
      <c r="A202" s="554"/>
      <c r="B202" s="995" t="s">
        <v>912</v>
      </c>
      <c r="C202" s="995"/>
      <c r="D202" s="390"/>
    </row>
    <row r="203" spans="1:4" ht="12.75">
      <c r="B203" s="994" t="s">
        <v>710</v>
      </c>
      <c r="C203" s="994"/>
      <c r="D203" s="391"/>
    </row>
    <row r="204" spans="1:4" ht="22.5">
      <c r="A204" s="550">
        <v>1</v>
      </c>
      <c r="B204" s="551" t="s">
        <v>686</v>
      </c>
      <c r="C204" s="548" t="s">
        <v>698</v>
      </c>
      <c r="D204" s="390"/>
    </row>
    <row r="205" spans="1:4" ht="18" customHeight="1">
      <c r="A205" s="550">
        <v>2</v>
      </c>
      <c r="B205" s="551" t="s">
        <v>687</v>
      </c>
      <c r="C205" s="548" t="s">
        <v>699</v>
      </c>
      <c r="D205" s="391"/>
    </row>
    <row r="206" spans="1:4" ht="22.5">
      <c r="A206" s="550">
        <v>3</v>
      </c>
      <c r="B206" s="551" t="s">
        <v>688</v>
      </c>
      <c r="C206" s="551" t="s">
        <v>700</v>
      </c>
      <c r="D206" s="392"/>
    </row>
    <row r="207" spans="1:4" ht="12.75">
      <c r="A207" s="550">
        <v>4</v>
      </c>
      <c r="B207" s="551" t="s">
        <v>689</v>
      </c>
      <c r="C207" s="551" t="s">
        <v>701</v>
      </c>
      <c r="D207" s="392"/>
    </row>
    <row r="208" spans="1:4" ht="22.5">
      <c r="A208" s="550">
        <v>5</v>
      </c>
      <c r="B208" s="551" t="s">
        <v>690</v>
      </c>
      <c r="C208" s="551" t="s">
        <v>702</v>
      </c>
    </row>
    <row r="209" spans="1:3" ht="24.6" customHeight="1">
      <c r="A209" s="550">
        <v>6</v>
      </c>
      <c r="B209" s="551" t="s">
        <v>691</v>
      </c>
      <c r="C209" s="551" t="s">
        <v>703</v>
      </c>
    </row>
    <row r="210" spans="1:3" ht="22.5">
      <c r="A210" s="550">
        <v>7</v>
      </c>
      <c r="B210" s="551" t="s">
        <v>692</v>
      </c>
      <c r="C210" s="551" t="s">
        <v>704</v>
      </c>
    </row>
    <row r="211" spans="1:3">
      <c r="A211" s="550">
        <v>7.1</v>
      </c>
      <c r="B211" s="553" t="s">
        <v>693</v>
      </c>
      <c r="C211" s="551" t="s">
        <v>705</v>
      </c>
    </row>
    <row r="212" spans="1:3" ht="22.5">
      <c r="A212" s="550">
        <v>7.2</v>
      </c>
      <c r="B212" s="553" t="s">
        <v>694</v>
      </c>
      <c r="C212" s="551" t="s">
        <v>706</v>
      </c>
    </row>
    <row r="213" spans="1:3">
      <c r="A213" s="550">
        <v>7.3</v>
      </c>
      <c r="B213" s="552" t="s">
        <v>695</v>
      </c>
      <c r="C213" s="551" t="s">
        <v>707</v>
      </c>
    </row>
    <row r="214" spans="1:3" ht="39.6" customHeight="1">
      <c r="A214" s="550">
        <v>8</v>
      </c>
      <c r="B214" s="551" t="s">
        <v>696</v>
      </c>
      <c r="C214" s="548" t="s">
        <v>708</v>
      </c>
    </row>
    <row r="215" spans="1:3">
      <c r="A215" s="550">
        <v>9</v>
      </c>
      <c r="B215" s="551" t="s">
        <v>697</v>
      </c>
      <c r="C215" s="548" t="s">
        <v>709</v>
      </c>
    </row>
    <row r="216" spans="1:3" ht="22.5">
      <c r="A216" s="593">
        <v>10.1</v>
      </c>
      <c r="B216" s="594" t="s">
        <v>717</v>
      </c>
      <c r="C216" s="585" t="s">
        <v>718</v>
      </c>
    </row>
    <row r="217" spans="1:3">
      <c r="A217" s="996"/>
      <c r="B217" s="595" t="s">
        <v>904</v>
      </c>
      <c r="C217" s="548" t="s">
        <v>911</v>
      </c>
    </row>
    <row r="218" spans="1:3">
      <c r="A218" s="996"/>
      <c r="B218" s="549" t="s">
        <v>568</v>
      </c>
      <c r="C218" s="548" t="s">
        <v>910</v>
      </c>
    </row>
    <row r="219" spans="1:3">
      <c r="A219" s="996"/>
      <c r="B219" s="549" t="s">
        <v>903</v>
      </c>
      <c r="C219" s="548" t="s">
        <v>948</v>
      </c>
    </row>
    <row r="220" spans="1:3">
      <c r="A220" s="996"/>
      <c r="B220" s="549" t="s">
        <v>711</v>
      </c>
      <c r="C220" s="548" t="s">
        <v>909</v>
      </c>
    </row>
    <row r="221" spans="1:3" ht="22.5">
      <c r="A221" s="996"/>
      <c r="B221" s="549" t="s">
        <v>715</v>
      </c>
      <c r="C221" s="564" t="s">
        <v>908</v>
      </c>
    </row>
    <row r="222" spans="1:3" ht="33.75">
      <c r="A222" s="996"/>
      <c r="B222" s="549" t="s">
        <v>714</v>
      </c>
      <c r="C222" s="548" t="s">
        <v>907</v>
      </c>
    </row>
    <row r="223" spans="1:3">
      <c r="A223" s="996"/>
      <c r="B223" s="549" t="s">
        <v>949</v>
      </c>
      <c r="C223" s="548" t="s">
        <v>906</v>
      </c>
    </row>
    <row r="224" spans="1:3" ht="22.5">
      <c r="A224" s="996"/>
      <c r="B224" s="549" t="s">
        <v>950</v>
      </c>
      <c r="C224" s="548" t="s">
        <v>905</v>
      </c>
    </row>
    <row r="225" spans="1:3" ht="12.75">
      <c r="A225" s="586"/>
      <c r="B225" s="587"/>
      <c r="C225" s="588"/>
    </row>
    <row r="226" spans="1:3" ht="12.75">
      <c r="A226" s="586"/>
      <c r="B226" s="588"/>
      <c r="C226" s="589"/>
    </row>
    <row r="227" spans="1:3" ht="12.75">
      <c r="A227" s="586"/>
      <c r="B227" s="588"/>
      <c r="C227" s="589"/>
    </row>
    <row r="228" spans="1:3" ht="12.75">
      <c r="A228" s="586"/>
      <c r="B228" s="590"/>
      <c r="C228" s="589"/>
    </row>
    <row r="229" spans="1:3" ht="12.75">
      <c r="A229" s="990"/>
      <c r="B229" s="591"/>
      <c r="C229" s="589"/>
    </row>
    <row r="230" spans="1:3" ht="12.75">
      <c r="A230" s="990"/>
      <c r="B230" s="591"/>
      <c r="C230" s="589"/>
    </row>
    <row r="231" spans="1:3" ht="12.75">
      <c r="A231" s="990"/>
      <c r="B231" s="591"/>
      <c r="C231" s="589"/>
    </row>
    <row r="232" spans="1:3" ht="12.75">
      <c r="A232" s="990"/>
      <c r="B232" s="591"/>
      <c r="C232" s="592"/>
    </row>
    <row r="233" spans="1:3" ht="40.5" customHeight="1">
      <c r="A233" s="990"/>
      <c r="B233" s="591"/>
      <c r="C233" s="589"/>
    </row>
    <row r="234" spans="1:3" ht="24" customHeight="1">
      <c r="A234" s="990"/>
      <c r="B234" s="591"/>
      <c r="C234" s="589"/>
    </row>
    <row r="235" spans="1:3" ht="12.75">
      <c r="A235" s="990"/>
      <c r="B235" s="591"/>
      <c r="C235" s="589"/>
    </row>
  </sheetData>
  <mergeCells count="131">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6:C66"/>
    <mergeCell ref="B67:C67"/>
    <mergeCell ref="B68:C68"/>
    <mergeCell ref="B69:C69"/>
    <mergeCell ref="B70:C70"/>
    <mergeCell ref="B71:C71"/>
    <mergeCell ref="B60:C60"/>
    <mergeCell ref="B61:C61"/>
    <mergeCell ref="B62:C62"/>
    <mergeCell ref="B63:C63"/>
    <mergeCell ref="A64:C64"/>
    <mergeCell ref="B65:C65"/>
    <mergeCell ref="B78:C78"/>
    <mergeCell ref="A79:C79"/>
    <mergeCell ref="B80:C80"/>
    <mergeCell ref="B81:C81"/>
    <mergeCell ref="B82:C82"/>
    <mergeCell ref="B83:C83"/>
    <mergeCell ref="B72:C72"/>
    <mergeCell ref="B73:C73"/>
    <mergeCell ref="B74:C74"/>
    <mergeCell ref="A75:C75"/>
    <mergeCell ref="B76:C76"/>
    <mergeCell ref="B77:C77"/>
    <mergeCell ref="B90:C90"/>
    <mergeCell ref="B91:C91"/>
    <mergeCell ref="B92:C92"/>
    <mergeCell ref="B93:C93"/>
    <mergeCell ref="B94:C94"/>
    <mergeCell ref="A95:C95"/>
    <mergeCell ref="B84:C84"/>
    <mergeCell ref="B85:C85"/>
    <mergeCell ref="B86:C86"/>
    <mergeCell ref="A87:C87"/>
    <mergeCell ref="B88:C88"/>
    <mergeCell ref="B89:C89"/>
    <mergeCell ref="B109:C109"/>
    <mergeCell ref="A110:C110"/>
    <mergeCell ref="A111:C111"/>
    <mergeCell ref="B112:C112"/>
    <mergeCell ref="B113:C113"/>
    <mergeCell ref="B114:C114"/>
    <mergeCell ref="A96:C96"/>
    <mergeCell ref="A104:C104"/>
    <mergeCell ref="B105:C105"/>
    <mergeCell ref="A106:C106"/>
    <mergeCell ref="B107:C107"/>
    <mergeCell ref="B108:C108"/>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56:C156"/>
    <mergeCell ref="B158:C158"/>
    <mergeCell ref="B159:C159"/>
    <mergeCell ref="B115:C115"/>
    <mergeCell ref="B117:C117"/>
    <mergeCell ref="B118:C118"/>
    <mergeCell ref="B147:C147"/>
    <mergeCell ref="B148:C148"/>
    <mergeCell ref="B149:C149"/>
    <mergeCell ref="B150:C150"/>
    <mergeCell ref="B151:C151"/>
    <mergeCell ref="B152:C15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5"/>
  <sheetViews>
    <sheetView showGridLines="0" zoomScaleNormal="100" workbookViewId="0">
      <selection activeCell="B4" sqref="B4:B5"/>
    </sheetView>
  </sheetViews>
  <sheetFormatPr defaultRowHeight="15"/>
  <cols>
    <col min="2" max="2" width="66.5703125" customWidth="1"/>
    <col min="3" max="8" width="17.85546875" customWidth="1"/>
  </cols>
  <sheetData>
    <row r="1" spans="1:8" ht="15.75">
      <c r="A1" s="17" t="s">
        <v>108</v>
      </c>
      <c r="B1" s="603" t="str">
        <f>'1. key ratios'!B1</f>
        <v>სს იშბანკი საქართველო</v>
      </c>
      <c r="C1" s="16"/>
      <c r="D1" s="218"/>
      <c r="E1" s="218"/>
      <c r="F1" s="218"/>
      <c r="G1" s="218"/>
    </row>
    <row r="2" spans="1:8" ht="15.75">
      <c r="A2" s="17" t="s">
        <v>109</v>
      </c>
      <c r="B2" s="604">
        <f>'1. key ratios'!B2</f>
        <v>45657</v>
      </c>
      <c r="C2" s="29"/>
      <c r="D2" s="18"/>
      <c r="E2" s="18"/>
      <c r="F2" s="18"/>
      <c r="G2" s="18"/>
      <c r="H2" s="1"/>
    </row>
    <row r="3" spans="1:8" ht="16.5" thickBot="1">
      <c r="A3" s="17"/>
      <c r="B3" s="16"/>
      <c r="C3" s="29"/>
      <c r="D3" s="18"/>
      <c r="E3" s="18"/>
      <c r="F3" s="18"/>
      <c r="G3" s="18"/>
      <c r="H3" s="1"/>
    </row>
    <row r="4" spans="1:8">
      <c r="A4" s="875" t="s">
        <v>25</v>
      </c>
      <c r="B4" s="873" t="s">
        <v>166</v>
      </c>
      <c r="C4" s="868" t="s">
        <v>114</v>
      </c>
      <c r="D4" s="868"/>
      <c r="E4" s="868"/>
      <c r="F4" s="868" t="s">
        <v>115</v>
      </c>
      <c r="G4" s="868"/>
      <c r="H4" s="869"/>
    </row>
    <row r="5" spans="1:8" ht="15.6" customHeight="1">
      <c r="A5" s="876"/>
      <c r="B5" s="874"/>
      <c r="C5" s="806" t="s">
        <v>26</v>
      </c>
      <c r="D5" s="806" t="s">
        <v>88</v>
      </c>
      <c r="E5" s="806" t="s">
        <v>66</v>
      </c>
      <c r="F5" s="806" t="s">
        <v>26</v>
      </c>
      <c r="G5" s="806" t="s">
        <v>88</v>
      </c>
      <c r="H5" s="807" t="s">
        <v>66</v>
      </c>
    </row>
    <row r="6" spans="1:8">
      <c r="A6" s="827">
        <v>1</v>
      </c>
      <c r="B6" s="423" t="s">
        <v>772</v>
      </c>
      <c r="C6" s="825">
        <f>SUM(C7:C12)</f>
        <v>21735783.529210873</v>
      </c>
      <c r="D6" s="825">
        <f>SUM(D7:D12)</f>
        <v>16529671.005030375</v>
      </c>
      <c r="E6" s="826">
        <f>C6+D6</f>
        <v>38265454.534241244</v>
      </c>
      <c r="F6" s="825">
        <f>SUM(F7:F12)</f>
        <v>21753921.719807532</v>
      </c>
      <c r="G6" s="825">
        <f>SUM(G7:G12)</f>
        <v>14826423.948656773</v>
      </c>
      <c r="H6" s="828">
        <f>F6+G6</f>
        <v>36580345.668464303</v>
      </c>
    </row>
    <row r="7" spans="1:8">
      <c r="A7" s="827">
        <v>1.1000000000000001</v>
      </c>
      <c r="B7" s="424" t="s">
        <v>726</v>
      </c>
      <c r="C7" s="790"/>
      <c r="D7" s="790"/>
      <c r="E7" s="826">
        <f t="shared" ref="E7:E45" si="0">C7+D7</f>
        <v>0</v>
      </c>
      <c r="F7" s="790"/>
      <c r="G7" s="790"/>
      <c r="H7" s="828">
        <f t="shared" ref="H7:H45" si="1">F7+G7</f>
        <v>0</v>
      </c>
    </row>
    <row r="8" spans="1:8" ht="21">
      <c r="A8" s="827">
        <v>1.2</v>
      </c>
      <c r="B8" s="424" t="s">
        <v>773</v>
      </c>
      <c r="C8" s="790"/>
      <c r="D8" s="790"/>
      <c r="E8" s="826">
        <f t="shared" si="0"/>
        <v>0</v>
      </c>
      <c r="F8" s="790"/>
      <c r="G8" s="790"/>
      <c r="H8" s="828">
        <f t="shared" si="1"/>
        <v>0</v>
      </c>
    </row>
    <row r="9" spans="1:8" ht="21.6" customHeight="1">
      <c r="A9" s="827">
        <v>1.3</v>
      </c>
      <c r="B9" s="419" t="s">
        <v>774</v>
      </c>
      <c r="C9" s="790"/>
      <c r="D9" s="790"/>
      <c r="E9" s="826">
        <f t="shared" si="0"/>
        <v>0</v>
      </c>
      <c r="F9" s="790"/>
      <c r="G9" s="790"/>
      <c r="H9" s="828">
        <f t="shared" si="1"/>
        <v>0</v>
      </c>
    </row>
    <row r="10" spans="1:8" ht="21">
      <c r="A10" s="827">
        <v>1.4</v>
      </c>
      <c r="B10" s="419" t="s">
        <v>730</v>
      </c>
      <c r="C10" s="790"/>
      <c r="D10" s="790"/>
      <c r="E10" s="826">
        <f t="shared" si="0"/>
        <v>0</v>
      </c>
      <c r="F10" s="790"/>
      <c r="G10" s="790"/>
      <c r="H10" s="828">
        <f t="shared" si="1"/>
        <v>0</v>
      </c>
    </row>
    <row r="11" spans="1:8">
      <c r="A11" s="827">
        <v>1.5</v>
      </c>
      <c r="B11" s="419" t="s">
        <v>733</v>
      </c>
      <c r="C11" s="790">
        <v>21735783.529210873</v>
      </c>
      <c r="D11" s="790">
        <v>16529671.005030375</v>
      </c>
      <c r="E11" s="826">
        <f t="shared" si="0"/>
        <v>38265454.534241244</v>
      </c>
      <c r="F11" s="790">
        <v>21753921.719807532</v>
      </c>
      <c r="G11" s="790">
        <v>14826423.948656773</v>
      </c>
      <c r="H11" s="828">
        <f t="shared" si="1"/>
        <v>36580345.668464303</v>
      </c>
    </row>
    <row r="12" spans="1:8">
      <c r="A12" s="827">
        <v>1.6</v>
      </c>
      <c r="B12" s="425" t="s">
        <v>99</v>
      </c>
      <c r="C12" s="790"/>
      <c r="D12" s="790"/>
      <c r="E12" s="826">
        <f t="shared" si="0"/>
        <v>0</v>
      </c>
      <c r="F12" s="790"/>
      <c r="G12" s="790"/>
      <c r="H12" s="828">
        <f t="shared" si="1"/>
        <v>0</v>
      </c>
    </row>
    <row r="13" spans="1:8">
      <c r="A13" s="827">
        <v>2</v>
      </c>
      <c r="B13" s="426" t="s">
        <v>775</v>
      </c>
      <c r="C13" s="825">
        <f>SUM(C14:C17)</f>
        <v>-4724389.8367154617</v>
      </c>
      <c r="D13" s="825">
        <f>SUM(D14:D17)</f>
        <v>-11606041.749970522</v>
      </c>
      <c r="E13" s="826">
        <f t="shared" si="0"/>
        <v>-16330431.586685983</v>
      </c>
      <c r="F13" s="825">
        <f>SUM(F14:F17)</f>
        <v>-3419239.6755434675</v>
      </c>
      <c r="G13" s="825">
        <f>SUM(G14:G17)</f>
        <v>-8050484.3361212341</v>
      </c>
      <c r="H13" s="828">
        <f t="shared" si="1"/>
        <v>-11469724.011664702</v>
      </c>
    </row>
    <row r="14" spans="1:8">
      <c r="A14" s="827">
        <v>2.1</v>
      </c>
      <c r="B14" s="419" t="s">
        <v>776</v>
      </c>
      <c r="C14" s="790"/>
      <c r="D14" s="790"/>
      <c r="E14" s="826">
        <f t="shared" si="0"/>
        <v>0</v>
      </c>
      <c r="F14" s="790"/>
      <c r="G14" s="790"/>
      <c r="H14" s="828">
        <f t="shared" si="1"/>
        <v>0</v>
      </c>
    </row>
    <row r="15" spans="1:8" ht="24.6" customHeight="1">
      <c r="A15" s="827">
        <v>2.2000000000000002</v>
      </c>
      <c r="B15" s="419" t="s">
        <v>777</v>
      </c>
      <c r="C15" s="790"/>
      <c r="D15" s="790"/>
      <c r="E15" s="826">
        <f t="shared" si="0"/>
        <v>0</v>
      </c>
      <c r="F15" s="790"/>
      <c r="G15" s="790"/>
      <c r="H15" s="828">
        <f t="shared" si="1"/>
        <v>0</v>
      </c>
    </row>
    <row r="16" spans="1:8" ht="20.45" customHeight="1">
      <c r="A16" s="827">
        <v>2.2999999999999998</v>
      </c>
      <c r="B16" s="419" t="s">
        <v>778</v>
      </c>
      <c r="C16" s="790">
        <v>-4724389.8367154617</v>
      </c>
      <c r="D16" s="790">
        <v>-11606041.749970522</v>
      </c>
      <c r="E16" s="826">
        <f t="shared" si="0"/>
        <v>-16330431.586685983</v>
      </c>
      <c r="F16" s="790">
        <v>-3419239.6755434675</v>
      </c>
      <c r="G16" s="790">
        <v>-8050484.3361212341</v>
      </c>
      <c r="H16" s="828">
        <f t="shared" si="1"/>
        <v>-11469724.011664702</v>
      </c>
    </row>
    <row r="17" spans="1:8">
      <c r="A17" s="827">
        <v>2.4</v>
      </c>
      <c r="B17" s="419" t="s">
        <v>779</v>
      </c>
      <c r="C17" s="790"/>
      <c r="D17" s="790"/>
      <c r="E17" s="826">
        <f t="shared" si="0"/>
        <v>0</v>
      </c>
      <c r="F17" s="790"/>
      <c r="G17" s="790"/>
      <c r="H17" s="828">
        <f t="shared" si="1"/>
        <v>0</v>
      </c>
    </row>
    <row r="18" spans="1:8">
      <c r="A18" s="827">
        <v>3</v>
      </c>
      <c r="B18" s="426" t="s">
        <v>780</v>
      </c>
      <c r="C18" s="790"/>
      <c r="D18" s="790"/>
      <c r="E18" s="826">
        <f t="shared" si="0"/>
        <v>0</v>
      </c>
      <c r="F18" s="790"/>
      <c r="G18" s="790"/>
      <c r="H18" s="828">
        <f t="shared" si="1"/>
        <v>0</v>
      </c>
    </row>
    <row r="19" spans="1:8">
      <c r="A19" s="827">
        <v>4</v>
      </c>
      <c r="B19" s="426" t="s">
        <v>781</v>
      </c>
      <c r="C19" s="790">
        <v>1629206.4700000002</v>
      </c>
      <c r="D19" s="790">
        <v>1515743.2230934172</v>
      </c>
      <c r="E19" s="826">
        <f t="shared" si="0"/>
        <v>3144949.6930934172</v>
      </c>
      <c r="F19" s="790">
        <v>1798089.9700000002</v>
      </c>
      <c r="G19" s="790">
        <v>1714753.5701380002</v>
      </c>
      <c r="H19" s="828">
        <f t="shared" si="1"/>
        <v>3512843.5401380006</v>
      </c>
    </row>
    <row r="20" spans="1:8">
      <c r="A20" s="827">
        <v>5</v>
      </c>
      <c r="B20" s="426" t="s">
        <v>782</v>
      </c>
      <c r="C20" s="790">
        <v>-415755.14999999997</v>
      </c>
      <c r="D20" s="790">
        <v>-607323.03020000004</v>
      </c>
      <c r="E20" s="826">
        <f t="shared" si="0"/>
        <v>-1023078.1802000001</v>
      </c>
      <c r="F20" s="790">
        <v>-405198.42000000004</v>
      </c>
      <c r="G20" s="790">
        <v>-532204.80935999996</v>
      </c>
      <c r="H20" s="828">
        <f t="shared" si="1"/>
        <v>-937403.22936</v>
      </c>
    </row>
    <row r="21" spans="1:8" ht="38.450000000000003" customHeight="1">
      <c r="A21" s="827">
        <v>6</v>
      </c>
      <c r="B21" s="426" t="s">
        <v>783</v>
      </c>
      <c r="C21" s="790"/>
      <c r="D21" s="790"/>
      <c r="E21" s="826">
        <f t="shared" si="0"/>
        <v>0</v>
      </c>
      <c r="F21" s="790"/>
      <c r="G21" s="790"/>
      <c r="H21" s="828">
        <f t="shared" si="1"/>
        <v>0</v>
      </c>
    </row>
    <row r="22" spans="1:8" ht="27.6" customHeight="1">
      <c r="A22" s="827">
        <v>7</v>
      </c>
      <c r="B22" s="426" t="s">
        <v>784</v>
      </c>
      <c r="C22" s="790"/>
      <c r="D22" s="790"/>
      <c r="E22" s="826">
        <f t="shared" si="0"/>
        <v>0</v>
      </c>
      <c r="F22" s="790"/>
      <c r="G22" s="790"/>
      <c r="H22" s="828">
        <f t="shared" si="1"/>
        <v>0</v>
      </c>
    </row>
    <row r="23" spans="1:8" ht="36.950000000000003" customHeight="1">
      <c r="A23" s="827">
        <v>8</v>
      </c>
      <c r="B23" s="427" t="s">
        <v>785</v>
      </c>
      <c r="C23" s="790"/>
      <c r="D23" s="790"/>
      <c r="E23" s="826">
        <f t="shared" si="0"/>
        <v>0</v>
      </c>
      <c r="F23" s="790"/>
      <c r="G23" s="790"/>
      <c r="H23" s="828">
        <f t="shared" si="1"/>
        <v>0</v>
      </c>
    </row>
    <row r="24" spans="1:8" ht="34.5" customHeight="1">
      <c r="A24" s="827">
        <v>9</v>
      </c>
      <c r="B24" s="427" t="s">
        <v>786</v>
      </c>
      <c r="C24" s="790"/>
      <c r="D24" s="790"/>
      <c r="E24" s="826">
        <f t="shared" si="0"/>
        <v>0</v>
      </c>
      <c r="F24" s="790"/>
      <c r="G24" s="790"/>
      <c r="H24" s="828">
        <f t="shared" si="1"/>
        <v>0</v>
      </c>
    </row>
    <row r="25" spans="1:8">
      <c r="A25" s="827">
        <v>10</v>
      </c>
      <c r="B25" s="426" t="s">
        <v>787</v>
      </c>
      <c r="C25" s="790">
        <v>1482294.2300000004</v>
      </c>
      <c r="D25" s="790">
        <v>0</v>
      </c>
      <c r="E25" s="826">
        <f t="shared" si="0"/>
        <v>1482294.2300000004</v>
      </c>
      <c r="F25" s="790">
        <v>3236661.4999999823</v>
      </c>
      <c r="G25" s="790"/>
      <c r="H25" s="828">
        <f t="shared" si="1"/>
        <v>3236661.4999999823</v>
      </c>
    </row>
    <row r="26" spans="1:8" ht="27" customHeight="1">
      <c r="A26" s="827">
        <v>11</v>
      </c>
      <c r="B26" s="428" t="s">
        <v>788</v>
      </c>
      <c r="C26" s="790"/>
      <c r="D26" s="790"/>
      <c r="E26" s="826">
        <f t="shared" si="0"/>
        <v>0</v>
      </c>
      <c r="F26" s="790"/>
      <c r="G26" s="790">
        <v>-69282.481836494146</v>
      </c>
      <c r="H26" s="828">
        <f t="shared" si="1"/>
        <v>-69282.481836494146</v>
      </c>
    </row>
    <row r="27" spans="1:8">
      <c r="A27" s="827">
        <v>12</v>
      </c>
      <c r="B27" s="426" t="s">
        <v>789</v>
      </c>
      <c r="C27" s="790"/>
      <c r="D27" s="790"/>
      <c r="E27" s="826">
        <f t="shared" si="0"/>
        <v>0</v>
      </c>
      <c r="F27" s="790"/>
      <c r="G27" s="790"/>
      <c r="H27" s="828">
        <f t="shared" si="1"/>
        <v>0</v>
      </c>
    </row>
    <row r="28" spans="1:8">
      <c r="A28" s="827">
        <v>13</v>
      </c>
      <c r="B28" s="429" t="s">
        <v>790</v>
      </c>
      <c r="C28" s="790"/>
      <c r="D28" s="790"/>
      <c r="E28" s="826">
        <f t="shared" si="0"/>
        <v>0</v>
      </c>
      <c r="F28" s="790"/>
      <c r="G28" s="790"/>
      <c r="H28" s="828">
        <f t="shared" si="1"/>
        <v>0</v>
      </c>
    </row>
    <row r="29" spans="1:8">
      <c r="A29" s="827">
        <v>14</v>
      </c>
      <c r="B29" s="430" t="s">
        <v>791</v>
      </c>
      <c r="C29" s="825">
        <f>SUM(C30:C31)</f>
        <v>-7480840.8168095071</v>
      </c>
      <c r="D29" s="825">
        <f>SUM(D30:D31)</f>
        <v>-2465972.466259188</v>
      </c>
      <c r="E29" s="826">
        <f t="shared" si="0"/>
        <v>-9946813.2830686942</v>
      </c>
      <c r="F29" s="825">
        <f>SUM(F30:F31)</f>
        <v>-7148136.1928648986</v>
      </c>
      <c r="G29" s="825">
        <f>SUM(G30:G31)</f>
        <v>-1734779.4658543942</v>
      </c>
      <c r="H29" s="828">
        <f t="shared" si="1"/>
        <v>-8882915.6587192938</v>
      </c>
    </row>
    <row r="30" spans="1:8">
      <c r="A30" s="827">
        <v>14.1</v>
      </c>
      <c r="B30" s="404" t="s">
        <v>792</v>
      </c>
      <c r="C30" s="790">
        <v>-4135108.6718662647</v>
      </c>
      <c r="D30" s="790">
        <v>-2351014.3062591879</v>
      </c>
      <c r="E30" s="826">
        <f t="shared" si="0"/>
        <v>-6486122.978125453</v>
      </c>
      <c r="F30" s="790">
        <v>-3999769.5328648984</v>
      </c>
      <c r="G30" s="790">
        <v>-1548360.9058543942</v>
      </c>
      <c r="H30" s="828">
        <f t="shared" si="1"/>
        <v>-5548130.4387192931</v>
      </c>
    </row>
    <row r="31" spans="1:8">
      <c r="A31" s="827">
        <v>14.2</v>
      </c>
      <c r="B31" s="404" t="s">
        <v>793</v>
      </c>
      <c r="C31" s="790">
        <v>-3345732.144943242</v>
      </c>
      <c r="D31" s="790">
        <v>-114958.16</v>
      </c>
      <c r="E31" s="826">
        <f t="shared" si="0"/>
        <v>-3460690.3049432421</v>
      </c>
      <c r="F31" s="790">
        <v>-3148366.6599999997</v>
      </c>
      <c r="G31" s="790">
        <v>-186418.56</v>
      </c>
      <c r="H31" s="828">
        <f t="shared" si="1"/>
        <v>-3334785.2199999997</v>
      </c>
    </row>
    <row r="32" spans="1:8">
      <c r="A32" s="827">
        <v>15</v>
      </c>
      <c r="B32" s="829" t="s">
        <v>794</v>
      </c>
      <c r="C32" s="790">
        <v>-1321410.2714304281</v>
      </c>
      <c r="D32" s="790">
        <v>0</v>
      </c>
      <c r="E32" s="826">
        <f t="shared" si="0"/>
        <v>-1321410.2714304281</v>
      </c>
      <c r="F32" s="790">
        <v>-1145681.1384999999</v>
      </c>
      <c r="G32" s="790">
        <v>0</v>
      </c>
      <c r="H32" s="828">
        <f t="shared" si="1"/>
        <v>-1145681.1384999999</v>
      </c>
    </row>
    <row r="33" spans="1:8" ht="22.5" customHeight="1">
      <c r="A33" s="827">
        <v>16</v>
      </c>
      <c r="B33" s="400" t="s">
        <v>795</v>
      </c>
      <c r="C33" s="790"/>
      <c r="D33" s="790"/>
      <c r="E33" s="826">
        <f t="shared" si="0"/>
        <v>0</v>
      </c>
      <c r="F33" s="790"/>
      <c r="G33" s="790"/>
      <c r="H33" s="828">
        <f t="shared" si="1"/>
        <v>0</v>
      </c>
    </row>
    <row r="34" spans="1:8">
      <c r="A34" s="827">
        <v>17</v>
      </c>
      <c r="B34" s="426" t="s">
        <v>796</v>
      </c>
      <c r="C34" s="825">
        <f>SUM(C35:C36)</f>
        <v>110353.13463569259</v>
      </c>
      <c r="D34" s="825">
        <f>SUM(D35:D36)</f>
        <v>4213.9652432427738</v>
      </c>
      <c r="E34" s="826">
        <f t="shared" si="0"/>
        <v>114567.09987893536</v>
      </c>
      <c r="F34" s="825">
        <f>SUM(F35:F36)</f>
        <v>-134094.64336697693</v>
      </c>
      <c r="G34" s="825">
        <f>SUM(G35:G36)</f>
        <v>-238292.01965685241</v>
      </c>
      <c r="H34" s="828">
        <f t="shared" si="1"/>
        <v>-372386.66302382934</v>
      </c>
    </row>
    <row r="35" spans="1:8">
      <c r="A35" s="827">
        <v>17.100000000000001</v>
      </c>
      <c r="B35" s="431" t="s">
        <v>797</v>
      </c>
      <c r="C35" s="790">
        <v>8838.4526281277213</v>
      </c>
      <c r="D35" s="790">
        <v>14540.83040457897</v>
      </c>
      <c r="E35" s="826">
        <f t="shared" si="0"/>
        <v>23379.283032706691</v>
      </c>
      <c r="F35" s="790">
        <v>-18910.533861996089</v>
      </c>
      <c r="G35" s="790">
        <v>-35775.830705039029</v>
      </c>
      <c r="H35" s="828">
        <f t="shared" si="1"/>
        <v>-54686.364567035118</v>
      </c>
    </row>
    <row r="36" spans="1:8">
      <c r="A36" s="827">
        <v>17.2</v>
      </c>
      <c r="B36" s="404" t="s">
        <v>798</v>
      </c>
      <c r="C36" s="790">
        <v>101514.68200756487</v>
      </c>
      <c r="D36" s="790">
        <v>-10326.865161336196</v>
      </c>
      <c r="E36" s="826">
        <f t="shared" si="0"/>
        <v>91187.81684622867</v>
      </c>
      <c r="F36" s="790">
        <v>-115184.10950498085</v>
      </c>
      <c r="G36" s="790">
        <v>-202516.18895181338</v>
      </c>
      <c r="H36" s="828">
        <f t="shared" si="1"/>
        <v>-317700.29845679423</v>
      </c>
    </row>
    <row r="37" spans="1:8" ht="41.45" customHeight="1">
      <c r="A37" s="827">
        <v>18</v>
      </c>
      <c r="B37" s="432" t="s">
        <v>799</v>
      </c>
      <c r="C37" s="825">
        <f>SUM(C38:C39)</f>
        <v>147191.86229814723</v>
      </c>
      <c r="D37" s="825">
        <f>SUM(D38:D39)</f>
        <v>240478.23496078438</v>
      </c>
      <c r="E37" s="826">
        <f t="shared" si="0"/>
        <v>387670.09725893161</v>
      </c>
      <c r="F37" s="825">
        <f>SUM(F38:F39)</f>
        <v>574356.78677559423</v>
      </c>
      <c r="G37" s="825">
        <f>SUM(G38:G39)</f>
        <v>-352169.73277207464</v>
      </c>
      <c r="H37" s="828">
        <f t="shared" si="1"/>
        <v>222187.05400351959</v>
      </c>
    </row>
    <row r="38" spans="1:8" ht="21">
      <c r="A38" s="827">
        <v>18.100000000000001</v>
      </c>
      <c r="B38" s="419" t="s">
        <v>800</v>
      </c>
      <c r="C38" s="790">
        <v>0</v>
      </c>
      <c r="D38" s="790">
        <v>0</v>
      </c>
      <c r="E38" s="826">
        <f t="shared" si="0"/>
        <v>0</v>
      </c>
      <c r="F38" s="790"/>
      <c r="G38" s="790"/>
      <c r="H38" s="828">
        <f t="shared" si="1"/>
        <v>0</v>
      </c>
    </row>
    <row r="39" spans="1:8">
      <c r="A39" s="827">
        <v>18.2</v>
      </c>
      <c r="B39" s="419" t="s">
        <v>801</v>
      </c>
      <c r="C39" s="790">
        <v>147191.86229814723</v>
      </c>
      <c r="D39" s="790">
        <v>240478.23496078438</v>
      </c>
      <c r="E39" s="826">
        <f t="shared" si="0"/>
        <v>387670.09725893161</v>
      </c>
      <c r="F39" s="790">
        <v>574356.78677559423</v>
      </c>
      <c r="G39" s="790">
        <v>-352169.73277207464</v>
      </c>
      <c r="H39" s="828">
        <f t="shared" si="1"/>
        <v>222187.05400351959</v>
      </c>
    </row>
    <row r="40" spans="1:8" ht="24.6" customHeight="1">
      <c r="A40" s="827">
        <v>19</v>
      </c>
      <c r="B40" s="432" t="s">
        <v>802</v>
      </c>
      <c r="C40" s="790"/>
      <c r="D40" s="790"/>
      <c r="E40" s="826">
        <f t="shared" si="0"/>
        <v>0</v>
      </c>
      <c r="F40" s="790"/>
      <c r="G40" s="790"/>
      <c r="H40" s="828">
        <f t="shared" si="1"/>
        <v>0</v>
      </c>
    </row>
    <row r="41" spans="1:8" ht="24.95" customHeight="1">
      <c r="A41" s="827">
        <v>20</v>
      </c>
      <c r="B41" s="432" t="s">
        <v>803</v>
      </c>
      <c r="C41" s="790"/>
      <c r="D41" s="790"/>
      <c r="E41" s="826">
        <f t="shared" si="0"/>
        <v>0</v>
      </c>
      <c r="F41" s="790"/>
      <c r="G41" s="790"/>
      <c r="H41" s="828">
        <f t="shared" si="1"/>
        <v>0</v>
      </c>
    </row>
    <row r="42" spans="1:8" ht="33" customHeight="1">
      <c r="A42" s="827">
        <v>21</v>
      </c>
      <c r="B42" s="433" t="s">
        <v>804</v>
      </c>
      <c r="C42" s="790"/>
      <c r="D42" s="790"/>
      <c r="E42" s="826">
        <f t="shared" si="0"/>
        <v>0</v>
      </c>
      <c r="F42" s="790"/>
      <c r="G42" s="790"/>
      <c r="H42" s="828">
        <f t="shared" si="1"/>
        <v>0</v>
      </c>
    </row>
    <row r="43" spans="1:8">
      <c r="A43" s="827">
        <v>22</v>
      </c>
      <c r="B43" s="830" t="s">
        <v>805</v>
      </c>
      <c r="C43" s="825">
        <f>SUM(C6,C13,C18,C19,C20,C21,C22,C23,C24,C25,C26,C27,C28,C29,C32,C33,C34,C37,C40,C41,C42)</f>
        <v>11162433.15118932</v>
      </c>
      <c r="D43" s="825">
        <f>SUM(D6,D13,D18,D19,D20,D21,D22,D23,D24,D25,D26,D27,D28,D29,D32,D33,D34,D37,D40,D41,D42)</f>
        <v>3610769.1818981096</v>
      </c>
      <c r="E43" s="826">
        <f t="shared" si="0"/>
        <v>14773202.333087429</v>
      </c>
      <c r="F43" s="825">
        <f>SUM(F6,F13,F18,F19,F20,F21,F22,F23,F24,F25,F26,F27,F28,F29,F32,F33,F34,F37,F40,F41,F42)</f>
        <v>15110679.906307761</v>
      </c>
      <c r="G43" s="825">
        <f>SUM(G6,G13,G18,G19,G20,G21,G22,G23,G24,G25,G26,G27,G28,G29,G32,G33,G34,G37,G40,G41,G42)</f>
        <v>5563964.6731937239</v>
      </c>
      <c r="H43" s="828">
        <f t="shared" si="1"/>
        <v>20674644.579501484</v>
      </c>
    </row>
    <row r="44" spans="1:8">
      <c r="A44" s="827">
        <v>23</v>
      </c>
      <c r="B44" s="830" t="s">
        <v>806</v>
      </c>
      <c r="C44" s="790">
        <v>2794477.05105111</v>
      </c>
      <c r="D44" s="790"/>
      <c r="E44" s="826">
        <f t="shared" si="0"/>
        <v>2794477.05105111</v>
      </c>
      <c r="F44" s="790">
        <v>3974179.82</v>
      </c>
      <c r="G44" s="790"/>
      <c r="H44" s="828">
        <f t="shared" si="1"/>
        <v>3974179.82</v>
      </c>
    </row>
    <row r="45" spans="1:8" ht="15.75" thickBot="1">
      <c r="A45" s="831">
        <v>24</v>
      </c>
      <c r="B45" s="832" t="s">
        <v>807</v>
      </c>
      <c r="C45" s="833">
        <f>C43-C44</f>
        <v>8367956.1001382098</v>
      </c>
      <c r="D45" s="833">
        <f>D43-D44</f>
        <v>3610769.1818981096</v>
      </c>
      <c r="E45" s="834">
        <f t="shared" si="0"/>
        <v>11978725.282036319</v>
      </c>
      <c r="F45" s="833">
        <f>F43-F44</f>
        <v>11136500.08630776</v>
      </c>
      <c r="G45" s="833">
        <f>G43-G44</f>
        <v>5563964.6731937239</v>
      </c>
      <c r="H45" s="835">
        <f t="shared" si="1"/>
        <v>16700464.759501483</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showGridLines="0" zoomScale="90" zoomScaleNormal="90" workbookViewId="0">
      <selection activeCell="B4" sqref="B4:B5"/>
    </sheetView>
  </sheetViews>
  <sheetFormatPr defaultRowHeight="15"/>
  <cols>
    <col min="1" max="1" width="8.7109375" style="435"/>
    <col min="2" max="2" width="87.5703125" bestFit="1" customWidth="1"/>
    <col min="3" max="8" width="14" bestFit="1" customWidth="1"/>
  </cols>
  <sheetData>
    <row r="1" spans="1:8" ht="15.75">
      <c r="A1" s="17" t="s">
        <v>108</v>
      </c>
      <c r="B1" s="603" t="str">
        <f>'1. key ratios'!B1</f>
        <v>სს იშბანკი საქართველო</v>
      </c>
      <c r="C1" s="16"/>
      <c r="D1" s="218"/>
      <c r="E1" s="218"/>
      <c r="F1" s="218"/>
      <c r="G1" s="218"/>
    </row>
    <row r="2" spans="1:8" ht="15.75">
      <c r="A2" s="17" t="s">
        <v>109</v>
      </c>
      <c r="B2" s="604">
        <f>'1. key ratios'!B2</f>
        <v>45657</v>
      </c>
      <c r="C2" s="29"/>
      <c r="D2" s="18"/>
      <c r="E2" s="18"/>
      <c r="F2" s="18"/>
      <c r="G2" s="18"/>
      <c r="H2" s="1"/>
    </row>
    <row r="3" spans="1:8" ht="16.5" thickBot="1">
      <c r="A3" s="17"/>
      <c r="B3" s="16"/>
      <c r="C3" s="29"/>
      <c r="D3" s="18"/>
      <c r="E3" s="18"/>
      <c r="F3" s="18"/>
      <c r="G3" s="18"/>
      <c r="H3" s="1"/>
    </row>
    <row r="4" spans="1:8" ht="15.75">
      <c r="A4" s="864" t="s">
        <v>25</v>
      </c>
      <c r="B4" s="877" t="s">
        <v>151</v>
      </c>
      <c r="C4" s="879" t="s">
        <v>114</v>
      </c>
      <c r="D4" s="879"/>
      <c r="E4" s="879"/>
      <c r="F4" s="879" t="s">
        <v>115</v>
      </c>
      <c r="G4" s="879"/>
      <c r="H4" s="880"/>
    </row>
    <row r="5" spans="1:8">
      <c r="A5" s="865"/>
      <c r="B5" s="878"/>
      <c r="C5" s="806" t="s">
        <v>26</v>
      </c>
      <c r="D5" s="806" t="s">
        <v>88</v>
      </c>
      <c r="E5" s="806" t="s">
        <v>66</v>
      </c>
      <c r="F5" s="806" t="s">
        <v>26</v>
      </c>
      <c r="G5" s="806" t="s">
        <v>88</v>
      </c>
      <c r="H5" s="807" t="s">
        <v>66</v>
      </c>
    </row>
    <row r="6" spans="1:8" ht="15.75">
      <c r="A6" s="809">
        <v>1</v>
      </c>
      <c r="B6" s="846" t="s">
        <v>808</v>
      </c>
      <c r="C6" s="836"/>
      <c r="D6" s="837"/>
      <c r="E6" s="838">
        <f t="shared" ref="E6:E43" si="0">C6+D6</f>
        <v>0</v>
      </c>
      <c r="F6" s="837"/>
      <c r="G6" s="837"/>
      <c r="H6" s="839">
        <f t="shared" ref="H6:H43" si="1">F6+G6</f>
        <v>0</v>
      </c>
    </row>
    <row r="7" spans="1:8" ht="15.75">
      <c r="A7" s="809">
        <v>2</v>
      </c>
      <c r="B7" s="847" t="s">
        <v>177</v>
      </c>
      <c r="C7" s="836"/>
      <c r="D7" s="837"/>
      <c r="E7" s="838">
        <f t="shared" si="0"/>
        <v>0</v>
      </c>
      <c r="F7" s="837"/>
      <c r="G7" s="837"/>
      <c r="H7" s="839">
        <f t="shared" si="1"/>
        <v>0</v>
      </c>
    </row>
    <row r="8" spans="1:8" ht="15.75">
      <c r="A8" s="809">
        <v>3</v>
      </c>
      <c r="B8" s="847" t="s">
        <v>179</v>
      </c>
      <c r="C8" s="840">
        <f>C9+C10</f>
        <v>200146770.3504422</v>
      </c>
      <c r="D8" s="841">
        <f>D9+D10</f>
        <v>154916107.81228399</v>
      </c>
      <c r="E8" s="838">
        <f t="shared" si="0"/>
        <v>355062878.16272616</v>
      </c>
      <c r="F8" s="841">
        <f>F9+F10</f>
        <v>122087773.04911514</v>
      </c>
      <c r="G8" s="841">
        <f>G9+G10</f>
        <v>143757090.08999997</v>
      </c>
      <c r="H8" s="839">
        <f t="shared" si="1"/>
        <v>265844863.1391151</v>
      </c>
    </row>
    <row r="9" spans="1:8" ht="15.75">
      <c r="A9" s="809">
        <v>3.1</v>
      </c>
      <c r="B9" s="848" t="s">
        <v>809</v>
      </c>
      <c r="C9" s="836">
        <v>123228439.12044221</v>
      </c>
      <c r="D9" s="837">
        <v>94386651.430245996</v>
      </c>
      <c r="E9" s="838">
        <f t="shared" si="0"/>
        <v>217615090.55068821</v>
      </c>
      <c r="F9" s="837">
        <v>77938074.13911514</v>
      </c>
      <c r="G9" s="837">
        <v>98833412.399999991</v>
      </c>
      <c r="H9" s="839">
        <f t="shared" si="1"/>
        <v>176771486.53911513</v>
      </c>
    </row>
    <row r="10" spans="1:8" ht="15.75">
      <c r="A10" s="809">
        <v>3.2</v>
      </c>
      <c r="B10" s="848" t="s">
        <v>810</v>
      </c>
      <c r="C10" s="836">
        <v>76918331.229999989</v>
      </c>
      <c r="D10" s="837">
        <v>60529456.382037997</v>
      </c>
      <c r="E10" s="838">
        <f t="shared" si="0"/>
        <v>137447787.61203799</v>
      </c>
      <c r="F10" s="837">
        <v>44149698.909999996</v>
      </c>
      <c r="G10" s="837">
        <v>44923677.689999998</v>
      </c>
      <c r="H10" s="839">
        <f t="shared" si="1"/>
        <v>89073376.599999994</v>
      </c>
    </row>
    <row r="11" spans="1:8" ht="15.75">
      <c r="A11" s="809">
        <v>4</v>
      </c>
      <c r="B11" s="847" t="s">
        <v>178</v>
      </c>
      <c r="C11" s="840">
        <f>C12+C13</f>
        <v>34118000</v>
      </c>
      <c r="D11" s="841">
        <f>D12+D13</f>
        <v>0</v>
      </c>
      <c r="E11" s="838">
        <f t="shared" si="0"/>
        <v>34118000</v>
      </c>
      <c r="F11" s="841">
        <f>F12+F13</f>
        <v>0</v>
      </c>
      <c r="G11" s="841">
        <f>G12+G13</f>
        <v>0</v>
      </c>
      <c r="H11" s="839">
        <f t="shared" si="1"/>
        <v>0</v>
      </c>
    </row>
    <row r="12" spans="1:8" ht="15.75">
      <c r="A12" s="809">
        <v>4.0999999999999996</v>
      </c>
      <c r="B12" s="848" t="s">
        <v>811</v>
      </c>
      <c r="C12" s="836">
        <v>34118000</v>
      </c>
      <c r="D12" s="837"/>
      <c r="E12" s="838">
        <f t="shared" si="0"/>
        <v>34118000</v>
      </c>
      <c r="F12" s="837"/>
      <c r="G12" s="837"/>
      <c r="H12" s="839">
        <f t="shared" si="1"/>
        <v>0</v>
      </c>
    </row>
    <row r="13" spans="1:8" ht="15.75">
      <c r="A13" s="809">
        <v>4.2</v>
      </c>
      <c r="B13" s="848" t="s">
        <v>812</v>
      </c>
      <c r="C13" s="836"/>
      <c r="D13" s="837"/>
      <c r="E13" s="838">
        <f t="shared" si="0"/>
        <v>0</v>
      </c>
      <c r="F13" s="837"/>
      <c r="G13" s="837"/>
      <c r="H13" s="839">
        <f t="shared" si="1"/>
        <v>0</v>
      </c>
    </row>
    <row r="14" spans="1:8" ht="15.75">
      <c r="A14" s="809">
        <v>5</v>
      </c>
      <c r="B14" s="849" t="s">
        <v>813</v>
      </c>
      <c r="C14" s="840">
        <f>C15+C16+C17+C23+C24+C25+C26</f>
        <v>7565968.0651499974</v>
      </c>
      <c r="D14" s="841">
        <f>D15+D16+D17+D23+D24+D25+D26</f>
        <v>318292580.65400529</v>
      </c>
      <c r="E14" s="838">
        <f t="shared" si="0"/>
        <v>325858548.71915531</v>
      </c>
      <c r="F14" s="841">
        <f>F15+F16+F17+F23+F24+F25+F26</f>
        <v>9529762.9166499991</v>
      </c>
      <c r="G14" s="841">
        <f>G15+G16+G17+G23+G24+G25+G26</f>
        <v>253373673.93460473</v>
      </c>
      <c r="H14" s="839">
        <f t="shared" si="1"/>
        <v>262903436.85125473</v>
      </c>
    </row>
    <row r="15" spans="1:8" ht="15.75">
      <c r="A15" s="809">
        <v>5.0999999999999996</v>
      </c>
      <c r="B15" s="850" t="s">
        <v>814</v>
      </c>
      <c r="C15" s="836">
        <v>7565968.0651499974</v>
      </c>
      <c r="D15" s="837">
        <v>17075057.173148289</v>
      </c>
      <c r="E15" s="838">
        <f t="shared" si="0"/>
        <v>24641025.238298286</v>
      </c>
      <c r="F15" s="837">
        <v>9529762.9166499991</v>
      </c>
      <c r="G15" s="837">
        <v>7980115.0444438551</v>
      </c>
      <c r="H15" s="839">
        <f t="shared" si="1"/>
        <v>17509877.961093854</v>
      </c>
    </row>
    <row r="16" spans="1:8" ht="15.75">
      <c r="A16" s="809">
        <v>5.2</v>
      </c>
      <c r="B16" s="850" t="s">
        <v>815</v>
      </c>
      <c r="C16" s="836"/>
      <c r="D16" s="837"/>
      <c r="E16" s="838">
        <f t="shared" si="0"/>
        <v>0</v>
      </c>
      <c r="F16" s="837"/>
      <c r="G16" s="837"/>
      <c r="H16" s="839">
        <f t="shared" si="1"/>
        <v>0</v>
      </c>
    </row>
    <row r="17" spans="1:8" ht="15.75">
      <c r="A17" s="809">
        <v>5.3</v>
      </c>
      <c r="B17" s="850" t="s">
        <v>816</v>
      </c>
      <c r="C17" s="840">
        <f>C18+C19+C20+C21+C22</f>
        <v>0</v>
      </c>
      <c r="D17" s="841">
        <f>D18+D19+D20+D21+D22</f>
        <v>279154234.69604516</v>
      </c>
      <c r="E17" s="838">
        <f t="shared" si="0"/>
        <v>279154234.69604516</v>
      </c>
      <c r="F17" s="840">
        <f>F18+F19+F20+F21+F22</f>
        <v>0</v>
      </c>
      <c r="G17" s="841">
        <f>G18+G19+G20+G21+G22</f>
        <v>223944503.69187421</v>
      </c>
      <c r="H17" s="839">
        <f t="shared" si="1"/>
        <v>223944503.69187421</v>
      </c>
    </row>
    <row r="18" spans="1:8" ht="15.75">
      <c r="A18" s="809" t="s">
        <v>180</v>
      </c>
      <c r="B18" s="851" t="s">
        <v>817</v>
      </c>
      <c r="C18" s="836"/>
      <c r="D18" s="837">
        <v>27270577.187456656</v>
      </c>
      <c r="E18" s="838">
        <f t="shared" si="0"/>
        <v>27270577.187456656</v>
      </c>
      <c r="F18" s="837"/>
      <c r="G18" s="837">
        <v>32686834.482160974</v>
      </c>
      <c r="H18" s="839">
        <f t="shared" si="1"/>
        <v>32686834.482160974</v>
      </c>
    </row>
    <row r="19" spans="1:8" ht="15.75">
      <c r="A19" s="809" t="s">
        <v>181</v>
      </c>
      <c r="B19" s="852" t="s">
        <v>818</v>
      </c>
      <c r="C19" s="836"/>
      <c r="D19" s="837">
        <v>168842877.71157059</v>
      </c>
      <c r="E19" s="838">
        <f t="shared" si="0"/>
        <v>168842877.71157059</v>
      </c>
      <c r="F19" s="837"/>
      <c r="G19" s="837">
        <v>161617069.01070905</v>
      </c>
      <c r="H19" s="839">
        <f t="shared" si="1"/>
        <v>161617069.01070905</v>
      </c>
    </row>
    <row r="20" spans="1:8" ht="15.75">
      <c r="A20" s="809" t="s">
        <v>182</v>
      </c>
      <c r="B20" s="852" t="s">
        <v>819</v>
      </c>
      <c r="C20" s="836"/>
      <c r="D20" s="837">
        <v>167492.54081762713</v>
      </c>
      <c r="E20" s="838">
        <f t="shared" si="0"/>
        <v>167492.54081762713</v>
      </c>
      <c r="F20" s="837"/>
      <c r="G20" s="837">
        <v>161299.23086038901</v>
      </c>
      <c r="H20" s="839">
        <f t="shared" si="1"/>
        <v>161299.23086038901</v>
      </c>
    </row>
    <row r="21" spans="1:8" ht="15.75">
      <c r="A21" s="809" t="s">
        <v>183</v>
      </c>
      <c r="B21" s="852" t="s">
        <v>820</v>
      </c>
      <c r="C21" s="836"/>
      <c r="D21" s="837">
        <v>82873287.256200284</v>
      </c>
      <c r="E21" s="838">
        <f t="shared" si="0"/>
        <v>82873287.256200284</v>
      </c>
      <c r="F21" s="837"/>
      <c r="G21" s="837">
        <v>29479300.968143806</v>
      </c>
      <c r="H21" s="839">
        <f t="shared" si="1"/>
        <v>29479300.968143806</v>
      </c>
    </row>
    <row r="22" spans="1:8" ht="15.75">
      <c r="A22" s="809" t="s">
        <v>184</v>
      </c>
      <c r="B22" s="852" t="s">
        <v>537</v>
      </c>
      <c r="C22" s="836"/>
      <c r="D22" s="837">
        <v>0</v>
      </c>
      <c r="E22" s="838">
        <f t="shared" si="0"/>
        <v>0</v>
      </c>
      <c r="F22" s="837"/>
      <c r="G22" s="837">
        <v>0</v>
      </c>
      <c r="H22" s="839">
        <f t="shared" si="1"/>
        <v>0</v>
      </c>
    </row>
    <row r="23" spans="1:8" ht="15.75">
      <c r="A23" s="809">
        <v>5.4</v>
      </c>
      <c r="B23" s="850" t="s">
        <v>821</v>
      </c>
      <c r="C23" s="836"/>
      <c r="D23" s="837">
        <v>16382663.927371485</v>
      </c>
      <c r="E23" s="838">
        <f t="shared" si="0"/>
        <v>16382663.927371485</v>
      </c>
      <c r="F23" s="837"/>
      <c r="G23" s="837">
        <v>15999321.059883785</v>
      </c>
      <c r="H23" s="839">
        <f t="shared" si="1"/>
        <v>15999321.059883785</v>
      </c>
    </row>
    <row r="24" spans="1:8" ht="15.75">
      <c r="A24" s="809">
        <v>5.5</v>
      </c>
      <c r="B24" s="850" t="s">
        <v>822</v>
      </c>
      <c r="C24" s="836"/>
      <c r="D24" s="837">
        <v>0</v>
      </c>
      <c r="E24" s="838">
        <f t="shared" si="0"/>
        <v>0</v>
      </c>
      <c r="F24" s="837"/>
      <c r="G24" s="837">
        <v>0</v>
      </c>
      <c r="H24" s="839">
        <f t="shared" si="1"/>
        <v>0</v>
      </c>
    </row>
    <row r="25" spans="1:8" ht="15.75">
      <c r="A25" s="809">
        <v>5.6</v>
      </c>
      <c r="B25" s="850" t="s">
        <v>823</v>
      </c>
      <c r="C25" s="836"/>
      <c r="D25" s="837">
        <v>0</v>
      </c>
      <c r="E25" s="838">
        <f t="shared" si="0"/>
        <v>0</v>
      </c>
      <c r="F25" s="837"/>
      <c r="G25" s="837">
        <v>0</v>
      </c>
      <c r="H25" s="839">
        <f t="shared" si="1"/>
        <v>0</v>
      </c>
    </row>
    <row r="26" spans="1:8" ht="15.75">
      <c r="A26" s="809">
        <v>5.7</v>
      </c>
      <c r="B26" s="850" t="s">
        <v>537</v>
      </c>
      <c r="C26" s="836"/>
      <c r="D26" s="837">
        <v>5680624.8574403506</v>
      </c>
      <c r="E26" s="838">
        <f t="shared" si="0"/>
        <v>5680624.8574403506</v>
      </c>
      <c r="F26" s="837"/>
      <c r="G26" s="837">
        <v>5449734.1384029165</v>
      </c>
      <c r="H26" s="839">
        <f t="shared" si="1"/>
        <v>5449734.1384029165</v>
      </c>
    </row>
    <row r="27" spans="1:8" ht="15.75">
      <c r="A27" s="809">
        <v>6</v>
      </c>
      <c r="B27" s="849" t="s">
        <v>824</v>
      </c>
      <c r="C27" s="836">
        <v>0</v>
      </c>
      <c r="D27" s="837">
        <v>0</v>
      </c>
      <c r="E27" s="838">
        <f t="shared" si="0"/>
        <v>0</v>
      </c>
      <c r="F27" s="837">
        <v>48352.639999999999</v>
      </c>
      <c r="G27" s="837">
        <v>0</v>
      </c>
      <c r="H27" s="839">
        <f t="shared" si="1"/>
        <v>48352.639999999999</v>
      </c>
    </row>
    <row r="28" spans="1:8" ht="15.75">
      <c r="A28" s="809">
        <v>7</v>
      </c>
      <c r="B28" s="849" t="s">
        <v>825</v>
      </c>
      <c r="C28" s="836">
        <v>81699575.260000005</v>
      </c>
      <c r="D28" s="837">
        <v>78480318.115577996</v>
      </c>
      <c r="E28" s="838">
        <f t="shared" si="0"/>
        <v>160179893.37557799</v>
      </c>
      <c r="F28" s="837">
        <v>48500097.590000004</v>
      </c>
      <c r="G28" s="837">
        <v>72645790.189999998</v>
      </c>
      <c r="H28" s="839">
        <f t="shared" si="1"/>
        <v>121145887.78</v>
      </c>
    </row>
    <row r="29" spans="1:8" ht="15.75">
      <c r="A29" s="809">
        <v>8</v>
      </c>
      <c r="B29" s="849" t="s">
        <v>826</v>
      </c>
      <c r="C29" s="836">
        <v>0</v>
      </c>
      <c r="D29" s="837">
        <v>0</v>
      </c>
      <c r="E29" s="838">
        <f t="shared" si="0"/>
        <v>0</v>
      </c>
      <c r="F29" s="837"/>
      <c r="G29" s="837"/>
      <c r="H29" s="839">
        <f t="shared" si="1"/>
        <v>0</v>
      </c>
    </row>
    <row r="30" spans="1:8" ht="15.75">
      <c r="A30" s="809">
        <v>9</v>
      </c>
      <c r="B30" s="847" t="s">
        <v>185</v>
      </c>
      <c r="C30" s="836">
        <f>C31+C32+C33+C34+C35+C36+C37</f>
        <v>0</v>
      </c>
      <c r="D30" s="837">
        <f>D31+D32+D33+D34+D35+D36+D37</f>
        <v>0</v>
      </c>
      <c r="E30" s="838">
        <f t="shared" si="0"/>
        <v>0</v>
      </c>
      <c r="F30" s="837">
        <f>F31+F32+F33+F34+F35+F36+F37</f>
        <v>0</v>
      </c>
      <c r="G30" s="837">
        <f>G31+G32+G33+G34+G35+G36+G37</f>
        <v>0</v>
      </c>
      <c r="H30" s="839">
        <f t="shared" si="1"/>
        <v>0</v>
      </c>
    </row>
    <row r="31" spans="1:8" ht="25.5">
      <c r="A31" s="809">
        <v>9.1</v>
      </c>
      <c r="B31" s="848" t="s">
        <v>827</v>
      </c>
      <c r="C31" s="836"/>
      <c r="D31" s="837"/>
      <c r="E31" s="838">
        <f t="shared" si="0"/>
        <v>0</v>
      </c>
      <c r="F31" s="837"/>
      <c r="G31" s="837"/>
      <c r="H31" s="839">
        <f t="shared" si="1"/>
        <v>0</v>
      </c>
    </row>
    <row r="32" spans="1:8" ht="25.5">
      <c r="A32" s="809">
        <v>9.1999999999999993</v>
      </c>
      <c r="B32" s="848" t="s">
        <v>828</v>
      </c>
      <c r="C32" s="836"/>
      <c r="D32" s="837"/>
      <c r="E32" s="838">
        <f t="shared" si="0"/>
        <v>0</v>
      </c>
      <c r="F32" s="837"/>
      <c r="G32" s="837"/>
      <c r="H32" s="839">
        <f t="shared" si="1"/>
        <v>0</v>
      </c>
    </row>
    <row r="33" spans="1:8" ht="15.75">
      <c r="A33" s="809">
        <v>9.3000000000000007</v>
      </c>
      <c r="B33" s="848" t="s">
        <v>829</v>
      </c>
      <c r="C33" s="836"/>
      <c r="D33" s="837"/>
      <c r="E33" s="838">
        <f t="shared" si="0"/>
        <v>0</v>
      </c>
      <c r="F33" s="837"/>
      <c r="G33" s="837"/>
      <c r="H33" s="839">
        <f t="shared" si="1"/>
        <v>0</v>
      </c>
    </row>
    <row r="34" spans="1:8" ht="15.75">
      <c r="A34" s="809">
        <v>9.4</v>
      </c>
      <c r="B34" s="848" t="s">
        <v>830</v>
      </c>
      <c r="C34" s="836"/>
      <c r="D34" s="837"/>
      <c r="E34" s="838">
        <f t="shared" si="0"/>
        <v>0</v>
      </c>
      <c r="F34" s="837"/>
      <c r="G34" s="837"/>
      <c r="H34" s="839">
        <f t="shared" si="1"/>
        <v>0</v>
      </c>
    </row>
    <row r="35" spans="1:8" ht="15.75">
      <c r="A35" s="809">
        <v>9.5</v>
      </c>
      <c r="B35" s="848" t="s">
        <v>831</v>
      </c>
      <c r="C35" s="836"/>
      <c r="D35" s="837"/>
      <c r="E35" s="838">
        <f t="shared" si="0"/>
        <v>0</v>
      </c>
      <c r="F35" s="837"/>
      <c r="G35" s="837"/>
      <c r="H35" s="839">
        <f t="shared" si="1"/>
        <v>0</v>
      </c>
    </row>
    <row r="36" spans="1:8" ht="25.5">
      <c r="A36" s="809">
        <v>9.6</v>
      </c>
      <c r="B36" s="848" t="s">
        <v>832</v>
      </c>
      <c r="C36" s="836"/>
      <c r="D36" s="837"/>
      <c r="E36" s="838">
        <f t="shared" si="0"/>
        <v>0</v>
      </c>
      <c r="F36" s="837"/>
      <c r="G36" s="837"/>
      <c r="H36" s="839">
        <f t="shared" si="1"/>
        <v>0</v>
      </c>
    </row>
    <row r="37" spans="1:8" ht="25.5">
      <c r="A37" s="809">
        <v>9.6999999999999993</v>
      </c>
      <c r="B37" s="848" t="s">
        <v>833</v>
      </c>
      <c r="C37" s="836"/>
      <c r="D37" s="837"/>
      <c r="E37" s="838">
        <f t="shared" si="0"/>
        <v>0</v>
      </c>
      <c r="F37" s="837"/>
      <c r="G37" s="837"/>
      <c r="H37" s="839">
        <f t="shared" si="1"/>
        <v>0</v>
      </c>
    </row>
    <row r="38" spans="1:8" ht="15.75">
      <c r="A38" s="809">
        <v>10</v>
      </c>
      <c r="B38" s="853" t="s">
        <v>834</v>
      </c>
      <c r="C38" s="836">
        <f>C39+C40+C41+C42</f>
        <v>0</v>
      </c>
      <c r="D38" s="837">
        <f>D39+D40+D41+D42</f>
        <v>0</v>
      </c>
      <c r="E38" s="838">
        <f t="shared" si="0"/>
        <v>0</v>
      </c>
      <c r="F38" s="837">
        <f>F39+F40+F41+F42</f>
        <v>0</v>
      </c>
      <c r="G38" s="837">
        <f>G39+G40+G41+G42</f>
        <v>0</v>
      </c>
      <c r="H38" s="839">
        <f t="shared" si="1"/>
        <v>0</v>
      </c>
    </row>
    <row r="39" spans="1:8" ht="15.75">
      <c r="A39" s="809">
        <v>10.1</v>
      </c>
      <c r="B39" s="848" t="s">
        <v>835</v>
      </c>
      <c r="C39" s="836"/>
      <c r="D39" s="837"/>
      <c r="E39" s="838">
        <f t="shared" si="0"/>
        <v>0</v>
      </c>
      <c r="F39" s="837"/>
      <c r="G39" s="837"/>
      <c r="H39" s="839">
        <f t="shared" si="1"/>
        <v>0</v>
      </c>
    </row>
    <row r="40" spans="1:8" ht="25.5">
      <c r="A40" s="809">
        <v>10.199999999999999</v>
      </c>
      <c r="B40" s="848" t="s">
        <v>836</v>
      </c>
      <c r="C40" s="836"/>
      <c r="D40" s="837"/>
      <c r="E40" s="838">
        <f t="shared" si="0"/>
        <v>0</v>
      </c>
      <c r="F40" s="837"/>
      <c r="G40" s="837"/>
      <c r="H40" s="839">
        <f t="shared" si="1"/>
        <v>0</v>
      </c>
    </row>
    <row r="41" spans="1:8" ht="25.5">
      <c r="A41" s="809">
        <v>10.3</v>
      </c>
      <c r="B41" s="848" t="s">
        <v>837</v>
      </c>
      <c r="C41" s="836"/>
      <c r="D41" s="837"/>
      <c r="E41" s="838">
        <f t="shared" si="0"/>
        <v>0</v>
      </c>
      <c r="F41" s="837"/>
      <c r="G41" s="837"/>
      <c r="H41" s="839">
        <f t="shared" si="1"/>
        <v>0</v>
      </c>
    </row>
    <row r="42" spans="1:8" ht="25.5">
      <c r="A42" s="809">
        <v>10.4</v>
      </c>
      <c r="B42" s="848" t="s">
        <v>838</v>
      </c>
      <c r="C42" s="836"/>
      <c r="D42" s="837"/>
      <c r="E42" s="838">
        <f t="shared" si="0"/>
        <v>0</v>
      </c>
      <c r="F42" s="837"/>
      <c r="G42" s="837"/>
      <c r="H42" s="839">
        <f t="shared" si="1"/>
        <v>0</v>
      </c>
    </row>
    <row r="43" spans="1:8" ht="16.5" thickBot="1">
      <c r="A43" s="822">
        <v>11</v>
      </c>
      <c r="B43" s="854" t="s">
        <v>186</v>
      </c>
      <c r="C43" s="842"/>
      <c r="D43" s="843"/>
      <c r="E43" s="844">
        <f t="shared" si="0"/>
        <v>0</v>
      </c>
      <c r="F43" s="843"/>
      <c r="G43" s="843"/>
      <c r="H43" s="845">
        <f t="shared" si="1"/>
        <v>0</v>
      </c>
    </row>
    <row r="44" spans="1:8" ht="15.75">
      <c r="C44" s="436"/>
      <c r="D44" s="436"/>
      <c r="E44" s="436"/>
      <c r="F44" s="436"/>
      <c r="G44" s="436"/>
      <c r="H44" s="436"/>
    </row>
    <row r="45" spans="1:8" ht="15.75">
      <c r="C45" s="436"/>
      <c r="D45" s="436"/>
      <c r="E45" s="436"/>
      <c r="F45" s="436"/>
      <c r="G45" s="436"/>
      <c r="H45" s="436"/>
    </row>
    <row r="46" spans="1:8" ht="15.75">
      <c r="C46" s="436"/>
      <c r="D46" s="436"/>
      <c r="E46" s="436"/>
      <c r="F46" s="436"/>
      <c r="G46" s="436"/>
      <c r="H46" s="436"/>
    </row>
    <row r="47" spans="1:8" ht="15.75">
      <c r="C47" s="436"/>
      <c r="D47" s="436"/>
      <c r="E47" s="436"/>
      <c r="F47" s="436"/>
      <c r="G47" s="436"/>
      <c r="H47" s="436"/>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9.5703125" style="2" bestFit="1" customWidth="1"/>
    <col min="2" max="2" width="93.5703125" style="2" customWidth="1"/>
    <col min="3" max="4" width="12.7109375" style="2" customWidth="1"/>
    <col min="5" max="7" width="10.85546875" style="12" bestFit="1" customWidth="1"/>
    <col min="8" max="11" width="9.7109375" style="12" customWidth="1"/>
    <col min="12" max="16384" width="9.140625" style="12"/>
  </cols>
  <sheetData>
    <row r="1" spans="1:8" ht="15">
      <c r="A1" s="17" t="s">
        <v>108</v>
      </c>
      <c r="B1" s="603" t="str">
        <f>'1. key ratios'!B1</f>
        <v>სს იშბანკი საქართველო</v>
      </c>
      <c r="C1" s="16"/>
      <c r="D1" s="218"/>
    </row>
    <row r="2" spans="1:8" ht="15">
      <c r="A2" s="17" t="s">
        <v>109</v>
      </c>
      <c r="B2" s="604">
        <f>'1. key ratios'!B2</f>
        <v>45657</v>
      </c>
      <c r="C2" s="29"/>
      <c r="D2" s="18"/>
      <c r="E2" s="11"/>
      <c r="F2" s="11"/>
      <c r="G2" s="11"/>
      <c r="H2" s="11"/>
    </row>
    <row r="3" spans="1:8" ht="15">
      <c r="A3" s="17"/>
      <c r="B3" s="16"/>
      <c r="C3" s="29"/>
      <c r="D3" s="18"/>
      <c r="E3" s="11"/>
      <c r="F3" s="11"/>
      <c r="G3" s="11"/>
      <c r="H3" s="11"/>
    </row>
    <row r="4" spans="1:8" ht="15" customHeight="1" thickBot="1">
      <c r="A4" s="151" t="s">
        <v>253</v>
      </c>
      <c r="B4" s="152" t="s">
        <v>107</v>
      </c>
      <c r="C4" s="153" t="s">
        <v>87</v>
      </c>
    </row>
    <row r="5" spans="1:8" ht="15" customHeight="1">
      <c r="A5" s="149" t="s">
        <v>25</v>
      </c>
      <c r="B5" s="150"/>
      <c r="C5" s="771" t="str">
        <f>INT((MONTH($B$2))/3)&amp;"Q"&amp;"-"&amp;YEAR($B$2)</f>
        <v>4Q-2024</v>
      </c>
      <c r="D5" s="771" t="str">
        <f>IF(INT(MONTH($B$2))=3, "4"&amp;"Q"&amp;"-"&amp;YEAR($B$2)-1, IF(INT(MONTH($B$2))=6, "1"&amp;"Q"&amp;"-"&amp;YEAR($B$2), IF(INT(MONTH($B$2))=9, "2"&amp;"Q"&amp;"-"&amp;YEAR($B$2),IF(INT(MONTH($B$2))=12, "3"&amp;"Q"&amp;"-"&amp;YEAR($B$2), 0))))</f>
        <v>3Q-2024</v>
      </c>
      <c r="E5" s="771" t="str">
        <f>IF(INT(MONTH($B$2))=3, "3"&amp;"Q"&amp;"-"&amp;YEAR($B$2)-1, IF(INT(MONTH($B$2))=6, "4"&amp;"Q"&amp;"-"&amp;YEAR($B$2)-1, IF(INT(MONTH($B$2))=9, "1"&amp;"Q"&amp;"-"&amp;YEAR($B$2),IF(INT(MONTH($B$2))=12, "2"&amp;"Q"&amp;"-"&amp;YEAR($B$2), 0))))</f>
        <v>2Q-2024</v>
      </c>
      <c r="F5" s="771" t="str">
        <f>IF(INT(MONTH($B$2))=3, "2"&amp;"Q"&amp;"-"&amp;YEAR($B$2)-1, IF(INT(MONTH($B$2))=6, "3"&amp;"Q"&amp;"-"&amp;YEAR($B$2)-1, IF(INT(MONTH($B$2))=9, "4"&amp;"Q"&amp;"-"&amp;YEAR($B$2)-1,IF(INT(MONTH($B$2))=12, "1"&amp;"Q"&amp;"-"&amp;YEAR($B$2), 0))))</f>
        <v>1Q-2024</v>
      </c>
      <c r="G5" s="771" t="str">
        <f>IF(INT(MONTH($B$2))=3, "1"&amp;"Q"&amp;"-"&amp;YEAR($B$2)-1, IF(INT(MONTH($B$2))=6, "2"&amp;"Q"&amp;"-"&amp;YEAR($B$2)-1, IF(INT(MONTH($B$2))=9, "3"&amp;"Q"&amp;"-"&amp;YEAR($B$2)-1,IF(INT(MONTH($B$2))=12, "4"&amp;"Q"&amp;"-"&amp;YEAR($B$2)-1, 0))))</f>
        <v>4Q-2023</v>
      </c>
    </row>
    <row r="6" spans="1:8" ht="15" customHeight="1">
      <c r="A6" s="254">
        <v>1</v>
      </c>
      <c r="B6" s="308" t="s">
        <v>112</v>
      </c>
      <c r="C6" s="620">
        <f>C7+C9+C10</f>
        <v>505920620.41776514</v>
      </c>
      <c r="D6" s="621">
        <f>D7+D9+D10</f>
        <v>451023241.76627278</v>
      </c>
      <c r="E6" s="622">
        <f t="shared" ref="E6:G6" si="0">E7+E9+E10</f>
        <v>453465952.97883582</v>
      </c>
      <c r="F6" s="620">
        <f t="shared" si="0"/>
        <v>463663570.65652567</v>
      </c>
      <c r="G6" s="623">
        <f t="shared" si="0"/>
        <v>456390072.67758626</v>
      </c>
    </row>
    <row r="7" spans="1:8" ht="15" customHeight="1">
      <c r="A7" s="254">
        <v>1.1000000000000001</v>
      </c>
      <c r="B7" s="255" t="s">
        <v>435</v>
      </c>
      <c r="C7" s="618">
        <v>436667818.09710544</v>
      </c>
      <c r="D7" s="311">
        <v>392031044.3125686</v>
      </c>
      <c r="E7" s="256">
        <v>400916828.91723734</v>
      </c>
      <c r="F7" s="256">
        <v>402269054.15615577</v>
      </c>
      <c r="G7" s="312">
        <v>395899523.99194574</v>
      </c>
    </row>
    <row r="8" spans="1:8" ht="25.5">
      <c r="A8" s="254" t="s">
        <v>157</v>
      </c>
      <c r="B8" s="257" t="s">
        <v>250</v>
      </c>
      <c r="C8" s="618"/>
      <c r="D8" s="311"/>
      <c r="E8" s="256"/>
      <c r="F8" s="256"/>
      <c r="G8" s="312"/>
    </row>
    <row r="9" spans="1:8" ht="15" customHeight="1">
      <c r="A9" s="254">
        <v>1.2</v>
      </c>
      <c r="B9" s="255" t="s">
        <v>21</v>
      </c>
      <c r="C9" s="618">
        <v>69252802.320659697</v>
      </c>
      <c r="D9" s="311">
        <v>58992197.453704193</v>
      </c>
      <c r="E9" s="256">
        <v>52549124.061598495</v>
      </c>
      <c r="F9" s="256">
        <v>61394516.500369921</v>
      </c>
      <c r="G9" s="312">
        <v>60490548.685640536</v>
      </c>
    </row>
    <row r="10" spans="1:8" ht="15" customHeight="1">
      <c r="A10" s="254">
        <v>1.3</v>
      </c>
      <c r="B10" s="309" t="s">
        <v>74</v>
      </c>
      <c r="C10" s="619"/>
      <c r="D10" s="311"/>
      <c r="E10" s="258"/>
      <c r="F10" s="256"/>
      <c r="G10" s="313"/>
    </row>
    <row r="11" spans="1:8" ht="15" customHeight="1">
      <c r="A11" s="254">
        <v>2</v>
      </c>
      <c r="B11" s="308" t="s">
        <v>113</v>
      </c>
      <c r="C11" s="618">
        <v>2918293.1334402016</v>
      </c>
      <c r="D11" s="311">
        <v>683468.83679594751</v>
      </c>
      <c r="E11" s="256">
        <v>1037501.9833303278</v>
      </c>
      <c r="F11" s="256">
        <v>1611426.084706008</v>
      </c>
      <c r="G11" s="312">
        <v>1630160.4093773637</v>
      </c>
    </row>
    <row r="12" spans="1:8" ht="15" customHeight="1">
      <c r="A12" s="268">
        <v>3</v>
      </c>
      <c r="B12" s="310" t="s">
        <v>111</v>
      </c>
      <c r="C12" s="619">
        <v>53560166.794155389</v>
      </c>
      <c r="D12" s="311">
        <v>50929556.451571435</v>
      </c>
      <c r="E12" s="258">
        <v>50929556.451571435</v>
      </c>
      <c r="F12" s="256">
        <v>50929556.451571435</v>
      </c>
      <c r="G12" s="313">
        <v>50929556.451571435</v>
      </c>
    </row>
    <row r="13" spans="1:8" ht="15" customHeight="1" thickBot="1">
      <c r="A13" s="86">
        <v>4</v>
      </c>
      <c r="B13" s="314" t="s">
        <v>158</v>
      </c>
      <c r="C13" s="624">
        <f>C6+C11+C12</f>
        <v>562399080.34536076</v>
      </c>
      <c r="D13" s="625">
        <f>D6+D11+D12</f>
        <v>502636267.05464017</v>
      </c>
      <c r="E13" s="626">
        <f t="shared" ref="E13:G13" si="1">E6+E11+E12</f>
        <v>505433011.41373754</v>
      </c>
      <c r="F13" s="624">
        <f t="shared" si="1"/>
        <v>516204553.19280314</v>
      </c>
      <c r="G13" s="627">
        <f t="shared" si="1"/>
        <v>508949789.538535</v>
      </c>
    </row>
    <row r="14" spans="1:8">
      <c r="B14" s="23"/>
    </row>
    <row r="15" spans="1:8">
      <c r="B15" s="67"/>
    </row>
    <row r="16" spans="1:8">
      <c r="B16" s="67"/>
    </row>
    <row r="17" spans="2:2">
      <c r="B17" s="67"/>
    </row>
    <row r="18" spans="2:2">
      <c r="B18" s="6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B4" sqref="B4"/>
    </sheetView>
  </sheetViews>
  <sheetFormatPr defaultRowHeight="15"/>
  <cols>
    <col min="1" max="1" width="9.5703125" style="2" bestFit="1" customWidth="1"/>
    <col min="2" max="2" width="58.85546875" style="2" customWidth="1"/>
    <col min="3" max="3" width="34.28515625" style="2" customWidth="1"/>
  </cols>
  <sheetData>
    <row r="1" spans="1:8">
      <c r="A1" s="2" t="s">
        <v>108</v>
      </c>
      <c r="B1" s="603" t="str">
        <f>'1. key ratios'!B1</f>
        <v>სს იშბანკი საქართველო</v>
      </c>
    </row>
    <row r="2" spans="1:8">
      <c r="A2" s="2" t="s">
        <v>109</v>
      </c>
      <c r="B2" s="604">
        <f>'1. key ratios'!B2</f>
        <v>45657</v>
      </c>
    </row>
    <row r="4" spans="1:8" ht="30.75" thickBot="1">
      <c r="A4" s="165" t="s">
        <v>254</v>
      </c>
      <c r="B4" s="31" t="s">
        <v>91</v>
      </c>
      <c r="C4" s="13"/>
    </row>
    <row r="5" spans="1:8" ht="15.75">
      <c r="A5" s="10"/>
      <c r="B5" s="303" t="s">
        <v>92</v>
      </c>
      <c r="C5" s="318" t="s">
        <v>446</v>
      </c>
    </row>
    <row r="6" spans="1:8">
      <c r="A6" s="14">
        <v>1</v>
      </c>
      <c r="B6" s="628" t="s">
        <v>954</v>
      </c>
      <c r="C6" s="629" t="s">
        <v>957</v>
      </c>
    </row>
    <row r="7" spans="1:8">
      <c r="A7" s="14">
        <v>2</v>
      </c>
      <c r="B7" s="628" t="s">
        <v>958</v>
      </c>
      <c r="C7" s="629" t="s">
        <v>959</v>
      </c>
    </row>
    <row r="8" spans="1:8">
      <c r="A8" s="14">
        <v>3</v>
      </c>
      <c r="B8" s="628" t="s">
        <v>960</v>
      </c>
      <c r="C8" s="629" t="s">
        <v>959</v>
      </c>
    </row>
    <row r="9" spans="1:8">
      <c r="A9" s="14">
        <v>4</v>
      </c>
      <c r="B9" s="628" t="s">
        <v>976</v>
      </c>
      <c r="C9" s="629" t="s">
        <v>959</v>
      </c>
    </row>
    <row r="10" spans="1:8">
      <c r="A10" s="14">
        <v>5</v>
      </c>
      <c r="B10" s="628" t="s">
        <v>961</v>
      </c>
      <c r="C10" s="629" t="s">
        <v>962</v>
      </c>
    </row>
    <row r="11" spans="1:8">
      <c r="A11" s="14">
        <v>6</v>
      </c>
      <c r="B11" s="628" t="s">
        <v>963</v>
      </c>
      <c r="C11" s="629" t="s">
        <v>962</v>
      </c>
    </row>
    <row r="12" spans="1:8">
      <c r="A12" s="14">
        <v>7</v>
      </c>
      <c r="B12" s="32"/>
      <c r="C12" s="315"/>
      <c r="H12" s="4"/>
    </row>
    <row r="13" spans="1:8">
      <c r="A13" s="14">
        <v>8</v>
      </c>
      <c r="B13" s="32"/>
      <c r="C13" s="315"/>
    </row>
    <row r="14" spans="1:8">
      <c r="A14" s="14">
        <v>9</v>
      </c>
      <c r="B14" s="32"/>
      <c r="C14" s="315"/>
    </row>
    <row r="15" spans="1:8">
      <c r="A15" s="14">
        <v>10</v>
      </c>
      <c r="B15" s="32"/>
      <c r="C15" s="315"/>
    </row>
    <row r="16" spans="1:8">
      <c r="A16" s="14"/>
      <c r="B16" s="881"/>
      <c r="C16" s="882"/>
    </row>
    <row r="17" spans="1:3" ht="60">
      <c r="A17" s="14"/>
      <c r="B17" s="304" t="s">
        <v>93</v>
      </c>
      <c r="C17" s="319" t="s">
        <v>447</v>
      </c>
    </row>
    <row r="18" spans="1:3" ht="15.75">
      <c r="A18" s="14">
        <v>1</v>
      </c>
      <c r="B18" s="630" t="s">
        <v>955</v>
      </c>
      <c r="C18" s="631" t="s">
        <v>964</v>
      </c>
    </row>
    <row r="19" spans="1:3" ht="15.75">
      <c r="A19" s="14">
        <v>2</v>
      </c>
      <c r="B19" s="630" t="s">
        <v>977</v>
      </c>
      <c r="C19" s="631" t="s">
        <v>965</v>
      </c>
    </row>
    <row r="20" spans="1:3" ht="15.75">
      <c r="A20" s="14">
        <v>3</v>
      </c>
      <c r="B20" s="630" t="s">
        <v>978</v>
      </c>
      <c r="C20" s="631" t="s">
        <v>965</v>
      </c>
    </row>
    <row r="21" spans="1:3" ht="15.75">
      <c r="A21" s="14">
        <v>4</v>
      </c>
      <c r="B21" s="630" t="s">
        <v>966</v>
      </c>
      <c r="C21" s="631" t="s">
        <v>967</v>
      </c>
    </row>
    <row r="22" spans="1:3" ht="15.75">
      <c r="A22" s="14">
        <v>5</v>
      </c>
      <c r="B22" s="630" t="s">
        <v>968</v>
      </c>
      <c r="C22" s="631" t="s">
        <v>969</v>
      </c>
    </row>
    <row r="23" spans="1:3" ht="15.75">
      <c r="A23" s="14">
        <v>6</v>
      </c>
      <c r="B23" s="27"/>
      <c r="C23" s="316"/>
    </row>
    <row r="24" spans="1:3" ht="15.75">
      <c r="A24" s="14">
        <v>7</v>
      </c>
      <c r="B24" s="27"/>
      <c r="C24" s="316"/>
    </row>
    <row r="25" spans="1:3" ht="15.75">
      <c r="A25" s="14">
        <v>8</v>
      </c>
      <c r="B25" s="27"/>
      <c r="C25" s="316"/>
    </row>
    <row r="26" spans="1:3" ht="15.75">
      <c r="A26" s="14">
        <v>9</v>
      </c>
      <c r="B26" s="27"/>
      <c r="C26" s="316"/>
    </row>
    <row r="27" spans="1:3" ht="15.75" customHeight="1">
      <c r="A27" s="14">
        <v>10</v>
      </c>
      <c r="B27" s="27"/>
      <c r="C27" s="317"/>
    </row>
    <row r="28" spans="1:3" ht="15.75" customHeight="1">
      <c r="A28" s="14"/>
      <c r="B28" s="27"/>
      <c r="C28" s="28"/>
    </row>
    <row r="29" spans="1:3" ht="30" customHeight="1">
      <c r="A29" s="14"/>
      <c r="B29" s="883" t="s">
        <v>94</v>
      </c>
      <c r="C29" s="884"/>
    </row>
    <row r="30" spans="1:3">
      <c r="A30" s="14">
        <v>1</v>
      </c>
      <c r="B30" s="628" t="s">
        <v>970</v>
      </c>
      <c r="C30" s="632">
        <v>1</v>
      </c>
    </row>
    <row r="31" spans="1:3" ht="15.75" customHeight="1">
      <c r="A31" s="14"/>
      <c r="B31" s="32"/>
      <c r="C31" s="33"/>
    </row>
    <row r="32" spans="1:3" ht="29.25" customHeight="1">
      <c r="A32" s="14"/>
      <c r="B32" s="883" t="s">
        <v>174</v>
      </c>
      <c r="C32" s="884"/>
    </row>
    <row r="33" spans="1:3">
      <c r="A33" s="14">
        <v>1</v>
      </c>
      <c r="B33" s="628" t="s">
        <v>971</v>
      </c>
      <c r="C33" s="633">
        <v>0.3866</v>
      </c>
    </row>
    <row r="34" spans="1:3" ht="16.5" thickBot="1">
      <c r="A34" s="15"/>
      <c r="B34" s="34" t="s">
        <v>972</v>
      </c>
      <c r="C34" s="634">
        <v>0.28089999999999998</v>
      </c>
    </row>
  </sheetData>
  <mergeCells count="3">
    <mergeCell ref="B16:C16"/>
    <mergeCell ref="B32:C32"/>
    <mergeCell ref="B29:C29"/>
  </mergeCells>
  <dataValidations disablePrompts="1"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3"/>
  <sheetViews>
    <sheetView showGridLines="0" zoomScaleNormal="100" workbookViewId="0">
      <pane xSplit="1" ySplit="5" topLeftCell="B6" activePane="bottomRight" state="frozen"/>
      <selection activeCell="H6" sqref="H6"/>
      <selection pane="topRight" activeCell="H6" sqref="H6"/>
      <selection pane="bottomLeft" activeCell="H6" sqref="H6"/>
      <selection pane="bottomRight" activeCell="B4" sqref="B4"/>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7" ht="15.75">
      <c r="A1" s="17" t="s">
        <v>108</v>
      </c>
      <c r="B1" s="603" t="str">
        <f>'1. key ratios'!B1</f>
        <v>სს იშბანკი საქართველო</v>
      </c>
    </row>
    <row r="2" spans="1:7" s="21" customFormat="1" ht="15.75" customHeight="1">
      <c r="A2" s="21" t="s">
        <v>109</v>
      </c>
      <c r="B2" s="604">
        <f>'1. key ratios'!B2</f>
        <v>45657</v>
      </c>
    </row>
    <row r="3" spans="1:7" s="21" customFormat="1" ht="15.75" customHeight="1"/>
    <row r="4" spans="1:7" s="21" customFormat="1" ht="15.75" customHeight="1" thickBot="1">
      <c r="A4" s="166" t="s">
        <v>255</v>
      </c>
      <c r="B4" s="167" t="s">
        <v>168</v>
      </c>
      <c r="C4" s="131"/>
      <c r="D4" s="131"/>
      <c r="E4" s="132" t="s">
        <v>87</v>
      </c>
    </row>
    <row r="5" spans="1:7" s="82" customFormat="1" ht="17.45" customHeight="1">
      <c r="A5" s="230"/>
      <c r="B5" s="231"/>
      <c r="C5" s="130" t="s">
        <v>0</v>
      </c>
      <c r="D5" s="130" t="s">
        <v>1</v>
      </c>
      <c r="E5" s="232" t="s">
        <v>2</v>
      </c>
    </row>
    <row r="6" spans="1:7" s="98" customFormat="1" ht="14.45" customHeight="1">
      <c r="A6" s="233"/>
      <c r="B6" s="885" t="s">
        <v>144</v>
      </c>
      <c r="C6" s="885" t="s">
        <v>852</v>
      </c>
      <c r="D6" s="886" t="s">
        <v>143</v>
      </c>
      <c r="E6" s="887"/>
      <c r="G6"/>
    </row>
    <row r="7" spans="1:7" s="98" customFormat="1" ht="99.6" customHeight="1">
      <c r="A7" s="233"/>
      <c r="B7" s="885"/>
      <c r="C7" s="885"/>
      <c r="D7" s="228" t="s">
        <v>142</v>
      </c>
      <c r="E7" s="229" t="s">
        <v>353</v>
      </c>
      <c r="G7"/>
    </row>
    <row r="8" spans="1:7" s="98" customFormat="1" ht="22.5" customHeight="1">
      <c r="A8" s="438">
        <v>1</v>
      </c>
      <c r="B8" s="395" t="s">
        <v>839</v>
      </c>
      <c r="C8" s="635">
        <f>SUM(C9:C11)</f>
        <v>87996665.767722651</v>
      </c>
      <c r="D8" s="636">
        <f>SUM(D9:D11)</f>
        <v>0</v>
      </c>
      <c r="E8" s="637">
        <f>SUM(E9:E11)</f>
        <v>87996665.767722651</v>
      </c>
      <c r="G8"/>
    </row>
    <row r="9" spans="1:7" s="98" customFormat="1">
      <c r="A9" s="438">
        <v>1.1000000000000001</v>
      </c>
      <c r="B9" s="396" t="s">
        <v>96</v>
      </c>
      <c r="C9" s="636">
        <f>'2. SOFP'!E8</f>
        <v>1711926.8074999999</v>
      </c>
      <c r="D9" s="636"/>
      <c r="E9" s="638">
        <f t="shared" ref="E9:E15" si="0">C9-D9</f>
        <v>1711926.8074999999</v>
      </c>
      <c r="G9"/>
    </row>
    <row r="10" spans="1:7" s="98" customFormat="1">
      <c r="A10" s="438">
        <v>1.2</v>
      </c>
      <c r="B10" s="396" t="s">
        <v>97</v>
      </c>
      <c r="C10" s="636">
        <f>'2. SOFP'!E9</f>
        <v>46612417.211592808</v>
      </c>
      <c r="D10" s="636"/>
      <c r="E10" s="638">
        <f t="shared" si="0"/>
        <v>46612417.211592808</v>
      </c>
      <c r="G10"/>
    </row>
    <row r="11" spans="1:7" s="98" customFormat="1">
      <c r="A11" s="438">
        <v>1.3</v>
      </c>
      <c r="B11" s="396" t="s">
        <v>98</v>
      </c>
      <c r="C11" s="636">
        <f>'2. SOFP'!E10</f>
        <v>39672321.748629846</v>
      </c>
      <c r="D11" s="636"/>
      <c r="E11" s="638">
        <f t="shared" si="0"/>
        <v>39672321.748629846</v>
      </c>
      <c r="G11"/>
    </row>
    <row r="12" spans="1:7" s="98" customFormat="1">
      <c r="A12" s="438">
        <v>2</v>
      </c>
      <c r="B12" s="397" t="s">
        <v>726</v>
      </c>
      <c r="C12" s="635">
        <f>'2. SOFP'!E11</f>
        <v>0</v>
      </c>
      <c r="D12" s="636"/>
      <c r="E12" s="638">
        <f t="shared" si="0"/>
        <v>0</v>
      </c>
      <c r="G12"/>
    </row>
    <row r="13" spans="1:7" s="98" customFormat="1" ht="21">
      <c r="A13" s="438">
        <v>2.1</v>
      </c>
      <c r="B13" s="398" t="s">
        <v>727</v>
      </c>
      <c r="C13" s="636">
        <f>'2. SOFP'!E12</f>
        <v>0</v>
      </c>
      <c r="D13" s="636"/>
      <c r="E13" s="638">
        <f t="shared" si="0"/>
        <v>0</v>
      </c>
      <c r="G13"/>
    </row>
    <row r="14" spans="1:7" s="98" customFormat="1" ht="33.950000000000003" customHeight="1">
      <c r="A14" s="438">
        <v>3</v>
      </c>
      <c r="B14" s="399" t="s">
        <v>728</v>
      </c>
      <c r="C14" s="635">
        <f>'2. SOFP'!E13</f>
        <v>0</v>
      </c>
      <c r="D14" s="636"/>
      <c r="E14" s="638">
        <f t="shared" si="0"/>
        <v>0</v>
      </c>
      <c r="G14"/>
    </row>
    <row r="15" spans="1:7" s="98" customFormat="1" ht="32.450000000000003" customHeight="1">
      <c r="A15" s="438">
        <v>4</v>
      </c>
      <c r="B15" s="400" t="s">
        <v>729</v>
      </c>
      <c r="C15" s="635">
        <f>'2. SOFP'!E14</f>
        <v>0</v>
      </c>
      <c r="D15" s="636"/>
      <c r="E15" s="638">
        <f t="shared" si="0"/>
        <v>0</v>
      </c>
      <c r="G15"/>
    </row>
    <row r="16" spans="1:7" s="98" customFormat="1" ht="23.1" customHeight="1">
      <c r="A16" s="438">
        <v>5</v>
      </c>
      <c r="B16" s="400" t="s">
        <v>730</v>
      </c>
      <c r="C16" s="635">
        <f>SUM(C17:C19)</f>
        <v>0</v>
      </c>
      <c r="D16" s="636">
        <f>SUM(D17:D19)</f>
        <v>0</v>
      </c>
      <c r="E16" s="637">
        <f>SUM(E17:E19)</f>
        <v>0</v>
      </c>
      <c r="G16"/>
    </row>
    <row r="17" spans="1:7" s="98" customFormat="1">
      <c r="A17" s="438">
        <v>5.0999999999999996</v>
      </c>
      <c r="B17" s="401" t="s">
        <v>731</v>
      </c>
      <c r="C17" s="636">
        <f>'2. SOFP'!E16</f>
        <v>0</v>
      </c>
      <c r="D17" s="636"/>
      <c r="E17" s="638">
        <f>C17-D17</f>
        <v>0</v>
      </c>
      <c r="G17"/>
    </row>
    <row r="18" spans="1:7" s="98" customFormat="1">
      <c r="A18" s="438">
        <v>5.2</v>
      </c>
      <c r="B18" s="401" t="s">
        <v>565</v>
      </c>
      <c r="C18" s="636">
        <f>'2. SOFP'!E17</f>
        <v>0</v>
      </c>
      <c r="D18" s="636"/>
      <c r="E18" s="638">
        <f>C18-D18</f>
        <v>0</v>
      </c>
      <c r="G18"/>
    </row>
    <row r="19" spans="1:7" s="98" customFormat="1">
      <c r="A19" s="438">
        <v>5.3</v>
      </c>
      <c r="B19" s="401" t="s">
        <v>732</v>
      </c>
      <c r="C19" s="636">
        <f>'2. SOFP'!E18</f>
        <v>0</v>
      </c>
      <c r="D19" s="636"/>
      <c r="E19" s="638">
        <f>C19-D19</f>
        <v>0</v>
      </c>
      <c r="G19"/>
    </row>
    <row r="20" spans="1:7" s="98" customFormat="1" ht="21">
      <c r="A20" s="438">
        <v>6</v>
      </c>
      <c r="B20" s="399" t="s">
        <v>733</v>
      </c>
      <c r="C20" s="635">
        <f>SUM(C21:C22)</f>
        <v>379815379.08618951</v>
      </c>
      <c r="D20" s="636">
        <f>SUM(D21:D22)</f>
        <v>0</v>
      </c>
      <c r="E20" s="637">
        <f>SUM(E21:E22)</f>
        <v>379815379.08618951</v>
      </c>
      <c r="G20"/>
    </row>
    <row r="21" spans="1:7">
      <c r="A21" s="438">
        <v>6.1</v>
      </c>
      <c r="B21" s="401" t="s">
        <v>565</v>
      </c>
      <c r="C21" s="636">
        <f>'2. SOFP'!E20</f>
        <v>56214343.559903294</v>
      </c>
      <c r="D21" s="636"/>
      <c r="E21" s="638">
        <f>C21-D21</f>
        <v>56214343.559903294</v>
      </c>
    </row>
    <row r="22" spans="1:7">
      <c r="A22" s="438">
        <v>6.2</v>
      </c>
      <c r="B22" s="401" t="s">
        <v>732</v>
      </c>
      <c r="C22" s="636">
        <f>'2. SOFP'!E21</f>
        <v>323601035.52628618</v>
      </c>
      <c r="D22" s="636"/>
      <c r="E22" s="638">
        <f>C22-D22</f>
        <v>323601035.52628618</v>
      </c>
    </row>
    <row r="23" spans="1:7" ht="21">
      <c r="A23" s="438">
        <v>7</v>
      </c>
      <c r="B23" s="402" t="s">
        <v>734</v>
      </c>
      <c r="C23" s="635">
        <f>'2. SOFP'!E22</f>
        <v>0</v>
      </c>
      <c r="D23" s="636"/>
      <c r="E23" s="638">
        <f>C23-D23</f>
        <v>0</v>
      </c>
    </row>
    <row r="24" spans="1:7" ht="21">
      <c r="A24" s="438">
        <v>8</v>
      </c>
      <c r="B24" s="403" t="s">
        <v>735</v>
      </c>
      <c r="C24" s="635">
        <f>'2. SOFP'!E23</f>
        <v>0</v>
      </c>
      <c r="D24" s="636"/>
      <c r="E24" s="638">
        <f>C24-D24</f>
        <v>0</v>
      </c>
    </row>
    <row r="25" spans="1:7">
      <c r="A25" s="438">
        <v>9</v>
      </c>
      <c r="B25" s="400" t="s">
        <v>736</v>
      </c>
      <c r="C25" s="635">
        <f>SUM(C26:C27)</f>
        <v>6782728.7300000004</v>
      </c>
      <c r="D25" s="636">
        <f>SUM(D26:D27)</f>
        <v>0</v>
      </c>
      <c r="E25" s="637">
        <f>SUM(E26:E27)</f>
        <v>6782728.7300000004</v>
      </c>
    </row>
    <row r="26" spans="1:7">
      <c r="A26" s="438">
        <v>9.1</v>
      </c>
      <c r="B26" s="404" t="s">
        <v>737</v>
      </c>
      <c r="C26" s="636">
        <f>'2. SOFP'!E25</f>
        <v>6782728.7300000004</v>
      </c>
      <c r="D26" s="636"/>
      <c r="E26" s="638">
        <f>C26-D26</f>
        <v>6782728.7300000004</v>
      </c>
    </row>
    <row r="27" spans="1:7">
      <c r="A27" s="438">
        <v>9.1999999999999993</v>
      </c>
      <c r="B27" s="404" t="s">
        <v>738</v>
      </c>
      <c r="C27" s="636">
        <f>'2. SOFP'!E26</f>
        <v>0</v>
      </c>
      <c r="D27" s="636"/>
      <c r="E27" s="638">
        <f>C27-D27</f>
        <v>0</v>
      </c>
    </row>
    <row r="28" spans="1:7">
      <c r="A28" s="438">
        <v>10</v>
      </c>
      <c r="B28" s="400" t="s">
        <v>36</v>
      </c>
      <c r="C28" s="635">
        <f>SUM(C29:C30)</f>
        <v>2727053.4502263302</v>
      </c>
      <c r="D28" s="635">
        <f>SUM(D29:D30)</f>
        <v>2727053.4502263302</v>
      </c>
      <c r="E28" s="637">
        <f>SUM(E29:E30)</f>
        <v>0</v>
      </c>
    </row>
    <row r="29" spans="1:7">
      <c r="A29" s="438">
        <v>10.1</v>
      </c>
      <c r="B29" s="404" t="s">
        <v>739</v>
      </c>
      <c r="C29" s="636">
        <f>'2. SOFP'!E28</f>
        <v>0</v>
      </c>
      <c r="D29" s="636">
        <f>C29</f>
        <v>0</v>
      </c>
      <c r="E29" s="638">
        <f>C29-D29</f>
        <v>0</v>
      </c>
    </row>
    <row r="30" spans="1:7">
      <c r="A30" s="438">
        <v>10.199999999999999</v>
      </c>
      <c r="B30" s="404" t="s">
        <v>740</v>
      </c>
      <c r="C30" s="636">
        <f>'2. SOFP'!E29</f>
        <v>2727053.4502263302</v>
      </c>
      <c r="D30" s="636">
        <f>C30</f>
        <v>2727053.4502263302</v>
      </c>
      <c r="E30" s="638">
        <f>C30-D30</f>
        <v>0</v>
      </c>
    </row>
    <row r="31" spans="1:7">
      <c r="A31" s="438">
        <v>11</v>
      </c>
      <c r="B31" s="400" t="s">
        <v>741</v>
      </c>
      <c r="C31" s="635">
        <f>SUM(C32:C33)</f>
        <v>6617042.8200000003</v>
      </c>
      <c r="D31" s="636">
        <f>SUM(D32:D33)</f>
        <v>0</v>
      </c>
      <c r="E31" s="637">
        <f>SUM(E32:E33)</f>
        <v>6617042.8200000003</v>
      </c>
    </row>
    <row r="32" spans="1:7">
      <c r="A32" s="438">
        <v>11.1</v>
      </c>
      <c r="B32" s="404" t="s">
        <v>742</v>
      </c>
      <c r="C32" s="636">
        <f>'2. SOFP'!E31</f>
        <v>6617042.8200000003</v>
      </c>
      <c r="D32" s="636"/>
      <c r="E32" s="638">
        <f>C32-D32</f>
        <v>6617042.8200000003</v>
      </c>
    </row>
    <row r="33" spans="1:7">
      <c r="A33" s="438">
        <v>11.2</v>
      </c>
      <c r="B33" s="404" t="s">
        <v>743</v>
      </c>
      <c r="C33" s="636">
        <f>'2. SOFP'!E32</f>
        <v>0</v>
      </c>
      <c r="D33" s="636"/>
      <c r="E33" s="638">
        <f>C33-D33</f>
        <v>0</v>
      </c>
    </row>
    <row r="34" spans="1:7">
      <c r="A34" s="438">
        <v>13</v>
      </c>
      <c r="B34" s="400" t="s">
        <v>99</v>
      </c>
      <c r="C34" s="636">
        <f>'2. SOFP'!E33</f>
        <v>6008004.7179079996</v>
      </c>
      <c r="D34" s="636"/>
      <c r="E34" s="638">
        <f>C34-D34</f>
        <v>6008004.7179079996</v>
      </c>
    </row>
    <row r="35" spans="1:7">
      <c r="A35" s="438">
        <v>13.1</v>
      </c>
      <c r="B35" s="405" t="s">
        <v>744</v>
      </c>
      <c r="C35" s="636">
        <f>'2. SOFP'!E34</f>
        <v>1349093.18</v>
      </c>
      <c r="D35" s="636"/>
      <c r="E35" s="638">
        <f>C35-D35</f>
        <v>1349093.18</v>
      </c>
    </row>
    <row r="36" spans="1:7">
      <c r="A36" s="438">
        <v>13.2</v>
      </c>
      <c r="B36" s="405" t="s">
        <v>745</v>
      </c>
      <c r="C36" s="636">
        <f>'2. SOFP'!E35</f>
        <v>0</v>
      </c>
      <c r="D36" s="636"/>
      <c r="E36" s="638">
        <f>C36-D36</f>
        <v>0</v>
      </c>
    </row>
    <row r="37" spans="1:7" ht="39" thickBot="1">
      <c r="A37" s="234"/>
      <c r="B37" s="235" t="s">
        <v>320</v>
      </c>
      <c r="C37" s="639">
        <f>SUM(C8,C12,C14,C15,C16,C20,C23,C24,C25,C28,C31,C34)</f>
        <v>489946874.57204652</v>
      </c>
      <c r="D37" s="639">
        <f>SUM(D8,D12,D14,D15,D16,D20,D23,D24,D25,D28,D31,D34)</f>
        <v>2727053.4502263302</v>
      </c>
      <c r="E37" s="640">
        <f>SUM(E8,E12,E14,E15,E16,E20,E23,E24,E25,E28,E31,E34)</f>
        <v>487219821.12182021</v>
      </c>
    </row>
    <row r="38" spans="1:7">
      <c r="A38"/>
      <c r="B38"/>
      <c r="C38"/>
      <c r="D38"/>
      <c r="E38"/>
    </row>
    <row r="39" spans="1:7">
      <c r="A39"/>
      <c r="B39"/>
      <c r="C39"/>
      <c r="D39"/>
      <c r="E39"/>
    </row>
    <row r="41" spans="1:7" s="2" customFormat="1">
      <c r="B41" s="36"/>
      <c r="F41"/>
      <c r="G41"/>
    </row>
    <row r="42" spans="1:7" s="2" customFormat="1">
      <c r="B42" s="37"/>
      <c r="F42"/>
      <c r="G42"/>
    </row>
    <row r="43" spans="1:7" s="2" customFormat="1">
      <c r="B43" s="36"/>
      <c r="F43"/>
      <c r="G43"/>
    </row>
    <row r="44" spans="1:7" s="2" customFormat="1">
      <c r="B44" s="36"/>
      <c r="F44"/>
      <c r="G44"/>
    </row>
    <row r="45" spans="1:7" s="2" customFormat="1">
      <c r="B45" s="36"/>
      <c r="F45"/>
      <c r="G45"/>
    </row>
    <row r="46" spans="1:7" s="2" customFormat="1">
      <c r="B46" s="36"/>
      <c r="F46"/>
      <c r="G46"/>
    </row>
    <row r="47" spans="1:7" s="2" customFormat="1">
      <c r="B47" s="36"/>
      <c r="F47"/>
      <c r="G47"/>
    </row>
    <row r="48" spans="1:7" s="2" customFormat="1">
      <c r="B48" s="37"/>
      <c r="F48"/>
      <c r="G48"/>
    </row>
    <row r="49" spans="2:7" s="2" customFormat="1">
      <c r="B49" s="37"/>
      <c r="F49"/>
      <c r="G49"/>
    </row>
    <row r="50" spans="2:7" s="2" customFormat="1">
      <c r="B50" s="37"/>
      <c r="F50"/>
      <c r="G50"/>
    </row>
    <row r="51" spans="2:7" s="2" customFormat="1">
      <c r="B51" s="37"/>
      <c r="F51"/>
      <c r="G51"/>
    </row>
    <row r="52" spans="2:7" s="2" customFormat="1">
      <c r="B52" s="37"/>
      <c r="F52"/>
      <c r="G52"/>
    </row>
    <row r="53" spans="2:7" s="2" customFormat="1">
      <c r="B53" s="37"/>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activeCell="B4" sqref="B4"/>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7" t="s">
        <v>108</v>
      </c>
      <c r="B1" s="603" t="str">
        <f>'1. key ratios'!B1</f>
        <v>სს იშბანკი საქართველო</v>
      </c>
    </row>
    <row r="2" spans="1:6" s="21" customFormat="1" ht="15.75" customHeight="1">
      <c r="A2" s="21" t="s">
        <v>109</v>
      </c>
      <c r="B2" s="604">
        <f>'1. key ratios'!B2</f>
        <v>45657</v>
      </c>
      <c r="C2"/>
      <c r="D2"/>
      <c r="E2"/>
      <c r="F2"/>
    </row>
    <row r="3" spans="1:6" s="21" customFormat="1" ht="15.75" customHeight="1">
      <c r="C3"/>
      <c r="D3"/>
      <c r="E3"/>
      <c r="F3"/>
    </row>
    <row r="4" spans="1:6" s="21" customFormat="1" ht="26.25" thickBot="1">
      <c r="A4" s="21" t="s">
        <v>256</v>
      </c>
      <c r="B4" s="138" t="s">
        <v>171</v>
      </c>
      <c r="C4" s="132" t="s">
        <v>87</v>
      </c>
      <c r="D4"/>
      <c r="E4"/>
      <c r="F4"/>
    </row>
    <row r="5" spans="1:6">
      <c r="A5" s="133">
        <v>1</v>
      </c>
      <c r="B5" s="134" t="s">
        <v>723</v>
      </c>
      <c r="C5" s="641">
        <f>'7. LI1'!E37</f>
        <v>487219821.12182021</v>
      </c>
    </row>
    <row r="6" spans="1:6" s="123" customFormat="1">
      <c r="A6" s="81">
        <v>2.1</v>
      </c>
      <c r="B6" s="140" t="s">
        <v>857</v>
      </c>
      <c r="C6" s="171">
        <f>'4. Off-balance'!E27+'4. Off-balance'!E28+'4. Off-balance'!E29-'2. SOFP'!E46</f>
        <v>159765720.20826632</v>
      </c>
    </row>
    <row r="7" spans="1:6" s="4" customFormat="1" ht="25.5" outlineLevel="1">
      <c r="A7" s="139">
        <v>2.2000000000000002</v>
      </c>
      <c r="B7" s="135" t="s">
        <v>858</v>
      </c>
      <c r="C7" s="172"/>
    </row>
    <row r="8" spans="1:6" s="4" customFormat="1" ht="26.25">
      <c r="A8" s="139">
        <v>3</v>
      </c>
      <c r="B8" s="136" t="s">
        <v>724</v>
      </c>
      <c r="C8" s="642">
        <f>SUM(C5:C7)</f>
        <v>646985541.33008647</v>
      </c>
    </row>
    <row r="9" spans="1:6" s="123" customFormat="1">
      <c r="A9" s="81">
        <v>4</v>
      </c>
      <c r="B9" s="143" t="s">
        <v>169</v>
      </c>
      <c r="C9" s="171"/>
    </row>
    <row r="10" spans="1:6" s="4" customFormat="1" ht="25.5" outlineLevel="1">
      <c r="A10" s="139">
        <v>5.0999999999999996</v>
      </c>
      <c r="B10" s="135" t="s">
        <v>175</v>
      </c>
      <c r="C10" s="644">
        <v>-76135882.879862636</v>
      </c>
    </row>
    <row r="11" spans="1:6" s="4" customFormat="1" ht="25.5" outlineLevel="1">
      <c r="A11" s="139">
        <v>5.2</v>
      </c>
      <c r="B11" s="135" t="s">
        <v>176</v>
      </c>
      <c r="C11" s="172"/>
    </row>
    <row r="12" spans="1:6" s="4" customFormat="1">
      <c r="A12" s="139">
        <v>6</v>
      </c>
      <c r="B12" s="141" t="s">
        <v>436</v>
      </c>
      <c r="C12" s="236"/>
    </row>
    <row r="13" spans="1:6" s="4" customFormat="1" ht="15.75" thickBot="1">
      <c r="A13" s="142">
        <v>7</v>
      </c>
      <c r="B13" s="137" t="s">
        <v>170</v>
      </c>
      <c r="C13" s="643">
        <f>SUM(C8:C12)</f>
        <v>570849658.4502238</v>
      </c>
    </row>
    <row r="15" spans="1:6">
      <c r="B15" s="23"/>
    </row>
    <row r="17" spans="2:9" s="2" customFormat="1">
      <c r="B17" s="38"/>
      <c r="C17"/>
      <c r="D17"/>
      <c r="E17"/>
      <c r="F17"/>
      <c r="G17"/>
      <c r="H17"/>
      <c r="I17"/>
    </row>
    <row r="18" spans="2:9" s="2" customFormat="1">
      <c r="B18" s="35"/>
      <c r="C18"/>
      <c r="D18"/>
      <c r="E18"/>
      <c r="F18"/>
      <c r="G18"/>
      <c r="H18"/>
      <c r="I18"/>
    </row>
    <row r="19" spans="2:9" s="2" customFormat="1">
      <c r="B19" s="35"/>
      <c r="C19"/>
      <c r="D19"/>
      <c r="E19"/>
      <c r="F19"/>
      <c r="G19"/>
      <c r="H19"/>
      <c r="I19"/>
    </row>
    <row r="20" spans="2:9" s="2" customFormat="1">
      <c r="B20" s="37"/>
      <c r="C20"/>
      <c r="D20"/>
      <c r="E20"/>
      <c r="F20"/>
      <c r="G20"/>
      <c r="H20"/>
      <c r="I20"/>
    </row>
    <row r="21" spans="2:9" s="2" customFormat="1">
      <c r="B21" s="36"/>
      <c r="C21"/>
      <c r="D21"/>
      <c r="E21"/>
      <c r="F21"/>
      <c r="G21"/>
      <c r="H21"/>
      <c r="I21"/>
    </row>
    <row r="22" spans="2:9" s="2" customFormat="1">
      <c r="B22" s="37"/>
      <c r="C22"/>
      <c r="D22"/>
      <c r="E22"/>
      <c r="F22"/>
      <c r="G22"/>
      <c r="H22"/>
      <c r="I22"/>
    </row>
    <row r="23" spans="2:9" s="2" customFormat="1">
      <c r="B23" s="36"/>
      <c r="C23"/>
      <c r="D23"/>
      <c r="E23"/>
      <c r="F23"/>
      <c r="G23"/>
      <c r="H23"/>
      <c r="I23"/>
    </row>
    <row r="24" spans="2:9" s="2" customFormat="1">
      <c r="B24" s="36"/>
      <c r="C24"/>
      <c r="D24"/>
      <c r="E24"/>
      <c r="F24"/>
      <c r="G24"/>
      <c r="H24"/>
      <c r="I24"/>
    </row>
    <row r="25" spans="2:9" s="2" customFormat="1">
      <c r="B25" s="36"/>
      <c r="C25"/>
      <c r="D25"/>
      <c r="E25"/>
      <c r="F25"/>
      <c r="G25"/>
      <c r="H25"/>
      <c r="I25"/>
    </row>
    <row r="26" spans="2:9" s="2" customFormat="1">
      <c r="B26" s="36"/>
      <c r="C26"/>
      <c r="D26"/>
      <c r="E26"/>
      <c r="F26"/>
      <c r="G26"/>
      <c r="H26"/>
      <c r="I26"/>
    </row>
    <row r="27" spans="2:9" s="2" customFormat="1">
      <c r="B27" s="36"/>
      <c r="C27"/>
      <c r="D27"/>
      <c r="E27"/>
      <c r="F27"/>
      <c r="G27"/>
      <c r="H27"/>
      <c r="I27"/>
    </row>
    <row r="28" spans="2:9" s="2" customFormat="1">
      <c r="B28" s="37"/>
      <c r="C28"/>
      <c r="D28"/>
      <c r="E28"/>
      <c r="F28"/>
      <c r="G28"/>
      <c r="H28"/>
      <c r="I28"/>
    </row>
    <row r="29" spans="2:9" s="2" customFormat="1">
      <c r="B29" s="37"/>
      <c r="C29"/>
      <c r="D29"/>
      <c r="E29"/>
      <c r="F29"/>
      <c r="G29"/>
      <c r="H29"/>
      <c r="I29"/>
    </row>
    <row r="30" spans="2:9" s="2" customFormat="1">
      <c r="B30" s="37"/>
      <c r="C30"/>
      <c r="D30"/>
      <c r="E30"/>
      <c r="F30"/>
      <c r="G30"/>
      <c r="H30"/>
      <c r="I30"/>
    </row>
    <row r="31" spans="2:9" s="2" customFormat="1">
      <c r="B31" s="37"/>
      <c r="C31"/>
      <c r="D31"/>
      <c r="E31"/>
      <c r="F31"/>
      <c r="G31"/>
      <c r="H31"/>
      <c r="I31"/>
    </row>
    <row r="32" spans="2:9" s="2" customFormat="1">
      <c r="B32" s="37"/>
      <c r="C32"/>
      <c r="D32"/>
      <c r="E32"/>
      <c r="F32"/>
      <c r="G32"/>
      <c r="H32"/>
      <c r="I32"/>
    </row>
    <row r="33" spans="2:9" s="2" customFormat="1">
      <c r="B33" s="37"/>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xc9QyR3hQV44pnq1h5vArL7vpxcfMewkYbKHh9nLGhc=</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hCz2eOLD/giBEPUWJ9/2/byQlOKV/NacdE7LlAF+Jew=</DigestValue>
    </Reference>
  </SignedInfo>
  <SignatureValue>K2Kuqojuln7mewXBv+R8sgLXUfUWGxZ+7zm5VrFq6Et/MeS0bUs0lizIGXnUrZCA4K494G5PlVd8
tNm7lAXMeN/jq9++k3mLXhUgvofTEkoasyBPxBvQkLQ1CUQf5CnKpYMDHG+pDv8sf1P83/TKG8nt
ttWoZl1i2ICwyOePv6FFRB+Jw2TQi7LJOAE8SX00ZY0HWgBpyBaYwgClPHZBxBv82XpAg9xEcXW5
AMU4mzQR6TYC623uptvDkJerdz7f863oGPp7Ow6/VB9LCYKYhPWl2pRw+7KG/C9+jzK1kEbfl7Fp
WJM0rbKzVEG+CjVLEXndm2aVOeyDqq1/e1VopA==</SignatureValue>
  <KeyInfo>
    <X509Data>
      <X509Certificate>MIIGPjCCBSagAwIBAgIKJnXA4AADAAJFXjANBgkqhkiG9w0BAQsFADBKMRIwEAYKCZImiZPyLGQBGRYCZ2UxEzARBgoJkiaJk/IsZAEZFgNuYmcxHzAdBgNVBAMTFk5CRyBDbGFzcyAyIElOVCBTdWIgQ0EwHhcNMjMxMjA2MDk1NDI0WhcNMjUxMTI0MjI0OTMzWjA8MRswGQYDVQQKExJKU0MgSXNiYW5rIEdlb3JnaWExHTAbBgNVBAMTFEJJUyAtIFVjaGEgU2FyYWxpZHplMIIBIjANBgkqhkiG9w0BAQEFAAOCAQ8AMIIBCgKCAQEA48cGTTNDJarHmvTGwoP95WHKvB5TNP342q76SZakyRI+0CbJmHs3hvvZcIUvYXlY/ZBIzrBRw6Vq8JxgnrGStm6lHvJxTxjtfL0UPzQHD0V4kZuEK/tKL2uVaJr8g1guesSh1qXhgxEhmQz8RUmI521hL2j6fKmNvjyIYykLX81HojNhPSZHiOK7Ji3ThhPMnUS1Ik9xSGTwvhQg/Sj/auhHhypAOrddTvnCgU/1kxfWrph7XbHbr0qIwN1exu8CUJMG1nDiUuIppUPIRv7qX4Z7+fk56TJGfvMxA1IbtOfsDGjirIVNXZL0DrjDI65Ka6JaSCWYOqWlp2JGqOWd2QIDAQABo4IDMjCCAy4wPAYJKwYBBAGCNxUHBC8wLQYlKwYBBAGCNxUI5rJgg431RIaBmQmDuKFKg76EcQSDxJEzhIOIXQIBZAIBIzAdBgNVHSUEFjAUBggrBgEFBQcDAgYIKwYBBQUHAwQwCwYDVR0PBAQDAgeAMCcGCSsGAQQBgjcVCgQaMBgwCgYIKwYBBQUHAwIwCgYIKwYBBQUHAwQwHQYDVR0OBBYEFFEsIDEzYZMx8VikSLtD9411k9cH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AosP7LLjgZWay2UUnvH0Pt04RhOcCtt/LT1NPH/YGVV9p2PKRg3zs91NDreQpAAY/sJ34LPrj1dhzReRNAdRQYq7YMWZNL0zEpUhAkBchmx8DeDRp+PiNOh7DX+6XHclzO8X0KlbTEN13HibS4r9VDKi3N/dUM1kZxPCL1+dHw8n6pVQk1Q9fAtsY+3YETXCKPgitxAGmciufrxj9GomTRUETbJp8aawDyIUCwDhGJKXyNBKwKklre9HSjzRmSAqEx0kEVQfwIDaw5t/h9eE7nFHDEZrwCMnQKlkwWGTf1Mohe6PXT3NYnVjpAp6jzcl0taSl//mxq3gswUX/dQoT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QvesCdPNWFzq++k846cJDm9oKllM9H+CdlATI2C3Xvo=</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ok7dqKmmUgGRwBeJoSbPaOPDv/oYhMAZp2a37dnf5ZQ=</DigestValue>
      </Reference>
      <Reference URI="/xl/styles.xml?ContentType=application/vnd.openxmlformats-officedocument.spreadsheetml.styles+xml">
        <DigestMethod Algorithm="http://www.w3.org/2001/04/xmlenc#sha256"/>
        <DigestValue>kpq45FD/Jk2OLhdi+TjVU0FzfrBUYbbpkRRX1tdB6XE=</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HCAmpVvkyuA1OdMze78Fx8Nu3StS9esHwsJ3/5Rl5Ns=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6MTp4SjmYRfXfMC0pT3C2M01s/5ydtD8QPcOWFz66i8=</DigestValue>
      </Reference>
      <Reference URI="/xl/worksheets/sheet10.xml?ContentType=application/vnd.openxmlformats-officedocument.spreadsheetml.worksheet+xml">
        <DigestMethod Algorithm="http://www.w3.org/2001/04/xmlenc#sha256"/>
        <DigestValue>d4yIqHmOtoVpe2CLhF5xeVFmEC3yjMjkJEtyrovH30g=</DigestValue>
      </Reference>
      <Reference URI="/xl/worksheets/sheet11.xml?ContentType=application/vnd.openxmlformats-officedocument.spreadsheetml.worksheet+xml">
        <DigestMethod Algorithm="http://www.w3.org/2001/04/xmlenc#sha256"/>
        <DigestValue>hDK+6vFO6OKY1PUoU7uV8F4hrJ6BcGeMVk6FZO3FWuA=</DigestValue>
      </Reference>
      <Reference URI="/xl/worksheets/sheet12.xml?ContentType=application/vnd.openxmlformats-officedocument.spreadsheetml.worksheet+xml">
        <DigestMethod Algorithm="http://www.w3.org/2001/04/xmlenc#sha256"/>
        <DigestValue>m4yKuljj7CWXakxEneTSb6gL1Z/4JXMMvAljesWUqBU=</DigestValue>
      </Reference>
      <Reference URI="/xl/worksheets/sheet13.xml?ContentType=application/vnd.openxmlformats-officedocument.spreadsheetml.worksheet+xml">
        <DigestMethod Algorithm="http://www.w3.org/2001/04/xmlenc#sha256"/>
        <DigestValue>01hCaRpKDiJwdevUf5pZhe5Yd3OITWp4ZL5lU5HfiVk=</DigestValue>
      </Reference>
      <Reference URI="/xl/worksheets/sheet14.xml?ContentType=application/vnd.openxmlformats-officedocument.spreadsheetml.worksheet+xml">
        <DigestMethod Algorithm="http://www.w3.org/2001/04/xmlenc#sha256"/>
        <DigestValue>BNtRdu6IhxbWNxRGuCrf9Yph3xFq+5CJo/o7OKz6MBo=</DigestValue>
      </Reference>
      <Reference URI="/xl/worksheets/sheet15.xml?ContentType=application/vnd.openxmlformats-officedocument.spreadsheetml.worksheet+xml">
        <DigestMethod Algorithm="http://www.w3.org/2001/04/xmlenc#sha256"/>
        <DigestValue>8OBiBKhxBIEw/hL/orkVgAtUfMCxDXZVAwgAdHyrBLY=</DigestValue>
      </Reference>
      <Reference URI="/xl/worksheets/sheet16.xml?ContentType=application/vnd.openxmlformats-officedocument.spreadsheetml.worksheet+xml">
        <DigestMethod Algorithm="http://www.w3.org/2001/04/xmlenc#sha256"/>
        <DigestValue>miLUlkQBcFD0FqXyWeO0aM/l59N6b37TaC3jiw9VnfE=</DigestValue>
      </Reference>
      <Reference URI="/xl/worksheets/sheet17.xml?ContentType=application/vnd.openxmlformats-officedocument.spreadsheetml.worksheet+xml">
        <DigestMethod Algorithm="http://www.w3.org/2001/04/xmlenc#sha256"/>
        <DigestValue>sszf/Y86Pyil/biG82VKiLss+9vRqnkSHhDI/0ITYG0=</DigestValue>
      </Reference>
      <Reference URI="/xl/worksheets/sheet18.xml?ContentType=application/vnd.openxmlformats-officedocument.spreadsheetml.worksheet+xml">
        <DigestMethod Algorithm="http://www.w3.org/2001/04/xmlenc#sha256"/>
        <DigestValue>VpXm1MJCCoT0/8uMSv4rxXH+oGmEm/3s9wx7oNWfzB4=</DigestValue>
      </Reference>
      <Reference URI="/xl/worksheets/sheet19.xml?ContentType=application/vnd.openxmlformats-officedocument.spreadsheetml.worksheet+xml">
        <DigestMethod Algorithm="http://www.w3.org/2001/04/xmlenc#sha256"/>
        <DigestValue>hJnPMhgYmrn11yU57b4sBEehSjUb3Qnjv1p3dHtU+/A=</DigestValue>
      </Reference>
      <Reference URI="/xl/worksheets/sheet2.xml?ContentType=application/vnd.openxmlformats-officedocument.spreadsheetml.worksheet+xml">
        <DigestMethod Algorithm="http://www.w3.org/2001/04/xmlenc#sha256"/>
        <DigestValue>+pA8P3JqT4+qxeXxR60Fgy/ZbDQ2e5oBsguRdJwnr18=</DigestValue>
      </Reference>
      <Reference URI="/xl/worksheets/sheet20.xml?ContentType=application/vnd.openxmlformats-officedocument.spreadsheetml.worksheet+xml">
        <DigestMethod Algorithm="http://www.w3.org/2001/04/xmlenc#sha256"/>
        <DigestValue>PSuhOjx77vhdIaNB2f/MKQ/EiZkE0bGwHjo3cqBxjfE=</DigestValue>
      </Reference>
      <Reference URI="/xl/worksheets/sheet21.xml?ContentType=application/vnd.openxmlformats-officedocument.spreadsheetml.worksheet+xml">
        <DigestMethod Algorithm="http://www.w3.org/2001/04/xmlenc#sha256"/>
        <DigestValue>pFpk8jfFj8xXV/et8TZBhx7XWvVuheFg6xnLeBpC+3c=</DigestValue>
      </Reference>
      <Reference URI="/xl/worksheets/sheet22.xml?ContentType=application/vnd.openxmlformats-officedocument.spreadsheetml.worksheet+xml">
        <DigestMethod Algorithm="http://www.w3.org/2001/04/xmlenc#sha256"/>
        <DigestValue>w9XBQQRPg9osvn4liPl24GQyglAWXnrnNaiL1mM+XEc=</DigestValue>
      </Reference>
      <Reference URI="/xl/worksheets/sheet23.xml?ContentType=application/vnd.openxmlformats-officedocument.spreadsheetml.worksheet+xml">
        <DigestMethod Algorithm="http://www.w3.org/2001/04/xmlenc#sha256"/>
        <DigestValue>1y/1yN5IR0e+PuBd9XhvQd/G4NpdBpjzf6Vz0Q2mNHQ=</DigestValue>
      </Reference>
      <Reference URI="/xl/worksheets/sheet24.xml?ContentType=application/vnd.openxmlformats-officedocument.spreadsheetml.worksheet+xml">
        <DigestMethod Algorithm="http://www.w3.org/2001/04/xmlenc#sha256"/>
        <DigestValue>u1JnMk1rQOQp8OOfgGm5yAWjzWS5LYDWQtq9ZnZWDMU=</DigestValue>
      </Reference>
      <Reference URI="/xl/worksheets/sheet25.xml?ContentType=application/vnd.openxmlformats-officedocument.spreadsheetml.worksheet+xml">
        <DigestMethod Algorithm="http://www.w3.org/2001/04/xmlenc#sha256"/>
        <DigestValue>H/4rDmaAirNJ2eNqUK9wnbyzBzC98gmXmjoTUHOQCG8=</DigestValue>
      </Reference>
      <Reference URI="/xl/worksheets/sheet26.xml?ContentType=application/vnd.openxmlformats-officedocument.spreadsheetml.worksheet+xml">
        <DigestMethod Algorithm="http://www.w3.org/2001/04/xmlenc#sha256"/>
        <DigestValue>y3ntyrUMUD/i1IUH5GrMmh6UrQ5oiq3sIZ6A1kVsIoM=</DigestValue>
      </Reference>
      <Reference URI="/xl/worksheets/sheet27.xml?ContentType=application/vnd.openxmlformats-officedocument.spreadsheetml.worksheet+xml">
        <DigestMethod Algorithm="http://www.w3.org/2001/04/xmlenc#sha256"/>
        <DigestValue>MNulUMGOyzscf7rse2KXHKMpwi/vi/MK7iywni98R6A=</DigestValue>
      </Reference>
      <Reference URI="/xl/worksheets/sheet28.xml?ContentType=application/vnd.openxmlformats-officedocument.spreadsheetml.worksheet+xml">
        <DigestMethod Algorithm="http://www.w3.org/2001/04/xmlenc#sha256"/>
        <DigestValue>jrmfxknmtaKGNl46Qao9oayWjlERG8eSco7s3H/j7RI=</DigestValue>
      </Reference>
      <Reference URI="/xl/worksheets/sheet29.xml?ContentType=application/vnd.openxmlformats-officedocument.spreadsheetml.worksheet+xml">
        <DigestMethod Algorithm="http://www.w3.org/2001/04/xmlenc#sha256"/>
        <DigestValue>HFptmIy7KpduHAfWMIzZV6CjWzULBSGaWHZaKYVmayU=</DigestValue>
      </Reference>
      <Reference URI="/xl/worksheets/sheet3.xml?ContentType=application/vnd.openxmlformats-officedocument.spreadsheetml.worksheet+xml">
        <DigestMethod Algorithm="http://www.w3.org/2001/04/xmlenc#sha256"/>
        <DigestValue>lWJ6RdJGTK/EZn2g7Yza+jIMWfpOf5JqmfPpQ64/9T8=</DigestValue>
      </Reference>
      <Reference URI="/xl/worksheets/sheet30.xml?ContentType=application/vnd.openxmlformats-officedocument.spreadsheetml.worksheet+xml">
        <DigestMethod Algorithm="http://www.w3.org/2001/04/xmlenc#sha256"/>
        <DigestValue>sWTTOtdJ2Hl817oWlcfF/TNa9KDb0sWoTE8cFGwrTCw=</DigestValue>
      </Reference>
      <Reference URI="/xl/worksheets/sheet4.xml?ContentType=application/vnd.openxmlformats-officedocument.spreadsheetml.worksheet+xml">
        <DigestMethod Algorithm="http://www.w3.org/2001/04/xmlenc#sha256"/>
        <DigestValue>dz4fhQUIGabSfSIFUkEl1p0gUJ4iutr96G7bOumQusg=</DigestValue>
      </Reference>
      <Reference URI="/xl/worksheets/sheet5.xml?ContentType=application/vnd.openxmlformats-officedocument.spreadsheetml.worksheet+xml">
        <DigestMethod Algorithm="http://www.w3.org/2001/04/xmlenc#sha256"/>
        <DigestValue>eIJWfZMFK6AXfwCFudzuIg9kz7fpFBM9R+b1wOq5Hh8=</DigestValue>
      </Reference>
      <Reference URI="/xl/worksheets/sheet6.xml?ContentType=application/vnd.openxmlformats-officedocument.spreadsheetml.worksheet+xml">
        <DigestMethod Algorithm="http://www.w3.org/2001/04/xmlenc#sha256"/>
        <DigestValue>scL6eYs1j6Ta+7bIRuhE5tM8w/l8r+f8qlLKW5gVnY8=</DigestValue>
      </Reference>
      <Reference URI="/xl/worksheets/sheet7.xml?ContentType=application/vnd.openxmlformats-officedocument.spreadsheetml.worksheet+xml">
        <DigestMethod Algorithm="http://www.w3.org/2001/04/xmlenc#sha256"/>
        <DigestValue>jZll83F1jYN+NQxxMlvZb8R6SWlzMHqB9E4L7koQMfs=</DigestValue>
      </Reference>
      <Reference URI="/xl/worksheets/sheet8.xml?ContentType=application/vnd.openxmlformats-officedocument.spreadsheetml.worksheet+xml">
        <DigestMethod Algorithm="http://www.w3.org/2001/04/xmlenc#sha256"/>
        <DigestValue>6+ZYOvd6flHKlLENj14ZnrX48nrmkO/vWntWApt4Mc4=</DigestValue>
      </Reference>
      <Reference URI="/xl/worksheets/sheet9.xml?ContentType=application/vnd.openxmlformats-officedocument.spreadsheetml.worksheet+xml">
        <DigestMethod Algorithm="http://www.w3.org/2001/04/xmlenc#sha256"/>
        <DigestValue>gCXLmectI8zYFQHNPQ9ElwneXOY57a/dRgbJFiQhGyE=</DigestValue>
      </Reference>
    </Manifest>
    <SignatureProperties>
      <SignatureProperty Id="idSignatureTime" Target="#idPackageSignature">
        <mdssi:SignatureTime xmlns:mdssi="http://schemas.openxmlformats.org/package/2006/digital-signature">
          <mdssi:Format>YYYY-MM-DDThh:mm:ssTZD</mdssi:Format>
          <mdssi:Value>2025-01-30T13:14:10Z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2025-01-30T13:14:10Z</xd:SigningTime>
          <xd:SigningCertificate>
            <xd:Cert>
              <xd:CertDigest>
                <DigestMethod Algorithm="http://www.w3.org/2001/04/xmlenc#sha256"/>
                <DigestValue>zi6kpH5IEoePVvRvvBdKke7qj5q9fGeSnwGeiScMW00=</DigestValue>
              </xd:CertDigest>
              <xd:IssuerSerial>
                <X509IssuerName>CN=NBG Class 2 INT Sub CA, DC=nbg, DC=ge</X509IssuerName>
                <X509SerialNumber>181622093514133486060894</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xhSdfO4SPCsLBj/PnDa9LinUkPYXDMjQAD9dbZrBHIc=</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zx+p008hR/FbcBjb0bZoajZjL6YRJXJk46QAOyAGxJY=</DigestValue>
    </Reference>
  </SignedInfo>
  <SignatureValue>D4NPxDhE1LeANQMJ77kyzjf+472Oik4f+dkK0CJSY3nXWME3FZajgu60qNtqVz1Srltj1ASEIWE8
NqzwRgWJaCk+5GHTlTHVgJ5/tzBolPkD7jaV/+gWreAsDhT2iN42yWcmIvOO3xyYbBa1IjdgQqua
ooQQkFdPcvq4JAVZPOvnC3p+KBjkEVF6IV+A/wJQo6hRIRnyGsGioMLh7PbehtKyPodPRNKtXU8r
35ifF00cdome6/vTLExlRYwK1QTo/CtYVBcQUU3p5xsB3v/YglNimeDMqWddTWJIDMd4Rt+5FEnL
Gpgp+Pw/ox3NuLb9bPwp7QePvBuFWjRvKH+IbA==</SignatureValue>
  <KeyInfo>
    <X509Data>
      <X509Certificate>MIIGQTCCBSmgAwIBAgIKJgLsjwADAAJFWzANBgkqhkiG9w0BAQsFADBKMRIwEAYKCZImiZPyLGQBGRYCZ2UxEzARBgoJkiaJk/IsZAEZFgNuYmcxHzAdBgNVBAMTFk5CRyBDbGFzcyAyIElOVCBTdWIgQ0EwHhcNMjMxMjA2MDc0ODU4WhcNMjUxMTI0MjI0OTMzWjA/MRswGQYDVQQKExJKU0MgSXNiYW5rIEdlb3JnaWExIDAeBgNVBAMTF0JJUyAtIEh1c2V5aW4gS2FyYWJ1bHV0MIIBIjANBgkqhkiG9w0BAQEFAAOCAQ8AMIIBCgKCAQEA02ueCfrXNf/Inkz8XsJRxloR3zw6ddV16AbEWa140N9BL3C7Gc2UJ19+uUflSQ1Eq5Khg1leKF26AYbC+MghROsLVmnpJ8s9EJpOOTu3hLrGSOabwaP+nChL7UBkLI06vrRdXHsVczcwV3FAIfqxONaSfVO4B+a1INE9T3TIofpIVYrczDRysFq9JU9Kk7iFuxqLV5wpTFGnRLTZU2RfSpEcuxhDkRHWfjCtvVkArVJD7Welbl8R1hIHz4bZpmG6BCStiO0nfzhm5LXfoWjN/sYsdYQ4C4u5r/yihHp0gkVXtXrK8zNeB3jQRhP1r4spOprkG2iwtJvvj/5ZdgUy/wIDAQABo4IDMjCCAy4wPAYJKwYBBAGCNxUHBC8wLQYlKwYBBAGCNxUI5rJgg431RIaBmQmDuKFKg76EcQSDxJEzhIOIXQIBZAIBIzAdBgNVHSUEFjAUBggrBgEFBQcDAgYIKwYBBQUHAwQwCwYDVR0PBAQDAgeAMCcGCSsGAQQBgjcVCgQaMBgwCgYIKwYBBQUHAwIwCgYIKwYBBQUHAwQwHQYDVR0OBBYEFDvrT3zKzq3AdUu3GTVL6gNOaZur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BPHI3pqUbBmntkRp/SF4GIv3j+dUpsq2iQVA3CCUPxYeNHku/TPn4XldxoK75CZJG3Jtb6jPc+dqq1Vm4Br2EIIrzIUTwpVuy7x9Hm53yulye+H3yHlsO2nPIlUThFP/SMBlSsJEg7qVCNDQ4rnE0JzDUxpt3aaFjZlwmhmNaQl9UI/agpxu5Gt9P3MGNbeTW3rfEZiavwk2qSaAVP3UAkQjPb/K+TuM7IqQ9KxBGjKzCa8XqeFBJW4YanWGgBgTE4Gxd1/QtiVgyAjT6Fm8Do71DGVxEzhcmR71T34pvkRYPFaECI0Co6/1ODDloKyrYuCTpaJwhyHKR3Apo0Jr5+</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QvesCdPNWFzq++k846cJDm9oKllM9H+CdlATI2C3Xvo=</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ok7dqKmmUgGRwBeJoSbPaOPDv/oYhMAZp2a37dnf5ZQ=</DigestValue>
      </Reference>
      <Reference URI="/xl/styles.xml?ContentType=application/vnd.openxmlformats-officedocument.spreadsheetml.styles+xml">
        <DigestMethod Algorithm="http://www.w3.org/2001/04/xmlenc#sha256"/>
        <DigestValue>kpq45FD/Jk2OLhdi+TjVU0FzfrBUYbbpkRRX1tdB6XE=</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HCAmpVvkyuA1OdMze78Fx8Nu3StS9esHwsJ3/5Rl5Ns=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6MTp4SjmYRfXfMC0pT3C2M01s/5ydtD8QPcOWFz66i8=</DigestValue>
      </Reference>
      <Reference URI="/xl/worksheets/sheet10.xml?ContentType=application/vnd.openxmlformats-officedocument.spreadsheetml.worksheet+xml">
        <DigestMethod Algorithm="http://www.w3.org/2001/04/xmlenc#sha256"/>
        <DigestValue>d4yIqHmOtoVpe2CLhF5xeVFmEC3yjMjkJEtyrovH30g=</DigestValue>
      </Reference>
      <Reference URI="/xl/worksheets/sheet11.xml?ContentType=application/vnd.openxmlformats-officedocument.spreadsheetml.worksheet+xml">
        <DigestMethod Algorithm="http://www.w3.org/2001/04/xmlenc#sha256"/>
        <DigestValue>hDK+6vFO6OKY1PUoU7uV8F4hrJ6BcGeMVk6FZO3FWuA=</DigestValue>
      </Reference>
      <Reference URI="/xl/worksheets/sheet12.xml?ContentType=application/vnd.openxmlformats-officedocument.spreadsheetml.worksheet+xml">
        <DigestMethod Algorithm="http://www.w3.org/2001/04/xmlenc#sha256"/>
        <DigestValue>m4yKuljj7CWXakxEneTSb6gL1Z/4JXMMvAljesWUqBU=</DigestValue>
      </Reference>
      <Reference URI="/xl/worksheets/sheet13.xml?ContentType=application/vnd.openxmlformats-officedocument.spreadsheetml.worksheet+xml">
        <DigestMethod Algorithm="http://www.w3.org/2001/04/xmlenc#sha256"/>
        <DigestValue>01hCaRpKDiJwdevUf5pZhe5Yd3OITWp4ZL5lU5HfiVk=</DigestValue>
      </Reference>
      <Reference URI="/xl/worksheets/sheet14.xml?ContentType=application/vnd.openxmlformats-officedocument.spreadsheetml.worksheet+xml">
        <DigestMethod Algorithm="http://www.w3.org/2001/04/xmlenc#sha256"/>
        <DigestValue>BNtRdu6IhxbWNxRGuCrf9Yph3xFq+5CJo/o7OKz6MBo=</DigestValue>
      </Reference>
      <Reference URI="/xl/worksheets/sheet15.xml?ContentType=application/vnd.openxmlformats-officedocument.spreadsheetml.worksheet+xml">
        <DigestMethod Algorithm="http://www.w3.org/2001/04/xmlenc#sha256"/>
        <DigestValue>8OBiBKhxBIEw/hL/orkVgAtUfMCxDXZVAwgAdHyrBLY=</DigestValue>
      </Reference>
      <Reference URI="/xl/worksheets/sheet16.xml?ContentType=application/vnd.openxmlformats-officedocument.spreadsheetml.worksheet+xml">
        <DigestMethod Algorithm="http://www.w3.org/2001/04/xmlenc#sha256"/>
        <DigestValue>miLUlkQBcFD0FqXyWeO0aM/l59N6b37TaC3jiw9VnfE=</DigestValue>
      </Reference>
      <Reference URI="/xl/worksheets/sheet17.xml?ContentType=application/vnd.openxmlformats-officedocument.spreadsheetml.worksheet+xml">
        <DigestMethod Algorithm="http://www.w3.org/2001/04/xmlenc#sha256"/>
        <DigestValue>sszf/Y86Pyil/biG82VKiLss+9vRqnkSHhDI/0ITYG0=</DigestValue>
      </Reference>
      <Reference URI="/xl/worksheets/sheet18.xml?ContentType=application/vnd.openxmlformats-officedocument.spreadsheetml.worksheet+xml">
        <DigestMethod Algorithm="http://www.w3.org/2001/04/xmlenc#sha256"/>
        <DigestValue>VpXm1MJCCoT0/8uMSv4rxXH+oGmEm/3s9wx7oNWfzB4=</DigestValue>
      </Reference>
      <Reference URI="/xl/worksheets/sheet19.xml?ContentType=application/vnd.openxmlformats-officedocument.spreadsheetml.worksheet+xml">
        <DigestMethod Algorithm="http://www.w3.org/2001/04/xmlenc#sha256"/>
        <DigestValue>hJnPMhgYmrn11yU57b4sBEehSjUb3Qnjv1p3dHtU+/A=</DigestValue>
      </Reference>
      <Reference URI="/xl/worksheets/sheet2.xml?ContentType=application/vnd.openxmlformats-officedocument.spreadsheetml.worksheet+xml">
        <DigestMethod Algorithm="http://www.w3.org/2001/04/xmlenc#sha256"/>
        <DigestValue>+pA8P3JqT4+qxeXxR60Fgy/ZbDQ2e5oBsguRdJwnr18=</DigestValue>
      </Reference>
      <Reference URI="/xl/worksheets/sheet20.xml?ContentType=application/vnd.openxmlformats-officedocument.spreadsheetml.worksheet+xml">
        <DigestMethod Algorithm="http://www.w3.org/2001/04/xmlenc#sha256"/>
        <DigestValue>PSuhOjx77vhdIaNB2f/MKQ/EiZkE0bGwHjo3cqBxjfE=</DigestValue>
      </Reference>
      <Reference URI="/xl/worksheets/sheet21.xml?ContentType=application/vnd.openxmlformats-officedocument.spreadsheetml.worksheet+xml">
        <DigestMethod Algorithm="http://www.w3.org/2001/04/xmlenc#sha256"/>
        <DigestValue>pFpk8jfFj8xXV/et8TZBhx7XWvVuheFg6xnLeBpC+3c=</DigestValue>
      </Reference>
      <Reference URI="/xl/worksheets/sheet22.xml?ContentType=application/vnd.openxmlformats-officedocument.spreadsheetml.worksheet+xml">
        <DigestMethod Algorithm="http://www.w3.org/2001/04/xmlenc#sha256"/>
        <DigestValue>w9XBQQRPg9osvn4liPl24GQyglAWXnrnNaiL1mM+XEc=</DigestValue>
      </Reference>
      <Reference URI="/xl/worksheets/sheet23.xml?ContentType=application/vnd.openxmlformats-officedocument.spreadsheetml.worksheet+xml">
        <DigestMethod Algorithm="http://www.w3.org/2001/04/xmlenc#sha256"/>
        <DigestValue>1y/1yN5IR0e+PuBd9XhvQd/G4NpdBpjzf6Vz0Q2mNHQ=</DigestValue>
      </Reference>
      <Reference URI="/xl/worksheets/sheet24.xml?ContentType=application/vnd.openxmlformats-officedocument.spreadsheetml.worksheet+xml">
        <DigestMethod Algorithm="http://www.w3.org/2001/04/xmlenc#sha256"/>
        <DigestValue>u1JnMk1rQOQp8OOfgGm5yAWjzWS5LYDWQtq9ZnZWDMU=</DigestValue>
      </Reference>
      <Reference URI="/xl/worksheets/sheet25.xml?ContentType=application/vnd.openxmlformats-officedocument.spreadsheetml.worksheet+xml">
        <DigestMethod Algorithm="http://www.w3.org/2001/04/xmlenc#sha256"/>
        <DigestValue>H/4rDmaAirNJ2eNqUK9wnbyzBzC98gmXmjoTUHOQCG8=</DigestValue>
      </Reference>
      <Reference URI="/xl/worksheets/sheet26.xml?ContentType=application/vnd.openxmlformats-officedocument.spreadsheetml.worksheet+xml">
        <DigestMethod Algorithm="http://www.w3.org/2001/04/xmlenc#sha256"/>
        <DigestValue>y3ntyrUMUD/i1IUH5GrMmh6UrQ5oiq3sIZ6A1kVsIoM=</DigestValue>
      </Reference>
      <Reference URI="/xl/worksheets/sheet27.xml?ContentType=application/vnd.openxmlformats-officedocument.spreadsheetml.worksheet+xml">
        <DigestMethod Algorithm="http://www.w3.org/2001/04/xmlenc#sha256"/>
        <DigestValue>MNulUMGOyzscf7rse2KXHKMpwi/vi/MK7iywni98R6A=</DigestValue>
      </Reference>
      <Reference URI="/xl/worksheets/sheet28.xml?ContentType=application/vnd.openxmlformats-officedocument.spreadsheetml.worksheet+xml">
        <DigestMethod Algorithm="http://www.w3.org/2001/04/xmlenc#sha256"/>
        <DigestValue>jrmfxknmtaKGNl46Qao9oayWjlERG8eSco7s3H/j7RI=</DigestValue>
      </Reference>
      <Reference URI="/xl/worksheets/sheet29.xml?ContentType=application/vnd.openxmlformats-officedocument.spreadsheetml.worksheet+xml">
        <DigestMethod Algorithm="http://www.w3.org/2001/04/xmlenc#sha256"/>
        <DigestValue>HFptmIy7KpduHAfWMIzZV6CjWzULBSGaWHZaKYVmayU=</DigestValue>
      </Reference>
      <Reference URI="/xl/worksheets/sheet3.xml?ContentType=application/vnd.openxmlformats-officedocument.spreadsheetml.worksheet+xml">
        <DigestMethod Algorithm="http://www.w3.org/2001/04/xmlenc#sha256"/>
        <DigestValue>lWJ6RdJGTK/EZn2g7Yza+jIMWfpOf5JqmfPpQ64/9T8=</DigestValue>
      </Reference>
      <Reference URI="/xl/worksheets/sheet30.xml?ContentType=application/vnd.openxmlformats-officedocument.spreadsheetml.worksheet+xml">
        <DigestMethod Algorithm="http://www.w3.org/2001/04/xmlenc#sha256"/>
        <DigestValue>sWTTOtdJ2Hl817oWlcfF/TNa9KDb0sWoTE8cFGwrTCw=</DigestValue>
      </Reference>
      <Reference URI="/xl/worksheets/sheet4.xml?ContentType=application/vnd.openxmlformats-officedocument.spreadsheetml.worksheet+xml">
        <DigestMethod Algorithm="http://www.w3.org/2001/04/xmlenc#sha256"/>
        <DigestValue>dz4fhQUIGabSfSIFUkEl1p0gUJ4iutr96G7bOumQusg=</DigestValue>
      </Reference>
      <Reference URI="/xl/worksheets/sheet5.xml?ContentType=application/vnd.openxmlformats-officedocument.spreadsheetml.worksheet+xml">
        <DigestMethod Algorithm="http://www.w3.org/2001/04/xmlenc#sha256"/>
        <DigestValue>eIJWfZMFK6AXfwCFudzuIg9kz7fpFBM9R+b1wOq5Hh8=</DigestValue>
      </Reference>
      <Reference URI="/xl/worksheets/sheet6.xml?ContentType=application/vnd.openxmlformats-officedocument.spreadsheetml.worksheet+xml">
        <DigestMethod Algorithm="http://www.w3.org/2001/04/xmlenc#sha256"/>
        <DigestValue>scL6eYs1j6Ta+7bIRuhE5tM8w/l8r+f8qlLKW5gVnY8=</DigestValue>
      </Reference>
      <Reference URI="/xl/worksheets/sheet7.xml?ContentType=application/vnd.openxmlformats-officedocument.spreadsheetml.worksheet+xml">
        <DigestMethod Algorithm="http://www.w3.org/2001/04/xmlenc#sha256"/>
        <DigestValue>jZll83F1jYN+NQxxMlvZb8R6SWlzMHqB9E4L7koQMfs=</DigestValue>
      </Reference>
      <Reference URI="/xl/worksheets/sheet8.xml?ContentType=application/vnd.openxmlformats-officedocument.spreadsheetml.worksheet+xml">
        <DigestMethod Algorithm="http://www.w3.org/2001/04/xmlenc#sha256"/>
        <DigestValue>6+ZYOvd6flHKlLENj14ZnrX48nrmkO/vWntWApt4Mc4=</DigestValue>
      </Reference>
      <Reference URI="/xl/worksheets/sheet9.xml?ContentType=application/vnd.openxmlformats-officedocument.spreadsheetml.worksheet+xml">
        <DigestMethod Algorithm="http://www.w3.org/2001/04/xmlenc#sha256"/>
        <DigestValue>gCXLmectI8zYFQHNPQ9ElwneXOY57a/dRgbJFiQhGyE=</DigestValue>
      </Reference>
    </Manifest>
    <SignatureProperties>
      <SignatureProperty Id="idSignatureTime" Target="#idPackageSignature">
        <mdssi:SignatureTime xmlns:mdssi="http://schemas.openxmlformats.org/package/2006/digital-signature">
          <mdssi:Format>YYYY-MM-DDThh:mm:ssTZD</mdssi:Format>
          <mdssi:Value>2025-01-30T13:14:52Z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2025-01-30T13:14:52Z</xd:SigningTime>
          <xd:SigningCertificate>
            <xd:Cert>
              <xd:CertDigest>
                <DigestMethod Algorithm="http://www.w3.org/2001/04/xmlenc#sha256"/>
                <DigestValue>A/dFmHJqi23XirBd9ycHBnxQT+agsgNh0WNznCk9EJg=</DigestValue>
              </xd:CertDigest>
              <xd:IssuerSerial>
                <X509IssuerName>CN=NBG Class 2 INT Sub CA, DC=nbg, DC=ge</X509IssuerName>
                <X509SerialNumber>179503865680321442891099</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2025-01-30T13:13:26Z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