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33.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10455" tabRatio="854"/>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Q19" i="104" l="1"/>
  <c r="D19" i="104"/>
  <c r="R13" i="104"/>
  <c r="R19" i="104" s="1"/>
  <c r="Q13" i="104"/>
  <c r="P13" i="104"/>
  <c r="P19" i="104" s="1"/>
  <c r="O13" i="104"/>
  <c r="N13" i="104"/>
  <c r="N19" i="104" s="1"/>
  <c r="M13" i="104"/>
  <c r="M19" i="104" s="1"/>
  <c r="L13" i="104"/>
  <c r="L19" i="104" s="1"/>
  <c r="K13" i="104"/>
  <c r="K19" i="104" s="1"/>
  <c r="J13" i="104"/>
  <c r="J19" i="104" s="1"/>
  <c r="I13" i="104"/>
  <c r="I19" i="104" s="1"/>
  <c r="H13" i="104"/>
  <c r="H19" i="104" s="1"/>
  <c r="G13" i="104"/>
  <c r="G19" i="104" s="1"/>
  <c r="F13" i="104"/>
  <c r="F19" i="104" s="1"/>
  <c r="E13" i="104"/>
  <c r="E19" i="104" s="1"/>
  <c r="D13" i="104"/>
  <c r="C13" i="104"/>
  <c r="C19" i="104" s="1"/>
  <c r="B2" i="104"/>
  <c r="B1" i="104"/>
  <c r="B2" i="103"/>
  <c r="B1" i="103"/>
  <c r="L33" i="102"/>
  <c r="K33" i="102"/>
  <c r="J33" i="102"/>
  <c r="I33" i="102"/>
  <c r="H33" i="102"/>
  <c r="G33" i="102"/>
  <c r="F33" i="102"/>
  <c r="E33" i="102"/>
  <c r="D33" i="102"/>
  <c r="C33" i="102"/>
  <c r="B2" i="102"/>
  <c r="B1" i="102"/>
  <c r="B2" i="101"/>
  <c r="B1" i="101"/>
  <c r="S22" i="100"/>
  <c r="R22" i="100"/>
  <c r="Q22" i="100"/>
  <c r="P22" i="100"/>
  <c r="O22" i="100"/>
  <c r="N22" i="100"/>
  <c r="M22" i="100"/>
  <c r="L22" i="100"/>
  <c r="K22" i="100"/>
  <c r="J22" i="100"/>
  <c r="I22" i="100"/>
  <c r="H22" i="100"/>
  <c r="G22" i="100"/>
  <c r="F22" i="100"/>
  <c r="E22" i="100"/>
  <c r="D22" i="100"/>
  <c r="C22" i="100"/>
  <c r="S15" i="100"/>
  <c r="R15" i="100"/>
  <c r="Q15" i="100"/>
  <c r="P15" i="100"/>
  <c r="O15" i="100"/>
  <c r="N15" i="100"/>
  <c r="M15" i="100"/>
  <c r="L15" i="100"/>
  <c r="K15" i="100"/>
  <c r="J15" i="100"/>
  <c r="I15" i="100"/>
  <c r="H15" i="100"/>
  <c r="G15" i="100"/>
  <c r="F15" i="100"/>
  <c r="E15" i="100"/>
  <c r="D15" i="100"/>
  <c r="C15" i="100"/>
  <c r="S8" i="100"/>
  <c r="R8" i="100"/>
  <c r="Q8" i="100"/>
  <c r="P8" i="100"/>
  <c r="O8" i="100"/>
  <c r="N8" i="100"/>
  <c r="M8" i="100"/>
  <c r="L8" i="100"/>
  <c r="K8" i="100"/>
  <c r="J8" i="100"/>
  <c r="I8" i="100"/>
  <c r="H8" i="100"/>
  <c r="G8" i="100"/>
  <c r="F8" i="100"/>
  <c r="E8" i="100"/>
  <c r="D8" i="100"/>
  <c r="C8" i="100"/>
  <c r="B2" i="100"/>
  <c r="B1" i="100"/>
  <c r="C10" i="99"/>
  <c r="C18" i="99" s="1"/>
  <c r="B2" i="99"/>
  <c r="B1" i="99"/>
  <c r="D10" i="98"/>
  <c r="C10" i="98"/>
  <c r="D7" i="98"/>
  <c r="D15" i="98" s="1"/>
  <c r="C7" i="98"/>
  <c r="C15" i="98" s="1"/>
  <c r="B2" i="98"/>
  <c r="B1" i="98"/>
  <c r="G34" i="97"/>
  <c r="F34" i="97"/>
  <c r="E34" i="97"/>
  <c r="D34" i="97"/>
  <c r="C34" i="97"/>
  <c r="H34" i="97" s="1"/>
  <c r="H33" i="97"/>
  <c r="H32" i="97"/>
  <c r="H31" i="97"/>
  <c r="H30" i="97"/>
  <c r="H29" i="97"/>
  <c r="H28" i="97"/>
  <c r="H27" i="97"/>
  <c r="H26" i="97"/>
  <c r="H25" i="97"/>
  <c r="H24" i="97"/>
  <c r="H23" i="97"/>
  <c r="H22" i="97"/>
  <c r="H21" i="97"/>
  <c r="H20" i="97"/>
  <c r="H19" i="97"/>
  <c r="H18" i="97"/>
  <c r="H17" i="97"/>
  <c r="H16" i="97"/>
  <c r="H15" i="97"/>
  <c r="H14" i="97"/>
  <c r="H13" i="97"/>
  <c r="H12" i="97"/>
  <c r="H11" i="97"/>
  <c r="H10" i="97"/>
  <c r="H9" i="97"/>
  <c r="H8" i="97"/>
  <c r="H7" i="97"/>
  <c r="B2" i="97"/>
  <c r="B1" i="97"/>
  <c r="H23" i="96"/>
  <c r="H22" i="96"/>
  <c r="G21" i="96"/>
  <c r="F21" i="96"/>
  <c r="E21" i="96"/>
  <c r="D21" i="96"/>
  <c r="C21" i="96"/>
  <c r="H20" i="96"/>
  <c r="H19" i="96"/>
  <c r="H18" i="96"/>
  <c r="H17" i="96"/>
  <c r="H16" i="96"/>
  <c r="H15" i="96"/>
  <c r="H14" i="96"/>
  <c r="H13" i="96"/>
  <c r="H12" i="96"/>
  <c r="H11" i="96"/>
  <c r="H10" i="96"/>
  <c r="H9" i="96"/>
  <c r="H8" i="96"/>
  <c r="H7" i="96"/>
  <c r="H21" i="96" s="1"/>
  <c r="B2" i="96"/>
  <c r="B1" i="96"/>
  <c r="G22" i="95"/>
  <c r="F22" i="95"/>
  <c r="E22" i="95"/>
  <c r="D22" i="95"/>
  <c r="C22" i="95"/>
  <c r="H21" i="95"/>
  <c r="H20" i="95"/>
  <c r="H19" i="95"/>
  <c r="H18" i="95"/>
  <c r="H22" i="95" s="1"/>
  <c r="H17" i="95"/>
  <c r="H16" i="95"/>
  <c r="H15" i="95"/>
  <c r="H14" i="95"/>
  <c r="H13" i="95"/>
  <c r="H12" i="95"/>
  <c r="H11" i="95"/>
  <c r="H10" i="95"/>
  <c r="H9" i="95"/>
  <c r="H8" i="95"/>
  <c r="B2" i="95"/>
  <c r="B1" i="95"/>
  <c r="G33" i="80"/>
  <c r="F33" i="80"/>
  <c r="E33" i="80"/>
  <c r="D33" i="80"/>
  <c r="C33" i="80"/>
  <c r="G24" i="80"/>
  <c r="F24" i="80"/>
  <c r="E24" i="80"/>
  <c r="D24" i="80"/>
  <c r="C24" i="80"/>
  <c r="G18" i="80"/>
  <c r="F18" i="80"/>
  <c r="E18" i="80"/>
  <c r="D18" i="80"/>
  <c r="C18" i="80"/>
  <c r="G14" i="80"/>
  <c r="F14" i="80"/>
  <c r="E14" i="80"/>
  <c r="D14" i="80"/>
  <c r="C14" i="80"/>
  <c r="G11" i="80"/>
  <c r="F11" i="80"/>
  <c r="E11" i="80"/>
  <c r="D11" i="80"/>
  <c r="C11" i="80"/>
  <c r="G8" i="80"/>
  <c r="G21" i="80" s="1"/>
  <c r="F8" i="80"/>
  <c r="E8" i="80"/>
  <c r="D8" i="80"/>
  <c r="C8" i="80"/>
  <c r="B2" i="80"/>
  <c r="B1" i="80"/>
  <c r="B2" i="107"/>
  <c r="B1" i="107"/>
  <c r="C31" i="79"/>
  <c r="C7" i="79"/>
  <c r="C6" i="79"/>
  <c r="B2" i="79"/>
  <c r="B1" i="79"/>
  <c r="B2" i="37"/>
  <c r="B1" i="37"/>
  <c r="F25" i="36"/>
  <c r="J24" i="36"/>
  <c r="I24" i="36"/>
  <c r="K24" i="36" s="1"/>
  <c r="G24" i="36"/>
  <c r="F24" i="36"/>
  <c r="H24" i="36" s="1"/>
  <c r="J23" i="36"/>
  <c r="J25" i="36" s="1"/>
  <c r="I23" i="36"/>
  <c r="I25" i="36" s="1"/>
  <c r="G23" i="36"/>
  <c r="G25" i="36" s="1"/>
  <c r="F23" i="36"/>
  <c r="J21" i="36"/>
  <c r="K21" i="36" s="1"/>
  <c r="I21" i="36"/>
  <c r="G21" i="36"/>
  <c r="F21" i="36"/>
  <c r="H21" i="36" s="1"/>
  <c r="D21" i="36"/>
  <c r="C21" i="36"/>
  <c r="E21" i="36" s="1"/>
  <c r="K20" i="36"/>
  <c r="H20" i="36"/>
  <c r="E20" i="36"/>
  <c r="K19" i="36"/>
  <c r="H19" i="36"/>
  <c r="E19" i="36"/>
  <c r="K18" i="36"/>
  <c r="H18" i="36"/>
  <c r="E18" i="36"/>
  <c r="J16" i="36"/>
  <c r="I16" i="36"/>
  <c r="K16" i="36" s="1"/>
  <c r="G16" i="36"/>
  <c r="F16" i="36"/>
  <c r="H16" i="36" s="1"/>
  <c r="D16" i="36"/>
  <c r="E16" i="36" s="1"/>
  <c r="C16" i="36"/>
  <c r="K15" i="36"/>
  <c r="H15" i="36"/>
  <c r="E15" i="36"/>
  <c r="K14" i="36"/>
  <c r="H14" i="36"/>
  <c r="E14" i="36"/>
  <c r="K13" i="36"/>
  <c r="H13" i="36"/>
  <c r="E13" i="36"/>
  <c r="K12" i="36"/>
  <c r="H12" i="36"/>
  <c r="E12" i="36"/>
  <c r="K11" i="36"/>
  <c r="H11" i="36"/>
  <c r="E11" i="36"/>
  <c r="K10" i="36"/>
  <c r="H10" i="36"/>
  <c r="E10" i="36"/>
  <c r="K8" i="36"/>
  <c r="H8" i="36"/>
  <c r="B2" i="36"/>
  <c r="B1" i="36"/>
  <c r="G21" i="74"/>
  <c r="G20" i="74"/>
  <c r="G19" i="74"/>
  <c r="G18" i="74"/>
  <c r="H18" i="74" s="1"/>
  <c r="G17" i="74"/>
  <c r="H17" i="74" s="1"/>
  <c r="G16" i="74"/>
  <c r="G15" i="74"/>
  <c r="H15" i="74" s="1"/>
  <c r="G14" i="74"/>
  <c r="G13" i="74"/>
  <c r="G12" i="74"/>
  <c r="G11" i="74"/>
  <c r="G10" i="74"/>
  <c r="G9" i="74"/>
  <c r="G8" i="74"/>
  <c r="F21" i="74"/>
  <c r="F20" i="74"/>
  <c r="F19" i="74"/>
  <c r="F18" i="74"/>
  <c r="F17" i="74"/>
  <c r="F16" i="74"/>
  <c r="F15" i="74"/>
  <c r="F14" i="74"/>
  <c r="E14" i="74"/>
  <c r="D14" i="74"/>
  <c r="F13" i="74"/>
  <c r="E13" i="74"/>
  <c r="E22" i="74" s="1"/>
  <c r="D13" i="74"/>
  <c r="F12" i="74"/>
  <c r="F11" i="74"/>
  <c r="H11" i="74" s="1"/>
  <c r="F10" i="74"/>
  <c r="F22" i="74" s="1"/>
  <c r="F9" i="74"/>
  <c r="F8" i="74"/>
  <c r="C21" i="74"/>
  <c r="C20" i="74"/>
  <c r="C19" i="74"/>
  <c r="C18" i="74"/>
  <c r="C17" i="74"/>
  <c r="C16" i="74"/>
  <c r="C15" i="74"/>
  <c r="C14" i="74"/>
  <c r="C13" i="74"/>
  <c r="C12" i="74"/>
  <c r="C11" i="74"/>
  <c r="C10" i="74"/>
  <c r="C9" i="74"/>
  <c r="C8" i="74"/>
  <c r="H21" i="74"/>
  <c r="H20" i="74"/>
  <c r="H19" i="74"/>
  <c r="H16" i="74"/>
  <c r="D22" i="74"/>
  <c r="H12" i="74"/>
  <c r="H9" i="74"/>
  <c r="B2" i="74"/>
  <c r="B1" i="74"/>
  <c r="V21" i="64"/>
  <c r="U21" i="64"/>
  <c r="S21" i="64"/>
  <c r="R21" i="64"/>
  <c r="Q21" i="64"/>
  <c r="P21" i="64"/>
  <c r="O21" i="64"/>
  <c r="N21" i="64"/>
  <c r="M21" i="64"/>
  <c r="L21" i="64"/>
  <c r="K21" i="64"/>
  <c r="J21" i="64"/>
  <c r="I21" i="64"/>
  <c r="H21" i="64"/>
  <c r="G21" i="64"/>
  <c r="F21" i="64"/>
  <c r="E21" i="64"/>
  <c r="C21" i="64"/>
  <c r="V20" i="64"/>
  <c r="T20" i="64"/>
  <c r="T21" i="64" s="1"/>
  <c r="V19" i="64"/>
  <c r="V18" i="64"/>
  <c r="V17" i="64"/>
  <c r="V16" i="64"/>
  <c r="V15" i="64"/>
  <c r="V14" i="64"/>
  <c r="V13" i="64"/>
  <c r="D13" i="64"/>
  <c r="D21" i="64" s="1"/>
  <c r="V12" i="64"/>
  <c r="V11" i="64"/>
  <c r="V10" i="64"/>
  <c r="V9" i="64"/>
  <c r="V8" i="64"/>
  <c r="V7" i="64"/>
  <c r="B2" i="64"/>
  <c r="B1" i="64"/>
  <c r="R22" i="35"/>
  <c r="Q22" i="35"/>
  <c r="P22" i="35"/>
  <c r="O22" i="35"/>
  <c r="N22" i="35"/>
  <c r="M22" i="35"/>
  <c r="L22" i="35"/>
  <c r="K22" i="35"/>
  <c r="J22" i="35"/>
  <c r="I22" i="35"/>
  <c r="H22" i="35"/>
  <c r="G22" i="35"/>
  <c r="F22" i="35"/>
  <c r="E22" i="35"/>
  <c r="D22" i="35"/>
  <c r="C22" i="35"/>
  <c r="S21" i="35"/>
  <c r="S20" i="35"/>
  <c r="S19" i="35"/>
  <c r="S18" i="35"/>
  <c r="S17" i="35"/>
  <c r="S16" i="35"/>
  <c r="S15" i="35"/>
  <c r="S14" i="35"/>
  <c r="S13" i="35"/>
  <c r="S12" i="35"/>
  <c r="S11" i="35"/>
  <c r="S10" i="35"/>
  <c r="S9" i="35"/>
  <c r="S8" i="35"/>
  <c r="S22" i="35" s="1"/>
  <c r="B2" i="35"/>
  <c r="B1" i="35"/>
  <c r="C66" i="69"/>
  <c r="C65" i="69"/>
  <c r="C64" i="69"/>
  <c r="C63" i="69"/>
  <c r="C61" i="69"/>
  <c r="C60" i="69"/>
  <c r="C59" i="69"/>
  <c r="C57" i="69"/>
  <c r="C56" i="69"/>
  <c r="C55" i="69"/>
  <c r="C54" i="69"/>
  <c r="C51" i="69"/>
  <c r="C50" i="69"/>
  <c r="C49" i="69"/>
  <c r="C48" i="69"/>
  <c r="C47" i="69"/>
  <c r="C46" i="69" s="1"/>
  <c r="C45" i="69"/>
  <c r="C44" i="69"/>
  <c r="C43" i="69"/>
  <c r="C42" i="69"/>
  <c r="C41" i="69"/>
  <c r="C39" i="69"/>
  <c r="C38" i="69"/>
  <c r="C37" i="69"/>
  <c r="C33" i="69"/>
  <c r="C32" i="69"/>
  <c r="C31" i="69"/>
  <c r="C30" i="69"/>
  <c r="C28" i="69"/>
  <c r="C27" i="69"/>
  <c r="C25" i="69"/>
  <c r="C24" i="69"/>
  <c r="C22" i="69"/>
  <c r="C21" i="69"/>
  <c r="C20" i="69"/>
  <c r="C19" i="69"/>
  <c r="C16" i="69"/>
  <c r="C17" i="69"/>
  <c r="C15" i="69"/>
  <c r="C13" i="69"/>
  <c r="C12" i="69"/>
  <c r="C11" i="69"/>
  <c r="C10" i="69"/>
  <c r="C9" i="69"/>
  <c r="C8" i="69"/>
  <c r="C6" i="69" s="1"/>
  <c r="C7" i="69"/>
  <c r="C62" i="69"/>
  <c r="C58" i="69"/>
  <c r="C40" i="69"/>
  <c r="C29" i="69"/>
  <c r="C26" i="69"/>
  <c r="C23" i="69"/>
  <c r="C18" i="69"/>
  <c r="C14" i="69"/>
  <c r="B2" i="69"/>
  <c r="B1" i="69"/>
  <c r="B2" i="106"/>
  <c r="B1" i="106"/>
  <c r="B2" i="77"/>
  <c r="B1" i="77"/>
  <c r="C15" i="28"/>
  <c r="C11" i="28"/>
  <c r="C7" i="28"/>
  <c r="B2" i="28"/>
  <c r="B1" i="28"/>
  <c r="C6" i="73"/>
  <c r="B2" i="73"/>
  <c r="B1" i="73"/>
  <c r="C36" i="72"/>
  <c r="C35" i="72"/>
  <c r="C34" i="72"/>
  <c r="C33" i="72"/>
  <c r="E33" i="72" s="1"/>
  <c r="C32" i="72"/>
  <c r="C30" i="72"/>
  <c r="C29" i="72"/>
  <c r="C27" i="72"/>
  <c r="C25" i="72" s="1"/>
  <c r="C26" i="72"/>
  <c r="C24" i="72"/>
  <c r="C23" i="72"/>
  <c r="C22" i="72"/>
  <c r="C21" i="72"/>
  <c r="C19" i="72"/>
  <c r="C18" i="72"/>
  <c r="E18" i="72" s="1"/>
  <c r="C17" i="72"/>
  <c r="E17" i="72" s="1"/>
  <c r="E16" i="72" s="1"/>
  <c r="C15" i="72"/>
  <c r="C14" i="72"/>
  <c r="C13" i="72"/>
  <c r="C12" i="72"/>
  <c r="C11" i="72"/>
  <c r="C10" i="72"/>
  <c r="C9" i="72"/>
  <c r="C8" i="72" s="1"/>
  <c r="E36" i="72"/>
  <c r="E35" i="72"/>
  <c r="E34" i="72"/>
  <c r="E32" i="72"/>
  <c r="D31" i="72"/>
  <c r="C31" i="72"/>
  <c r="C28" i="72"/>
  <c r="E26" i="72"/>
  <c r="D25" i="72"/>
  <c r="E24" i="72"/>
  <c r="E23" i="72"/>
  <c r="E22" i="72"/>
  <c r="C20" i="72"/>
  <c r="D20" i="72"/>
  <c r="E19" i="72"/>
  <c r="D16" i="72"/>
  <c r="E15" i="72"/>
  <c r="E14" i="72"/>
  <c r="E13" i="72"/>
  <c r="E12" i="72"/>
  <c r="E11" i="72"/>
  <c r="E9" i="72"/>
  <c r="D8" i="72"/>
  <c r="B2" i="72"/>
  <c r="B1" i="72"/>
  <c r="B2" i="52"/>
  <c r="B1" i="52"/>
  <c r="F13" i="71"/>
  <c r="D13" i="71"/>
  <c r="G6" i="71"/>
  <c r="G13" i="71" s="1"/>
  <c r="F6" i="71"/>
  <c r="E6" i="71"/>
  <c r="E13" i="71" s="1"/>
  <c r="D6" i="71"/>
  <c r="C6" i="71"/>
  <c r="C13" i="71" s="1"/>
  <c r="B2" i="71"/>
  <c r="B1" i="71"/>
  <c r="H43" i="94"/>
  <c r="E43" i="94"/>
  <c r="H42" i="94"/>
  <c r="E42" i="94"/>
  <c r="H41" i="94"/>
  <c r="E41" i="94"/>
  <c r="H40" i="94"/>
  <c r="E40" i="94"/>
  <c r="H39" i="94"/>
  <c r="E39" i="94"/>
  <c r="G38" i="94"/>
  <c r="F38" i="94"/>
  <c r="H38" i="94" s="1"/>
  <c r="D38" i="94"/>
  <c r="C38" i="94"/>
  <c r="E38" i="94" s="1"/>
  <c r="H37" i="94"/>
  <c r="E37" i="94"/>
  <c r="H36" i="94"/>
  <c r="E36" i="94"/>
  <c r="H35" i="94"/>
  <c r="E35" i="94"/>
  <c r="H34" i="94"/>
  <c r="E34" i="94"/>
  <c r="H33" i="94"/>
  <c r="E33" i="94"/>
  <c r="H32" i="94"/>
  <c r="E32" i="94"/>
  <c r="H31" i="94"/>
  <c r="E31" i="94"/>
  <c r="G30" i="94"/>
  <c r="H30" i="94" s="1"/>
  <c r="F30" i="94"/>
  <c r="D30" i="94"/>
  <c r="C30" i="94"/>
  <c r="E30" i="94" s="1"/>
  <c r="H29" i="94"/>
  <c r="E29" i="94"/>
  <c r="H28" i="94"/>
  <c r="E28" i="94"/>
  <c r="H27" i="94"/>
  <c r="E27" i="94"/>
  <c r="H26" i="94"/>
  <c r="E26" i="94"/>
  <c r="H25" i="94"/>
  <c r="E25" i="94"/>
  <c r="H24" i="94"/>
  <c r="E24" i="94"/>
  <c r="H23" i="94"/>
  <c r="E23" i="94"/>
  <c r="H22" i="94"/>
  <c r="E22" i="94"/>
  <c r="H21" i="94"/>
  <c r="E21" i="94"/>
  <c r="H20" i="94"/>
  <c r="E20" i="94"/>
  <c r="H19" i="94"/>
  <c r="E19" i="94"/>
  <c r="H18" i="94"/>
  <c r="E18" i="94"/>
  <c r="G17" i="94"/>
  <c r="F17" i="94"/>
  <c r="F14" i="94" s="1"/>
  <c r="H14" i="94" s="1"/>
  <c r="E17" i="94"/>
  <c r="D17" i="94"/>
  <c r="D14" i="94" s="1"/>
  <c r="C17" i="94"/>
  <c r="H16" i="94"/>
  <c r="E16" i="94"/>
  <c r="H15" i="94"/>
  <c r="E15" i="94"/>
  <c r="G14" i="94"/>
  <c r="C14" i="94"/>
  <c r="H13" i="94"/>
  <c r="E13" i="94"/>
  <c r="H12" i="94"/>
  <c r="E12" i="94"/>
  <c r="G11" i="94"/>
  <c r="F11" i="94"/>
  <c r="H11" i="94" s="1"/>
  <c r="D11" i="94"/>
  <c r="C11" i="94"/>
  <c r="E11" i="94" s="1"/>
  <c r="H10" i="94"/>
  <c r="E10" i="94"/>
  <c r="H9" i="94"/>
  <c r="E9" i="94"/>
  <c r="G8" i="94"/>
  <c r="F8" i="94"/>
  <c r="H8" i="94" s="1"/>
  <c r="D8" i="94"/>
  <c r="C8" i="94"/>
  <c r="E8" i="94" s="1"/>
  <c r="H7" i="94"/>
  <c r="E7" i="94"/>
  <c r="H6" i="94"/>
  <c r="E6" i="94"/>
  <c r="B2" i="94"/>
  <c r="B1" i="94"/>
  <c r="H44" i="93"/>
  <c r="E44" i="93"/>
  <c r="C43" i="93"/>
  <c r="H42" i="93"/>
  <c r="E42" i="93"/>
  <c r="H41" i="93"/>
  <c r="E41" i="93"/>
  <c r="H40" i="93"/>
  <c r="E40" i="93"/>
  <c r="H39" i="93"/>
  <c r="E39" i="93"/>
  <c r="H38" i="93"/>
  <c r="E38" i="93"/>
  <c r="H37" i="93"/>
  <c r="G37" i="93"/>
  <c r="F37" i="93"/>
  <c r="D37" i="93"/>
  <c r="C37" i="93"/>
  <c r="E37" i="93" s="1"/>
  <c r="H36" i="93"/>
  <c r="E36" i="93"/>
  <c r="H35" i="93"/>
  <c r="E35" i="93"/>
  <c r="G34" i="93"/>
  <c r="F34" i="93"/>
  <c r="H34" i="93" s="1"/>
  <c r="E34" i="93"/>
  <c r="D34" i="93"/>
  <c r="C34" i="93"/>
  <c r="H33" i="93"/>
  <c r="E33" i="93"/>
  <c r="H32" i="93"/>
  <c r="E32" i="93"/>
  <c r="H31" i="93"/>
  <c r="E31" i="93"/>
  <c r="H30" i="93"/>
  <c r="E30" i="93"/>
  <c r="H29" i="93"/>
  <c r="G29" i="93"/>
  <c r="F29" i="93"/>
  <c r="D29" i="93"/>
  <c r="C29" i="93"/>
  <c r="E29" i="93" s="1"/>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H13" i="93" s="1"/>
  <c r="F13" i="93"/>
  <c r="D13" i="93"/>
  <c r="E13" i="93" s="1"/>
  <c r="C13" i="93"/>
  <c r="H12" i="93"/>
  <c r="E12" i="93"/>
  <c r="H11" i="93"/>
  <c r="E11" i="93"/>
  <c r="H10" i="93"/>
  <c r="E10" i="93"/>
  <c r="H9" i="93"/>
  <c r="E9" i="93"/>
  <c r="H8" i="93"/>
  <c r="E8" i="93"/>
  <c r="H7" i="93"/>
  <c r="E7" i="93"/>
  <c r="G6" i="93"/>
  <c r="G43" i="93" s="1"/>
  <c r="G45" i="93" s="1"/>
  <c r="F6" i="93"/>
  <c r="F43" i="93" s="1"/>
  <c r="D6" i="93"/>
  <c r="E6" i="93" s="1"/>
  <c r="C6" i="93"/>
  <c r="B2" i="93"/>
  <c r="B1" i="93"/>
  <c r="G68" i="92"/>
  <c r="F68" i="92"/>
  <c r="H68" i="92" s="1"/>
  <c r="H67" i="92"/>
  <c r="E67" i="92"/>
  <c r="H66" i="92"/>
  <c r="E66" i="92"/>
  <c r="H65" i="92"/>
  <c r="E65" i="92"/>
  <c r="H64" i="92"/>
  <c r="E64" i="92"/>
  <c r="H63" i="92"/>
  <c r="D63" i="92"/>
  <c r="C63" i="92"/>
  <c r="E63" i="92" s="1"/>
  <c r="H62" i="92"/>
  <c r="E62" i="92"/>
  <c r="H61" i="92"/>
  <c r="E61" i="92"/>
  <c r="H60" i="92"/>
  <c r="E60" i="92"/>
  <c r="H59" i="92"/>
  <c r="D59" i="92"/>
  <c r="D68" i="92" s="1"/>
  <c r="C59" i="92"/>
  <c r="C68" i="92" s="1"/>
  <c r="E68" i="92" s="1"/>
  <c r="H58" i="92"/>
  <c r="E58" i="92"/>
  <c r="H57" i="92"/>
  <c r="E57" i="92"/>
  <c r="H56" i="92"/>
  <c r="E56" i="92"/>
  <c r="H55" i="92"/>
  <c r="E55" i="92"/>
  <c r="H52" i="92"/>
  <c r="E52" i="92"/>
  <c r="H51" i="92"/>
  <c r="E51" i="92"/>
  <c r="H50" i="92"/>
  <c r="E50" i="92"/>
  <c r="H49" i="92"/>
  <c r="E49" i="92"/>
  <c r="H48" i="92"/>
  <c r="E48" i="92"/>
  <c r="G47" i="92"/>
  <c r="F47" i="92"/>
  <c r="H47" i="92" s="1"/>
  <c r="D47" i="92"/>
  <c r="C47" i="92"/>
  <c r="E47" i="92" s="1"/>
  <c r="H46" i="92"/>
  <c r="E46" i="92"/>
  <c r="H45" i="92"/>
  <c r="E45" i="92"/>
  <c r="H44" i="92"/>
  <c r="E44" i="92"/>
  <c r="H43" i="92"/>
  <c r="E43" i="92"/>
  <c r="H42" i="92"/>
  <c r="E42" i="92"/>
  <c r="G41" i="92"/>
  <c r="G53" i="92" s="1"/>
  <c r="G69" i="92" s="1"/>
  <c r="F41" i="92"/>
  <c r="H41" i="92" s="1"/>
  <c r="D41" i="92"/>
  <c r="D53" i="92" s="1"/>
  <c r="C41" i="92"/>
  <c r="E41" i="92" s="1"/>
  <c r="H40" i="92"/>
  <c r="E40" i="92"/>
  <c r="H39" i="92"/>
  <c r="E39" i="92"/>
  <c r="H38" i="92"/>
  <c r="E38" i="92"/>
  <c r="G36" i="92"/>
  <c r="F36" i="92"/>
  <c r="H36" i="92" s="1"/>
  <c r="H35" i="92"/>
  <c r="E35" i="92"/>
  <c r="H34" i="92"/>
  <c r="E34" i="92"/>
  <c r="H33" i="92"/>
  <c r="E33" i="92"/>
  <c r="H32" i="92"/>
  <c r="E32" i="92"/>
  <c r="H31" i="92"/>
  <c r="E31" i="92"/>
  <c r="G30" i="92"/>
  <c r="F30" i="92"/>
  <c r="H30" i="92" s="1"/>
  <c r="D30" i="92"/>
  <c r="C30" i="92"/>
  <c r="E30" i="92" s="1"/>
  <c r="H29" i="92"/>
  <c r="E29" i="92"/>
  <c r="H28" i="92"/>
  <c r="E28" i="92"/>
  <c r="H27" i="92"/>
  <c r="G27" i="92"/>
  <c r="F27" i="92"/>
  <c r="D27" i="92"/>
  <c r="C27" i="92"/>
  <c r="E27" i="92" s="1"/>
  <c r="H26" i="92"/>
  <c r="E26" i="92"/>
  <c r="H25" i="92"/>
  <c r="E25" i="92"/>
  <c r="G24" i="92"/>
  <c r="F24" i="92"/>
  <c r="H24" i="92" s="1"/>
  <c r="D24" i="92"/>
  <c r="C24" i="92"/>
  <c r="E24" i="92" s="1"/>
  <c r="H23" i="92"/>
  <c r="E23" i="92"/>
  <c r="H22" i="92"/>
  <c r="E22" i="92"/>
  <c r="H21" i="92"/>
  <c r="E21" i="92"/>
  <c r="H20" i="92"/>
  <c r="E20" i="92"/>
  <c r="H19" i="92"/>
  <c r="G19" i="92"/>
  <c r="F19" i="92"/>
  <c r="D19" i="92"/>
  <c r="C19" i="92"/>
  <c r="E19" i="92" s="1"/>
  <c r="H18" i="92"/>
  <c r="E18" i="92"/>
  <c r="H17" i="92"/>
  <c r="E17" i="92"/>
  <c r="H16" i="92"/>
  <c r="E16" i="92"/>
  <c r="G15" i="92"/>
  <c r="F15" i="92"/>
  <c r="H15" i="92" s="1"/>
  <c r="D15" i="92"/>
  <c r="E15" i="92" s="1"/>
  <c r="C15" i="92"/>
  <c r="H14" i="92"/>
  <c r="E14" i="92"/>
  <c r="H13" i="92"/>
  <c r="E13" i="92"/>
  <c r="H12" i="92"/>
  <c r="E12" i="92"/>
  <c r="H11" i="92"/>
  <c r="E11" i="92"/>
  <c r="H10" i="92"/>
  <c r="E10" i="92"/>
  <c r="H9" i="92"/>
  <c r="E9" i="92"/>
  <c r="H8" i="92"/>
  <c r="E8" i="92"/>
  <c r="H7" i="92"/>
  <c r="G7" i="92"/>
  <c r="F7" i="92"/>
  <c r="D7" i="92"/>
  <c r="D36" i="92" s="1"/>
  <c r="C7" i="92"/>
  <c r="C36" i="92" s="1"/>
  <c r="E36" i="92" s="1"/>
  <c r="C50" i="6"/>
  <c r="C46" i="6"/>
  <c r="B1" i="6"/>
  <c r="H23" i="36" l="1"/>
  <c r="H25" i="36" s="1"/>
  <c r="K23" i="36"/>
  <c r="K25" i="36" s="1"/>
  <c r="H10" i="74"/>
  <c r="G22" i="74"/>
  <c r="H13" i="74"/>
  <c r="H14" i="74"/>
  <c r="C22" i="74"/>
  <c r="H8" i="74"/>
  <c r="C52" i="69"/>
  <c r="C35" i="69"/>
  <c r="C67" i="69"/>
  <c r="C68" i="69" s="1"/>
  <c r="C16" i="72"/>
  <c r="E31" i="72"/>
  <c r="E27" i="72"/>
  <c r="E25" i="72"/>
  <c r="C37" i="72"/>
  <c r="E21" i="72"/>
  <c r="E20" i="72" s="1"/>
  <c r="D29" i="72"/>
  <c r="E29" i="72"/>
  <c r="D30" i="72"/>
  <c r="E30" i="72" s="1"/>
  <c r="E10" i="72"/>
  <c r="E8" i="72" s="1"/>
  <c r="E14" i="94"/>
  <c r="H17" i="94"/>
  <c r="F45" i="93"/>
  <c r="H45" i="93" s="1"/>
  <c r="H43" i="93"/>
  <c r="H6" i="93"/>
  <c r="D43" i="93"/>
  <c r="D45" i="93" s="1"/>
  <c r="C45" i="93"/>
  <c r="D69" i="92"/>
  <c r="C53" i="92"/>
  <c r="E59" i="92"/>
  <c r="F53" i="92"/>
  <c r="E7" i="92"/>
  <c r="H22" i="74" l="1"/>
  <c r="E28" i="72"/>
  <c r="E37" i="72" s="1"/>
  <c r="D28" i="72"/>
  <c r="D37" i="72" s="1"/>
  <c r="E45" i="93"/>
  <c r="E43" i="93"/>
  <c r="F69" i="92"/>
  <c r="H69" i="92" s="1"/>
  <c r="H53" i="92"/>
  <c r="E53" i="92"/>
  <c r="C69" i="92"/>
  <c r="E69" i="92" s="1"/>
  <c r="C14" i="79" l="1"/>
  <c r="C12" i="79"/>
  <c r="C10" i="79" l="1"/>
  <c r="C11" i="79"/>
  <c r="C13" i="79"/>
  <c r="P34" i="37" l="1"/>
  <c r="N34" i="37"/>
  <c r="L34" i="37"/>
  <c r="Q33" i="37"/>
  <c r="I33" i="37"/>
  <c r="Q32" i="37"/>
  <c r="I32" i="37"/>
  <c r="Q31" i="37"/>
  <c r="Q30" i="37" s="1"/>
  <c r="I31" i="37"/>
  <c r="I30" i="37"/>
  <c r="Q29" i="37"/>
  <c r="I29" i="37"/>
  <c r="Q28" i="37"/>
  <c r="I28" i="37"/>
  <c r="Q27" i="37"/>
  <c r="Q26" i="37" s="1"/>
  <c r="I27" i="37"/>
  <c r="I26" i="37"/>
  <c r="Q25" i="37"/>
  <c r="I25" i="37"/>
  <c r="Q24" i="37"/>
  <c r="I24" i="37"/>
  <c r="Q23" i="37"/>
  <c r="Q22" i="37" s="1"/>
  <c r="I23" i="37"/>
  <c r="I22" i="37"/>
  <c r="Q21" i="37"/>
  <c r="I21" i="37"/>
  <c r="Q20" i="37"/>
  <c r="I20" i="37"/>
  <c r="Q19" i="37"/>
  <c r="Q18" i="37" s="1"/>
  <c r="I19" i="37"/>
  <c r="I18" i="37"/>
  <c r="Q17" i="37"/>
  <c r="I17" i="37"/>
  <c r="Q16" i="37"/>
  <c r="I16" i="37"/>
  <c r="Q15" i="37"/>
  <c r="I15" i="37"/>
  <c r="Q14" i="37"/>
  <c r="I14" i="37"/>
  <c r="Q13" i="37"/>
  <c r="Q9" i="37" s="1"/>
  <c r="I13" i="37"/>
  <c r="Q12" i="37"/>
  <c r="Q8" i="37" s="1"/>
  <c r="I12" i="37"/>
  <c r="Q11" i="37"/>
  <c r="Q10" i="37" s="1"/>
  <c r="I11" i="37"/>
  <c r="I10" i="37"/>
  <c r="P9" i="37"/>
  <c r="O9" i="37"/>
  <c r="N9" i="37"/>
  <c r="M9" i="37"/>
  <c r="L9" i="37"/>
  <c r="K9" i="37"/>
  <c r="J9" i="37"/>
  <c r="I9" i="37"/>
  <c r="G9" i="37"/>
  <c r="F9" i="37"/>
  <c r="C9" i="37"/>
  <c r="P8" i="37"/>
  <c r="O8" i="37"/>
  <c r="N8" i="37"/>
  <c r="M8" i="37"/>
  <c r="L8" i="37"/>
  <c r="K8" i="37"/>
  <c r="J8" i="37"/>
  <c r="I8" i="37"/>
  <c r="G8" i="37"/>
  <c r="F8" i="37"/>
  <c r="C8" i="37"/>
  <c r="P7" i="37"/>
  <c r="O7" i="37"/>
  <c r="N7" i="37"/>
  <c r="M7" i="37"/>
  <c r="L7" i="37"/>
  <c r="K7" i="37"/>
  <c r="J7" i="37"/>
  <c r="I7" i="37"/>
  <c r="G7" i="37"/>
  <c r="F7" i="37"/>
  <c r="C7" i="37"/>
  <c r="C6" i="37" s="1"/>
  <c r="C34" i="37" s="1"/>
  <c r="P6" i="37"/>
  <c r="O6" i="37"/>
  <c r="O34" i="37" s="1"/>
  <c r="N6" i="37"/>
  <c r="M6" i="37"/>
  <c r="M34" i="37" s="1"/>
  <c r="L6" i="37"/>
  <c r="K6" i="37"/>
  <c r="K34" i="37" s="1"/>
  <c r="J6" i="37"/>
  <c r="J34" i="37" s="1"/>
  <c r="I6" i="37"/>
  <c r="G6" i="37"/>
  <c r="G34" i="37" s="1"/>
  <c r="F6" i="37"/>
  <c r="F34" i="37" s="1"/>
  <c r="I34" i="37" s="1"/>
  <c r="E6" i="37"/>
  <c r="E34" i="37" s="1"/>
  <c r="D6" i="37"/>
  <c r="D34" i="37" s="1"/>
  <c r="C26" i="79"/>
  <c r="C22" i="79"/>
  <c r="C8" i="79"/>
  <c r="C32" i="79" l="1"/>
  <c r="C34" i="79" s="1"/>
  <c r="Q7" i="37"/>
  <c r="Q6" i="37" s="1"/>
  <c r="Q34" i="37" s="1"/>
  <c r="F6" i="107" l="1"/>
  <c r="E6" i="107"/>
  <c r="D6" i="107"/>
  <c r="C6" i="107"/>
  <c r="B1" i="105" l="1"/>
  <c r="B2" i="105"/>
  <c r="B19" i="105" l="1"/>
  <c r="B18" i="105"/>
  <c r="B10" i="105"/>
  <c r="B9" i="105"/>
  <c r="E12" i="106"/>
  <c r="D12" i="106"/>
  <c r="C12" i="106"/>
  <c r="B12" i="106"/>
  <c r="E11" i="106"/>
  <c r="D11" i="106"/>
  <c r="C11" i="106"/>
  <c r="B11" i="106"/>
  <c r="E10" i="106"/>
  <c r="D10" i="106"/>
  <c r="C10" i="106"/>
  <c r="B10" i="106"/>
  <c r="F9" i="106"/>
  <c r="E9" i="106"/>
  <c r="D9" i="106"/>
  <c r="C9" i="106"/>
  <c r="B9" i="106"/>
  <c r="B11" i="105"/>
  <c r="F10" i="106" l="1"/>
  <c r="F12" i="106"/>
  <c r="F11" i="106"/>
  <c r="B1" i="92" l="1"/>
  <c r="G37" i="80" l="1"/>
  <c r="G39" i="80"/>
  <c r="C21" i="77" l="1"/>
  <c r="D16" i="77"/>
  <c r="D17" i="77"/>
  <c r="D15" i="77"/>
  <c r="D12" i="77"/>
  <c r="D13" i="77"/>
  <c r="D11" i="77"/>
  <c r="D8" i="77"/>
  <c r="D9" i="77"/>
  <c r="D7" i="77"/>
  <c r="C20" i="77"/>
  <c r="C19" i="77"/>
  <c r="D21" i="77" l="1"/>
  <c r="D19" i="77"/>
  <c r="D20" i="77"/>
  <c r="C5" i="73" l="1"/>
  <c r="C8" i="73" l="1"/>
  <c r="C13" i="73" s="1"/>
  <c r="C44" i="28"/>
  <c r="C32" i="28" l="1"/>
  <c r="C31" i="28" s="1"/>
  <c r="C48" i="28" l="1"/>
  <c r="C53" i="28" s="1"/>
  <c r="C36" i="28"/>
  <c r="C42" i="28" s="1"/>
  <c r="C12" i="28"/>
  <c r="C6" i="28" l="1"/>
  <c r="C29" i="28" s="1"/>
  <c r="B8" i="105" s="1"/>
  <c r="B7" i="105" s="1"/>
  <c r="B16" i="105" l="1"/>
  <c r="B14" i="105" s="1"/>
  <c r="B6" i="105"/>
  <c r="B2" i="92"/>
  <c r="C5" i="6"/>
  <c r="F5" i="6"/>
  <c r="G5" i="71"/>
  <c r="E5" i="6"/>
  <c r="D5" i="6"/>
  <c r="G5" i="6"/>
  <c r="B21" i="105" l="1"/>
  <c r="B22" i="105"/>
  <c r="B23" i="105"/>
  <c r="C5" i="71"/>
  <c r="E5" i="71"/>
  <c r="F5" i="71"/>
  <c r="D5" i="71"/>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<sst xmlns="http://schemas.openxmlformats.org/spreadsheetml/2006/main" count="1641" uniqueCount="1025">
  <si>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</si>
  <si>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</si>
  <si>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</si>
  <si>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</si>
  <si>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</si>
  <si>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</si>
  <si>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</si>
  <si>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</si>
  <si>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</si>
  <si>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</si>
  <si>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</si>
  <si>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</si>
  <si>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</si>
  <si>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</si>
  <si>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</si>
  <si>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</si>
  <si>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</si>
  <si>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</si>
  <si>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</si>
  <si>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</si>
  <si>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</si>
  <si>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</si>
  <si>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</si>
  <si>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</si>
  <si>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</si>
  <si>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</si>
  <si>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</si>
  <si>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</si>
  <si>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</si>
  <si>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</si>
  <si>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</si>
  <si>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</si>
  <si>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</si>
  <si>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</si>
  <si>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</si>
  <si>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</si>
  <si>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</si>
  <si>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</si>
  <si>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</si>
  <si>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</si>
  <si>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</si>
  <si>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</si>
  <si>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</si>
  <si>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</si>
  <si>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</si>
  <si>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</si>
  <si>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</si>
  <si>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</si>
  <si>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</si>
  <si>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</si>
  <si>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</si>
  <si>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</si>
  <si>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</si>
  <si>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</si>
  <si>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</si>
  <si>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</si>
  <si>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</si>
  <si>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</si>
  <si>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</si>
  <si>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</si>
  <si>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</si>
  <si>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</si>
  <si>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</si>
  <si>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</si>
  <si>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</si>
  <si>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</si>
  <si>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</si>
  <si>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</si>
  <si>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</si>
  <si>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</si>
  <si>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</si>
  <si>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</si>
  <si>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</si>
  <si>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</si>
  <si>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</si>
  <si>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</si>
  <si>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</si>
  <si>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</si>
  <si>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</si>
  <si>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</si>
  <si>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</si>
  <si>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</si>
  <si>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</si>
  <si>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</si>
  <si>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</si>
  <si>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</si>
  <si>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</si>
  <si>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</si>
  <si>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</si>
  <si>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</si>
  <si>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</si>
  <si>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</si>
  <si>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</si>
  <si>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</si>
  <si>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</si>
  <si>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</si>
  <si>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</si>
  <si>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</si>
  <si>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</si>
  <si>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</si>
  <si>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</si>
  <si>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</si>
  <si>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</si>
  <si>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</si>
  <si>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</si>
  <si>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</si>
  <si>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</si>
  <si>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</si>
  <si>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</si>
  <si>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</si>
  <si>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</si>
  <si>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</si>
  <si>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</si>
  <si>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</si>
  <si>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</si>
  <si>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</si>
  <si>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</si>
  <si>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</si>
  <si>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</si>
  <si>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</si>
  <si>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</si>
  <si>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</si>
  <si>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</si>
  <si>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</si>
  <si>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</si>
  <si>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</si>
  <si>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</si>
  <si>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</si>
  <si>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</si>
  <si>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</si>
  <si>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</si>
  <si>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</si>
  <si>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</si>
  <si>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</si>
  <si>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</si>
  <si>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</si>
  <si>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</si>
  <si>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</si>
  <si>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</si>
  <si>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</si>
  <si>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</si>
  <si>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</si>
  <si>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</si>
  <si>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</si>
  <si>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</si>
  <si>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</si>
  <si>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</si>
  <si>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</si>
  <si>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</si>
  <si>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</si>
  <si>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</si>
  <si>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</si>
  <si>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</si>
  <si>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</si>
  <si>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</si>
  <si>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</si>
  <si>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</si>
  <si>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</si>
  <si>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</si>
  <si>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</si>
  <si>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</si>
  <si>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</si>
  <si>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</si>
  <si>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</si>
  <si>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</si>
  <si>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</si>
  <si>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</si>
  <si>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</si>
  <si>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</si>
  <si>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</si>
  <si>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</si>
  <si>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</si>
  <si>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</si>
  <si>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</si>
  <si>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</si>
  <si>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</si>
  <si>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</si>
  <si>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</si>
  <si>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</si>
  <si>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</si>
  <si>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</si>
  <si>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</si>
  <si>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</si>
  <si>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</si>
  <si>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</si>
  <si>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</si>
  <si>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</si>
  <si>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</si>
  <si>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</si>
  <si>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</si>
  <si>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</si>
  <si>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</si>
  <si>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</si>
  <si>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</si>
  <si>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</si>
  <si>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</si>
  <si>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</si>
  <si>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</si>
  <si>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</si>
  <si>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</si>
  <si>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</si>
  <si>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</si>
  <si>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</si>
  <si>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</si>
  <si>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</si>
  <si>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</si>
  <si>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</si>
  <si>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</si>
  <si>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</si>
  <si>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</si>
  <si>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</si>
  <si>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</si>
  <si>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</si>
  <si>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</si>
  <si>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</si>
  <si>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</si>
  <si>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</si>
  <si>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</si>
  <si>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</si>
  <si>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</si>
  <si>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</si>
  <si>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</si>
  <si>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</si>
  <si>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</si>
  <si>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</si>
  <si>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</si>
  <si>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</si>
  <si>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</si>
  <si>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</si>
  <si>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</si>
  <si>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</si>
  <si>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</si>
  <si>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</si>
  <si>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</si>
  <si>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</si>
  <si>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</si>
  <si>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</si>
  <si>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</si>
  <si>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</si>
  <si>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</si>
  <si>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</si>
  <si>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</si>
  <si>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</si>
  <si>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</si>
  <si>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</si>
  <si>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</si>
  <si>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</si>
  <si>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</si>
  <si>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</si>
  <si>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</si>
  <si>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</si>
  <si>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</si>
  <si>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</si>
  <si>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</si>
  <si>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</si>
  <si>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</si>
  <si>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</si>
  <si>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</si>
  <si>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</si>
  <si>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</si>
  <si>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</si>
  <si>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</si>
  <si>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</si>
  <si>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</si>
  <si>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</si>
  <si>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</si>
  <si>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</si>
  <si>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</si>
  <si>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</si>
  <si>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</si>
  <si>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</si>
  <si>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</si>
  <si>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</si>
  <si>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</si>
  <si>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</si>
  <si>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</si>
  <si>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</si>
  <si>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</si>
  <si>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</si>
  <si>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</si>
  <si>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</si>
  <si>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</si>
  <si>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</si>
  <si>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</si>
  <si>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</si>
  <si>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</si>
  <si>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</si>
  <si>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</si>
  <si>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</si>
  <si>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</si>
  <si>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</si>
  <si>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</si>
  <si>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</si>
  <si>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</si>
  <si>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</si>
  <si>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</si>
  <si>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</si>
  <si>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</si>
  <si>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</si>
  <si>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</si>
  <si>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</si>
  <si>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</si>
  <si>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</si>
  <si>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</si>
  <si>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</si>
  <si>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</si>
  <si>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</si>
  <si>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</si>
  <si>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</si>
  <si>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</si>
  <si>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</si>
  <si>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</si>
  <si>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</si>
  <si>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</si>
  <si>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</si>
  <si>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</si>
  <si>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</si>
  <si>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</si>
  <si>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</si>
  <si>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</si>
  <si>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</si>
  <si>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</si>
  <si>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</si>
  <si>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</si>
  <si>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</si>
  <si>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</si>
  <si>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</si>
  <si>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</si>
  <si>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</si>
  <si>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</si>
  <si>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</si>
  <si>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</si>
  <si>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</si>
  <si>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</si>
  <si>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</si>
  <si>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</si>
  <si>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</si>
  <si>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</si>
  <si>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</si>
  <si>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</si>
  <si>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</si>
  <si>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</si>
  <si>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</si>
  <si>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</si>
  <si>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</si>
  <si>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</si>
  <si>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</si>
  <si>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</si>
  <si>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</si>
  <si>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</si>
  <si>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</si>
  <si>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</si>
  <si>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</si>
  <si>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</si>
  <si>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</si>
  <si>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</si>
  <si>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</si>
  <si>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</si>
  <si>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</si>
  <si>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</si>
  <si>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</si>
  <si>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</si>
  <si>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</si>
  <si>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</si>
  <si>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</si>
  <si>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</si>
  <si>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</si>
  <si>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</si>
  <si>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</si>
  <si>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</si>
  <si>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</si>
  <si>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</si>
  <si>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</si>
  <si>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</si>
  <si>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</si>
  <si>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</si>
  <si>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</si>
  <si>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</si>
  <si>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</si>
  <si>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</si>
  <si>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</si>
  <si>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</si>
  <si>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</si>
  <si>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</si>
  <si>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</si>
  <si>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</si>
  <si>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</si>
  <si>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</si>
  <si>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</si>
  <si>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</si>
  <si>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</si>
  <si>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</si>
  <si>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</si>
  <si>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</si>
  <si>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</si>
  <si>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</si>
  <si>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</si>
  <si>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</si>
  <si>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</si>
  <si>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</si>
  <si>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</si>
  <si>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</si>
  <si>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</si>
  <si>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</si>
  <si>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</si>
  <si>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</si>
  <si>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</si>
  <si>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</si>
  <si>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</si>
  <si>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</si>
  <si>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</si>
  <si>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</si>
  <si>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</si>
  <si>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</si>
  <si>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</si>
  <si>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</si>
  <si>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</si>
  <si>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</si>
  <si>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</si>
  <si>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</si>
  <si>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</si>
  <si>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</si>
  <si>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</si>
  <si>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</si>
  <si>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</si>
  <si>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</si>
  <si>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</si>
  <si>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</si>
  <si>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</si>
  <si>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</si>
  <si>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</si>
  <si>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</si>
  <si>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</si>
  <si>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</si>
  <si>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</si>
  <si>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</si>
  <si>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</si>
  <si>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</si>
  <si>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</si>
  <si>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</si>
  <si>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</si>
  <si>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</si>
  <si>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</si>
  <si>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</si>
  <si>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</si>
  <si>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</si>
  <si>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</si>
  <si>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</si>
  <si>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</si>
  <si>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</si>
  <si>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</si>
  <si>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</si>
  <si>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</si>
  <si>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</si>
  <si>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</si>
  <si>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</si>
  <si>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</si>
  <si>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</si>
  <si>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</si>
  <si>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</si>
  <si>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</si>
  <si>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</si>
  <si>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</si>
  <si>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</si>
  <si>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</si>
  <si>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</si>
  <si>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</si>
  <si>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</si>
  <si>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</si>
  <si>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</si>
  <si>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</si>
  <si>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</si>
  <si>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</si>
  <si>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</si>
  <si>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</si>
  <si>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</si>
  <si>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</si>
  <si>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</si>
  <si>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</si>
  <si>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</si>
  <si>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</si>
  <si>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</si>
  <si>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</si>
  <si>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</si>
  <si>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</si>
  <si>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</si>
  <si>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</si>
  <si>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</si>
  <si>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</si>
  <si>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</si>
  <si>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</si>
  <si>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</si>
  <si>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</si>
  <si>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</si>
  <si>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</si>
  <si>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</si>
  <si>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</si>
  <si>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</si>
  <si>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</si>
  <si>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</si>
  <si>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</si>
  <si>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</si>
  <si>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</si>
  <si>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</si>
  <si>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</si>
  <si>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</si>
  <si>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</si>
  <si>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</si>
  <si>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</si>
  <si>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</si>
  <si>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</si>
  <si>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</si>
  <si>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</si>
  <si>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</si>
  <si>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</si>
  <si>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</si>
  <si>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</si>
  <si>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</si>
  <si>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</si>
  <si>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</si>
  <si>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</si>
  <si>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</si>
  <si>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</si>
  <si>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</si>
  <si>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</si>
  <si>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</si>
  <si>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</si>
  <si>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</si>
  <si>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</si>
  <si>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</si>
  <si>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</si>
  <si>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</si>
  <si>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</si>
  <si>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</si>
  <si>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</si>
  <si>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</si>
  <si>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</si>
  <si>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</si>
  <si>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</si>
  <si>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</si>
  <si>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</si>
  <si>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</si>
  <si>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</si>
  <si>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</si>
  <si>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</si>
  <si>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</si>
  <si>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</si>
  <si>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</si>
  <si>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</si>
  <si>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</si>
  <si>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</si>
  <si>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</si>
  <si>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</si>
  <si>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</si>
  <si>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</si>
  <si>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</si>
  <si>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</si>
  <si>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</si>
  <si>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</si>
  <si>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</si>
  <si>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</si>
  <si>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</si>
  <si>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</si>
  <si>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</si>
  <si>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</si>
  <si>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</si>
  <si>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</si>
  <si>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</si>
  <si>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</si>
  <si>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</si>
  <si>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</si>
  <si>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</si>
  <si>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</si>
  <si>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</si>
  <si>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</si>
  <si>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</si>
  <si>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</si>
  <si>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</si>
  <si>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</si>
  <si>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</si>
  <si>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</si>
  <si>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</si>
  <si>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</si>
  <si>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</si>
  <si>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</si>
  <si>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</si>
  <si>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</si>
  <si>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</si>
  <si>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</si>
  <si>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</si>
  <si>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</si>
  <si>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</si>
  <si>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</si>
  <si>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</si>
  <si>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</si>
  <si>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</si>
  <si>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</si>
  <si>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</si>
  <si>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</si>
  <si>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</si>
  <si>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</si>
  <si>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</si>
  <si>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</si>
  <si>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</si>
  <si>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</si>
  <si>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</si>
  <si>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</si>
  <si>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</si>
  <si>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</si>
  <si>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</si>
  <si>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</si>
  <si>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</si>
  <si>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</si>
  <si>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</si>
  <si>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</si>
  <si>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</si>
  <si>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</si>
  <si>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</si>
  <si>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</si>
  <si>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</si>
  <si>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</si>
  <si>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</si>
  <si>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</si>
  <si>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</si>
  <si>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</si>
  <si>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</si>
  <si>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</si>
  <si>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</si>
  <si>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</si>
  <si>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</si>
  <si>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</si>
  <si>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</si>
  <si>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</si>
  <si>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</si>
  <si>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</si>
  <si>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</si>
  <si>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</si>
  <si>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</si>
  <si>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</si>
  <si>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</si>
  <si>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</si>
  <si>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</si>
  <si>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</si>
  <si>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</si>
  <si>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</si>
  <si>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</si>
  <si>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</si>
  <si>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</si>
  <si>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</si>
  <si>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</si>
  <si>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</si>
  <si>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</si>
  <si>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</si>
  <si>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</si>
  <si>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</si>
  <si>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</si>
  <si>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</si>
  <si>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</si>
  <si>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</si>
  <si>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</si>
  <si>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</si>
  <si>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</si>
  <si>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</si>
  <si>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</si>
  <si>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</si>
  <si>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</si>
  <si>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</si>
  <si>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</si>
  <si>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</si>
  <si>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</si>
  <si>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</si>
  <si>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</si>
  <si>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</si>
  <si>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</si>
  <si>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</si>
  <si>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</si>
  <si>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</si>
  <si>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</si>
  <si>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</si>
  <si>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</si>
  <si>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</si>
  <si>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</si>
  <si>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</si>
  <si>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</si>
  <si>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</si>
  <si>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</si>
  <si>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</si>
  <si>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</si>
  <si>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</si>
  <si>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</si>
  <si>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</si>
  <si>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</si>
  <si>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</si>
  <si>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</si>
  <si>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</si>
  <si>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</si>
  <si>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</si>
  <si>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</si>
  <si>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</si>
  <si>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</si>
  <si>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</si>
  <si>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</si>
  <si>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</si>
  <si>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</si>
  <si>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</si>
  <si>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</si>
  <si>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</si>
  <si>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</si>
  <si>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</si>
  <si>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</si>
  <si>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</si>
  <si>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</si>
  <si>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</si>
  <si>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</si>
  <si>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</si>
  <si>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</si>
  <si>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</si>
  <si>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</si>
  <si>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</si>
  <si>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</si>
  <si>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</si>
  <si>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</si>
  <si>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</si>
  <si>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</si>
  <si>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</si>
  <si>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</si>
  <si>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</si>
  <si>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</si>
  <si>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</si>
  <si>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</si>
  <si>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</si>
  <si>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</si>
  <si>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</si>
  <si>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</si>
  <si>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</si>
  <si>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</si>
  <si>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</si>
  <si>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</si>
  <si>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</si>
  <si>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</si>
  <si>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</si>
  <si>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</si>
  <si>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</si>
  <si>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</si>
  <si>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</si>
  <si>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</si>
  <si>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</si>
  <si>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</si>
  <si>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</si>
  <si>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</si>
  <si>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</si>
  <si>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</si>
  <si>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</si>
  <si>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</si>
  <si>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</si>
  <si>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</si>
  <si>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</si>
  <si>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</si>
  <si>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</si>
  <si>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</si>
  <si>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</si>
  <si>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</si>
  <si>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</si>
  <si>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</si>
  <si>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</si>
  <si>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</si>
  <si>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</si>
  <si>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</si>
  <si>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</si>
  <si>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</si>
  <si>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</si>
  <si>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</si>
  <si>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</si>
  <si>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</si>
  <si>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</si>
  <si>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</si>
  <si>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</si>
  <si>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</si>
  <si>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</si>
  <si>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</si>
  <si>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</si>
  <si>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</si>
  <si>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</si>
  <si>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</si>
  <si>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</si>
  <si>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</si>
  <si>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</si>
  <si>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</si>
  <si>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</si>
  <si>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</si>
  <si>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</si>
  <si>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</si>
  <si>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</si>
  <si>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</si>
  <si>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</si>
  <si>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</si>
  <si>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</si>
  <si>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</si>
  <si>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</si>
  <si>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</si>
  <si>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</si>
  <si>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</si>
  <si>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</si>
  <si>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</si>
  <si>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</si>
  <si>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</si>
  <si>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</si>
  <si>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</si>
  <si>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</si>
  <si>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</si>
  <si>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</si>
  <si>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</si>
  <si>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</si>
  <si>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</si>
  <si>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</si>
  <si>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</si>
  <si>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</si>
  <si>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</si>
  <si>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</si>
  <si>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</si>
  <si>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</si>
  <si>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</si>
  <si>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</si>
  <si>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</si>
  <si>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</si>
  <si>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</si>
  <si>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</si>
  <si>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</si>
  <si>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</si>
  <si>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</si>
  <si>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</si>
  <si>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</si>
  <si>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</si>
  <si>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</si>
  <si>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</si>
  <si>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</si>
  <si>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</si>
  <si>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</si>
  <si>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</si>
  <si>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</si>
  <si>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</si>
  <si>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</si>
  <si>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</si>
  <si>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</si>
  <si>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</si>
  <si>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</si>
  <si>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</si>
  <si>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</si>
  <si>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</si>
  <si>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</si>
  <si>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</si>
  <si>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</si>
  <si>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</si>
  <si>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</si>
  <si>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</si>
  <si>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</si>
  <si>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</si>
  <si>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</si>
  <si>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</si>
  <si>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</si>
  <si>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</si>
  <si>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</si>
  <si>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</si>
  <si>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</si>
  <si>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</si>
  <si>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</si>
  <si>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</si>
  <si>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</si>
  <si>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</si>
  <si>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</si>
  <si>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</si>
  <si>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</si>
  <si>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</si>
  <si>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</si>
  <si>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</si>
  <si>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</si>
  <si>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</si>
  <si>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</si>
  <si>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</si>
  <si>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</si>
  <si>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</si>
  <si>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</si>
  <si>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</si>
  <si>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</si>
  <si>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</si>
  <si>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</si>
  <si>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</si>
  <si>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</si>
  <si>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</si>
  <si>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</si>
  <si>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</si>
  <si>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</si>
  <si>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</si>
  <si>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</si>
  <si>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</si>
  <si>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</si>
  <si>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</si>
  <si>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</si>
  <si>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</si>
  <si>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</si>
  <si>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</si>
  <si>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</si>
  <si>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</si>
  <si>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</si>
  <si>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</si>
  <si>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</si>
  <si>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</si>
  <si>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</si>
  <si>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</si>
  <si>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</si>
  <si>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</si>
  <si>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</si>
  <si>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</si>
  <si>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</si>
  <si>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</si>
  <si>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</si>
  <si>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</si>
  <si>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</si>
  <si>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</si>
  <si>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</si>
  <si>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</si>
  <si>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</si>
  <si>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</si>
  <si>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</si>
  <si>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</si>
  <si>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</si>
  <si>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</si>
  <si>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</si>
  <si>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</si>
  <si>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</si>
  <si>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</si>
  <si>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</si>
  <si>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</si>
  <si>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</si>
  <si>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</si>
  <si>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</si>
  <si>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</si>
  <si>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</si>
  <si>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</si>
  <si>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</si>
  <si>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</si>
  <si>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</si>
  <si>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</si>
  <si>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</si>
  <si>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</si>
  <si>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</si>
  <si>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</si>
  <si>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</si>
  <si>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</si>
  <si>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</si>
  <si>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</si>
  <si>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</si>
  <si>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</si>
  <si>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</si>
  <si>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</si>
  <si>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</si>
  <si>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</si>
  <si>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</si>
  <si>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</si>
  <si>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</si>
  <si>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</si>
  <si>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</si>
  <si>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</si>
  <si>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</si>
  <si>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</si>
  <si>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</si>
  <si>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</si>
  <si>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</si>
  <si>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</si>
  <si>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</si>
  <si>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</si>
  <si>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</si>
  <si>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</si>
  <si>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</si>
  <si>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</si>
  <si>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</si>
  <si>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</si>
  <si>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</si>
  <si>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</si>
  <si>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</si>
  <si>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</si>
  <si>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</si>
  <si>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</si>
  <si>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</si>
  <si>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</si>
  <si>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</si>
  <si>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</si>
  <si>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</si>
  <si>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</si>
  <si>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</si>
  <si>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</si>
  <si>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</si>
  <si>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</si>
  <si>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</si>
  <si>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</si>
  <si>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</si>
  <si>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</si>
  <si>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</si>
  <si>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</si>
  <si>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</si>
  <si>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იშბანკი საქართველო</t>
  </si>
  <si>
    <t>ოლგუნ თუფან ქურბანოღლუ</t>
  </si>
  <si>
    <t>ჰუსეინ ემრე ილმაზ</t>
  </si>
  <si>
    <t>www.isbank.ge</t>
  </si>
  <si>
    <t>არადამოუკიდებელი თავმჯდომარე</t>
  </si>
  <si>
    <t>არადამოუკიდებელ წევრი</t>
  </si>
  <si>
    <t>ჰუსეინ სერდარ იუჯელ</t>
  </si>
  <si>
    <t>აჰმეთ ჰაქან უნალ</t>
  </si>
  <si>
    <t>თამარ სანიკიძე</t>
  </si>
  <si>
    <t>დამოუკიდებელი წევრი</t>
  </si>
  <si>
    <t>ნათია ჯანელიძე</t>
  </si>
  <si>
    <t>ბუღრა ავჯი</t>
  </si>
  <si>
    <t>გენერალური დირექტორი</t>
  </si>
  <si>
    <t>ჰუსეინ ქარაბულუთ</t>
  </si>
  <si>
    <t>გენერალური დირექტორის მოადგილე</t>
  </si>
  <si>
    <t>აბდულვაჰაფ დოან</t>
  </si>
  <si>
    <t>უჩა სარალიძე</t>
  </si>
  <si>
    <t>ფინანსური დირექტორი</t>
  </si>
  <si>
    <t>ვასილ აფხაზავა</t>
  </si>
  <si>
    <t>რისკების დირექტორი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</si>
  <si>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</si>
  <si>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</si>
  <si>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</si>
  <si>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 xml:space="preserve"> ცხრილი 9 (Capital), N2 </t>
  </si>
  <si>
    <t xml:space="preserve"> ცხრილი 9 (Capital), N6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</si>
</sst>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7" formatCode="_-* #,##0_-;\-* #,##0_-;_-* &quot;-&quot;??_-;_-@_-"/>
  </numFmts>
  <fonts count="18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b/>
      <sz val="11"/>
      <color theme="1"/>
      <name val="Sylfaen"/>
      <family val="1"/>
    </font>
    <font>
      <b/>
      <u/>
      <sz val="10"/>
      <color indexed="12"/>
      <name val="Arial"/>
      <family val="2"/>
    </font>
    <font>
      <b/>
      <sz val="10"/>
      <color theme="1"/>
      <name val="Lucida Bright"/>
      <family val="1"/>
    </font>
    <font>
      <sz val="10"/>
      <color theme="1"/>
      <name val="Arial"/>
      <family val="2"/>
    </font>
    <font>
      <sz val="10"/>
      <color rgb="FF333333"/>
      <name val="Arial"/>
      <family val="2"/>
    </font>
    <font>
      <b/>
      <sz val="11"/>
      <color theme="1"/>
      <name val="Calibri"/>
      <family val="2"/>
      <charset val="162"/>
      <scheme val="minor"/>
    </font>
    <font>
      <b/>
      <sz val="10"/>
      <name val="Sylfaen"/>
      <family val="1"/>
      <charset val="162"/>
    </font>
    <font>
      <b/>
      <sz val="10"/>
      <color theme="1"/>
      <name val="Times New Roman"/>
      <family val="1"/>
    </font>
    <font>
      <b/>
      <sz val="10"/>
      <color theme="1"/>
      <name val="Times New Roman"/>
      <family val="1"/>
      <charset val="162"/>
    </font>
    <font>
      <b/>
      <sz val="10"/>
      <name val="Arial"/>
      <family val="2"/>
      <charset val="162"/>
    </font>
    <font>
      <b/>
      <sz val="10"/>
      <color theme="1"/>
      <name val="Arial"/>
      <family val="2"/>
      <charset val="162"/>
    </font>
    <font>
      <b/>
      <sz val="10"/>
      <color theme="1"/>
      <name val="Arial"/>
      <family val="2"/>
    </font>
    <font>
      <b/>
      <sz val="10"/>
      <name val="Calibri"/>
      <family val="2"/>
      <charset val="162"/>
      <scheme val="minor"/>
    </font>
    <font>
      <i/>
      <sz val="10"/>
      <color theme="1"/>
      <name val="Arial"/>
      <family val="2"/>
    </font>
    <font>
      <b/>
      <i/>
      <sz val="10"/>
      <color theme="1"/>
      <name val="Arial"/>
      <family val="2"/>
      <charset val="162"/>
    </font>
    <font>
      <sz val="10"/>
      <color theme="1"/>
      <name val="Arial"/>
      <family val="2"/>
      <charset val="162"/>
    </font>
    <font>
      <b/>
      <sz val="10"/>
      <color theme="1"/>
      <name val="Calibri"/>
      <family val="2"/>
      <charset val="162"/>
      <scheme val="minor"/>
    </font>
    <font>
      <sz val="9"/>
      <color theme="1"/>
      <name val="Sylfaen"/>
      <family val="1"/>
      <charset val="162"/>
    </font>
    <font>
      <b/>
      <sz val="9"/>
      <name val="Sylfaen"/>
      <family val="1"/>
      <charset val="162"/>
    </font>
    <font>
      <b/>
      <sz val="9"/>
      <color theme="1"/>
      <name val="Sylfaen"/>
      <family val="1"/>
      <charset val="162"/>
    </font>
    <font>
      <sz val="9"/>
      <name val="Sylfaen"/>
      <family val="1"/>
      <charset val="162"/>
    </font>
    <font>
      <b/>
      <sz val="9"/>
      <name val="Calibri"/>
      <family val="2"/>
      <charset val="162"/>
      <scheme val="minor"/>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4">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auto="1"/>
      </left>
      <right style="thin">
        <color theme="6" tint="-0.499984740745262"/>
      </right>
      <top style="thin">
        <color auto="1"/>
      </top>
      <bottom style="thin">
        <color theme="6" tint="-0.499984740745262"/>
      </bottom>
      <diagonal/>
    </border>
    <border>
      <left style="thin">
        <color indexed="64"/>
      </left>
      <right style="thin">
        <color indexed="64"/>
      </right>
      <top style="thin">
        <color theme="6" tint="-0.499984740745262"/>
      </top>
      <bottom style="medium">
        <color indexed="64"/>
      </bottom>
      <diagonal/>
    </border>
    <border>
      <left style="thin">
        <color theme="6" tint="-0.499984740745262"/>
      </left>
      <right style="medium">
        <color indexed="64"/>
      </right>
      <top style="thin">
        <color indexed="64"/>
      </top>
      <bottom style="thin">
        <color theme="6" tint="-0.499984740745262"/>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9"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40" fillId="64" borderId="37" applyNumberFormat="0" applyAlignment="0" applyProtection="0"/>
    <xf numFmtId="0" fontId="41" fillId="9" borderId="33"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0" fontId="40"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0" fontId="41" fillId="9" borderId="33"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0" fontId="40" fillId="64" borderId="37"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68"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39" applyNumberFormat="0" applyFill="0" applyAlignment="0" applyProtection="0"/>
    <xf numFmtId="169" fontId="54" fillId="0" borderId="39" applyNumberFormat="0" applyFill="0" applyAlignment="0" applyProtection="0"/>
    <xf numFmtId="0"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0" fontId="54" fillId="0" borderId="39" applyNumberFormat="0" applyFill="0" applyAlignment="0" applyProtection="0"/>
    <xf numFmtId="0" fontId="55" fillId="0" borderId="40" applyNumberFormat="0" applyFill="0" applyAlignment="0" applyProtection="0"/>
    <xf numFmtId="169" fontId="55" fillId="0" borderId="40" applyNumberFormat="0" applyFill="0" applyAlignment="0" applyProtection="0"/>
    <xf numFmtId="0"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0" fontId="55" fillId="0" borderId="40" applyNumberFormat="0" applyFill="0" applyAlignment="0" applyProtection="0"/>
    <xf numFmtId="0" fontId="56" fillId="0" borderId="41" applyNumberFormat="0" applyFill="0" applyAlignment="0" applyProtection="0"/>
    <xf numFmtId="169"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9"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0" fontId="65" fillId="42" borderId="36"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2" applyNumberFormat="0" applyFill="0" applyAlignment="0" applyProtection="0"/>
    <xf numFmtId="0" fontId="69" fillId="0" borderId="3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0" fontId="68" fillId="0" borderId="4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0" fontId="68" fillId="0" borderId="42"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43"/>
    <xf numFmtId="169" fontId="25" fillId="0" borderId="43"/>
    <xf numFmtId="168" fontId="25" fillId="0" borderId="43"/>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5" fillId="0" borderId="0"/>
    <xf numFmtId="0" fontId="8"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8"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8"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68" fontId="8" fillId="0" borderId="0"/>
    <xf numFmtId="0" fontId="75" fillId="0" borderId="0"/>
    <xf numFmtId="168"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5"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168"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168" fontId="2" fillId="0" borderId="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169"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69"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168" fontId="2" fillId="0" borderId="0"/>
    <xf numFmtId="168" fontId="2" fillId="0" borderId="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9"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9"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6"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24" fillId="0" borderId="47"/>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9"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88" fontId="2" fillId="69" borderId="95" applyFont="0">
      <alignment horizontal="right" vertical="center"/>
    </xf>
    <xf numFmtId="3" fontId="2" fillId="69" borderId="95" applyFont="0">
      <alignment horizontal="right" vertical="center"/>
    </xf>
    <xf numFmtId="0" fontId="82"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169"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168"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168"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3" fontId="2" fillId="74" borderId="95" applyFont="0">
      <alignment horizontal="right" vertical="center"/>
      <protection locked="0"/>
    </xf>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3" fontId="2" fillId="71" borderId="95" applyFont="0">
      <alignment horizontal="right" vertical="center"/>
      <protection locked="0"/>
    </xf>
    <xf numFmtId="0" fontId="65"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169"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168"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168"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2" fillId="70" borderId="96" applyNumberFormat="0" applyFont="0" applyBorder="0" applyProtection="0">
      <alignment horizontal="left" vertical="center"/>
    </xf>
    <xf numFmtId="9" fontId="2" fillId="70" borderId="95" applyFont="0" applyProtection="0">
      <alignment horizontal="right" vertical="center"/>
    </xf>
    <xf numFmtId="3" fontId="2" fillId="70" borderId="95" applyFont="0" applyProtection="0">
      <alignment horizontal="right" vertical="center"/>
    </xf>
    <xf numFmtId="0" fontId="61" fillId="69" borderId="96" applyFont="0" applyBorder="0">
      <alignment horizontal="center" wrapText="1"/>
    </xf>
    <xf numFmtId="168" fontId="53" fillId="0" borderId="93">
      <alignment horizontal="left" vertical="center"/>
    </xf>
    <xf numFmtId="0" fontId="53" fillId="0" borderId="93">
      <alignment horizontal="left" vertical="center"/>
    </xf>
    <xf numFmtId="0" fontId="53" fillId="0" borderId="93">
      <alignment horizontal="left" vertical="center"/>
    </xf>
    <xf numFmtId="0" fontId="2" fillId="68" borderId="95" applyNumberFormat="0" applyFont="0" applyBorder="0" applyProtection="0">
      <alignment horizontal="center" vertical="center"/>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7"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169"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168"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168"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1" fillId="0" borderId="0"/>
    <xf numFmtId="169" fontId="25" fillId="36" borderId="0"/>
    <xf numFmtId="0" fontId="2" fillId="0" borderId="0">
      <alignment vertical="center"/>
    </xf>
    <xf numFmtId="166" fontId="1" fillId="0" borderId="0" applyFont="0" applyFill="0" applyBorder="0" applyAlignment="0" applyProtection="0"/>
    <xf numFmtId="0" fontId="127" fillId="0" borderId="0"/>
    <xf numFmtId="0" fontId="1" fillId="0" borderId="0"/>
    <xf numFmtId="0" fontId="1" fillId="0" borderId="0"/>
  </cellStyleXfs>
  <cellXfs count="1093">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2" xfId="0" applyFont="1" applyBorder="1"/>
    <xf numFmtId="0" fontId="19" fillId="0" borderId="22" xfId="0" applyFont="1" applyBorder="1" applyAlignment="1">
      <alignment horizontal="center" vertical="center" wrapText="1"/>
    </xf>
    <xf numFmtId="0" fontId="4" fillId="0" borderId="53"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2" fillId="0" borderId="56" xfId="0" applyNumberFormat="1" applyFont="1" applyBorder="1" applyAlignment="1">
      <alignment horizontal="center"/>
    </xf>
    <xf numFmtId="167" fontId="18" fillId="0" borderId="56" xfId="0" applyNumberFormat="1" applyFont="1" applyBorder="1" applyAlignment="1">
      <alignment horizontal="center"/>
    </xf>
    <xf numFmtId="167" fontId="22" fillId="0" borderId="58" xfId="0" applyNumberFormat="1" applyFont="1" applyBorder="1" applyAlignment="1">
      <alignment horizontal="center"/>
    </xf>
    <xf numFmtId="167" fontId="22" fillId="0" borderId="59"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0"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1" fillId="0" borderId="3" xfId="20960" applyFont="1" applyFill="1" applyBorder="1" applyAlignment="1" applyProtection="1">
      <alignment horizontal="center" vertical="center"/>
    </xf>
    <xf numFmtId="0" fontId="102"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4" fillId="0" borderId="0" xfId="0" applyFont="1" applyFill="1" applyBorder="1" applyAlignment="1"/>
    <xf numFmtId="49" fontId="104" fillId="0" borderId="7" xfId="0" applyNumberFormat="1" applyFont="1" applyFill="1" applyBorder="1" applyAlignment="1">
      <alignment horizontal="right" vertical="center"/>
    </xf>
    <xf numFmtId="49" fontId="104" fillId="0" borderId="73" xfId="0" applyNumberFormat="1" applyFont="1" applyFill="1" applyBorder="1" applyAlignment="1">
      <alignment horizontal="right" vertical="center"/>
    </xf>
    <xf numFmtId="49" fontId="104" fillId="0" borderId="76" xfId="0" applyNumberFormat="1" applyFont="1" applyFill="1" applyBorder="1" applyAlignment="1">
      <alignment horizontal="right" vertical="center"/>
    </xf>
    <xf numFmtId="49" fontId="104" fillId="0" borderId="81" xfId="0" applyNumberFormat="1" applyFont="1" applyFill="1" applyBorder="1" applyAlignment="1">
      <alignment horizontal="right" vertical="center"/>
    </xf>
    <xf numFmtId="0" fontId="104" fillId="0" borderId="0" xfId="0" applyFont="1" applyFill="1" applyBorder="1" applyAlignment="1">
      <alignment horizontal="left"/>
    </xf>
    <xf numFmtId="0" fontId="104" fillId="0" borderId="81" xfId="0" applyNumberFormat="1" applyFont="1" applyFill="1" applyBorder="1" applyAlignment="1">
      <alignment horizontal="right" vertical="center"/>
    </xf>
    <xf numFmtId="49" fontId="104" fillId="0" borderId="0" xfId="0" applyNumberFormat="1" applyFont="1" applyFill="1" applyBorder="1" applyAlignment="1">
      <alignment horizontal="right" vertical="center"/>
    </xf>
    <xf numFmtId="0" fontId="104" fillId="0" borderId="0" xfId="0" applyFont="1" applyFill="1" applyBorder="1" applyAlignment="1">
      <alignment vertical="center" wrapText="1"/>
    </xf>
    <xf numFmtId="0" fontId="104"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0" fillId="0" borderId="20" xfId="0" applyNumberFormat="1" applyBorder="1" applyAlignment="1"/>
    <xf numFmtId="193" fontId="0" fillId="0" borderId="20" xfId="0" applyNumberFormat="1" applyBorder="1" applyAlignment="1">
      <alignment wrapText="1"/>
    </xf>
    <xf numFmtId="193" fontId="7" fillId="3" borderId="20" xfId="2" applyNumberFormat="1" applyFont="1" applyFill="1" applyBorder="1" applyAlignment="1" applyProtection="1">
      <alignment vertical="top" wrapText="1"/>
      <protection locked="0"/>
    </xf>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5"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5" fillId="36" borderId="0" xfId="20" applyBorder="1"/>
    <xf numFmtId="169" fontId="25" fillId="36" borderId="89" xfId="20" applyBorder="1"/>
    <xf numFmtId="0" fontId="4" fillId="0" borderId="7" xfId="0" applyFont="1" applyFill="1" applyBorder="1" applyAlignment="1">
      <alignment vertical="center"/>
    </xf>
    <xf numFmtId="0" fontId="4" fillId="0" borderId="95" xfId="0" applyFont="1" applyFill="1" applyBorder="1" applyAlignment="1">
      <alignment vertical="center"/>
    </xf>
    <xf numFmtId="0" fontId="6" fillId="0" borderId="95" xfId="0" applyFont="1" applyFill="1" applyBorder="1" applyAlignment="1">
      <alignment vertical="center"/>
    </xf>
    <xf numFmtId="0" fontId="4" fillId="0" borderId="17" xfId="0" applyFont="1" applyFill="1" applyBorder="1" applyAlignment="1">
      <alignment vertical="center"/>
    </xf>
    <xf numFmtId="0" fontId="4" fillId="0" borderId="91" xfId="0" applyFont="1" applyFill="1" applyBorder="1" applyAlignment="1">
      <alignment vertical="center"/>
    </xf>
    <xf numFmtId="0" fontId="4" fillId="0" borderId="92" xfId="0" applyFont="1" applyFill="1" applyBorder="1" applyAlignment="1">
      <alignment vertical="center"/>
    </xf>
    <xf numFmtId="0" fontId="4" fillId="0" borderId="16"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5" xfId="0" applyFont="1" applyFill="1" applyBorder="1" applyAlignment="1">
      <alignment horizontal="center" vertical="center"/>
    </xf>
    <xf numFmtId="169" fontId="25" fillId="36" borderId="29" xfId="20" applyBorder="1"/>
    <xf numFmtId="169" fontId="25" fillId="36" borderId="107" xfId="20" applyBorder="1"/>
    <xf numFmtId="169" fontId="25" fillId="36" borderId="97" xfId="20" applyBorder="1"/>
    <xf numFmtId="169" fontId="25" fillId="36" borderId="53" xfId="20" applyBorder="1"/>
    <xf numFmtId="0" fontId="4" fillId="3" borderId="60" xfId="0" applyFont="1" applyFill="1" applyBorder="1" applyAlignment="1">
      <alignment horizontal="center" vertical="center"/>
    </xf>
    <xf numFmtId="0" fontId="4" fillId="3" borderId="0" xfId="0" applyFont="1" applyFill="1" applyBorder="1" applyAlignment="1">
      <alignment vertical="center"/>
    </xf>
    <xf numFmtId="0" fontId="4" fillId="0" borderId="66" xfId="0" applyFont="1" applyFill="1" applyBorder="1" applyAlignment="1">
      <alignment horizontal="center" vertical="center"/>
    </xf>
    <xf numFmtId="0" fontId="4" fillId="3" borderId="93" xfId="0" applyFont="1" applyFill="1" applyBorder="1" applyAlignment="1">
      <alignment vertical="center"/>
    </xf>
    <xf numFmtId="0" fontId="14" fillId="3" borderId="108" xfId="0" applyFont="1" applyFill="1" applyBorder="1" applyAlignment="1">
      <alignment horizontal="left"/>
    </xf>
    <xf numFmtId="0" fontId="14" fillId="3" borderId="109" xfId="0" applyFont="1" applyFill="1" applyBorder="1" applyAlignment="1">
      <alignment horizontal="left"/>
    </xf>
    <xf numFmtId="0" fontId="4" fillId="0" borderId="0" xfId="0" applyFont="1"/>
    <xf numFmtId="0" fontId="4" fillId="0" borderId="0" xfId="0" applyFont="1" applyFill="1"/>
    <xf numFmtId="0" fontId="4" fillId="0" borderId="95" xfId="0" applyFont="1" applyFill="1" applyBorder="1" applyAlignment="1">
      <alignment horizontal="center" vertical="center" wrapText="1"/>
    </xf>
    <xf numFmtId="0" fontId="104" fillId="0" borderId="83" xfId="0" applyFont="1" applyFill="1" applyBorder="1" applyAlignment="1">
      <alignment horizontal="right" vertical="center"/>
    </xf>
    <xf numFmtId="0" fontId="4" fillId="0" borderId="110" xfId="0" applyFont="1" applyFill="1" applyBorder="1" applyAlignment="1">
      <alignment horizontal="center" vertical="center" wrapText="1"/>
    </xf>
    <xf numFmtId="0" fontId="6" fillId="3" borderId="111" xfId="0" applyFont="1" applyFill="1" applyBorder="1" applyAlignment="1">
      <alignment vertical="center"/>
    </xf>
    <xf numFmtId="0" fontId="4" fillId="3" borderId="21" xfId="0" applyFont="1" applyFill="1" applyBorder="1" applyAlignment="1">
      <alignment vertical="center"/>
    </xf>
    <xf numFmtId="0" fontId="4" fillId="0" borderId="112" xfId="0" applyFont="1" applyFill="1" applyBorder="1" applyAlignment="1">
      <alignment horizontal="center" vertical="center"/>
    </xf>
    <xf numFmtId="0" fontId="6" fillId="0" borderId="23" xfId="0" applyFont="1" applyFill="1" applyBorder="1" applyAlignment="1">
      <alignment vertical="center"/>
    </xf>
    <xf numFmtId="169" fontId="25" fillId="36" borderId="25" xfId="20" applyBorder="1"/>
    <xf numFmtId="0" fontId="4" fillId="0" borderId="7"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2" xfId="0" applyBorder="1"/>
    <xf numFmtId="0" fontId="0" fillId="0" borderId="22" xfId="0" applyBorder="1"/>
    <xf numFmtId="0" fontId="6" fillId="35" borderId="113"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2" xfId="0" applyFont="1" applyFill="1" applyBorder="1" applyAlignment="1">
      <alignment horizontal="left" vertical="center" wrapText="1"/>
    </xf>
    <xf numFmtId="0" fontId="6" fillId="35" borderId="95" xfId="0" applyFont="1" applyFill="1" applyBorder="1" applyAlignment="1">
      <alignment horizontal="left" vertical="center" wrapText="1"/>
    </xf>
    <xf numFmtId="0" fontId="6" fillId="35" borderId="110" xfId="0" applyFont="1" applyFill="1" applyBorder="1" applyAlignment="1">
      <alignment horizontal="left" vertical="center" wrapText="1"/>
    </xf>
    <xf numFmtId="0" fontId="4" fillId="0" borderId="112" xfId="0" applyFont="1" applyFill="1" applyBorder="1" applyAlignment="1">
      <alignment horizontal="right" vertical="center" wrapText="1"/>
    </xf>
    <xf numFmtId="0" fontId="4" fillId="0" borderId="95" xfId="0" applyFont="1" applyFill="1" applyBorder="1" applyAlignment="1">
      <alignment horizontal="left" vertical="center" wrapText="1"/>
    </xf>
    <xf numFmtId="0" fontId="107" fillId="0" borderId="112" xfId="0" applyFont="1" applyFill="1" applyBorder="1" applyAlignment="1">
      <alignment horizontal="right" vertical="center" wrapText="1"/>
    </xf>
    <xf numFmtId="0" fontId="107" fillId="0" borderId="95" xfId="0" applyFont="1" applyFill="1" applyBorder="1" applyAlignment="1">
      <alignment horizontal="left" vertical="center" wrapText="1"/>
    </xf>
    <xf numFmtId="0" fontId="6" fillId="0" borderId="112"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7" fillId="0" borderId="0" xfId="0" applyFont="1" applyFill="1" applyAlignment="1">
      <alignment horizontal="left" vertical="center"/>
    </xf>
    <xf numFmtId="49" fontId="108" fillId="0" borderId="22" xfId="5" applyNumberFormat="1" applyFont="1" applyFill="1" applyBorder="1" applyAlignment="1" applyProtection="1">
      <alignment horizontal="left" vertical="center"/>
      <protection locked="0"/>
    </xf>
    <xf numFmtId="0" fontId="109" fillId="0" borderId="23" xfId="9" applyFont="1" applyFill="1" applyBorder="1" applyAlignment="1" applyProtection="1">
      <alignment horizontal="left" vertical="center" wrapText="1"/>
      <protection locked="0"/>
    </xf>
    <xf numFmtId="0" fontId="19" fillId="0" borderId="112" xfId="0" applyFont="1" applyBorder="1" applyAlignment="1">
      <alignment horizontal="center" vertical="center" wrapText="1"/>
    </xf>
    <xf numFmtId="14" fontId="7" fillId="3" borderId="95" xfId="8" quotePrefix="1" applyNumberFormat="1" applyFont="1" applyFill="1" applyBorder="1" applyAlignment="1" applyProtection="1">
      <alignment horizontal="left" vertical="center" wrapText="1" indent="2"/>
      <protection locked="0"/>
    </xf>
    <xf numFmtId="14" fontId="7" fillId="3" borderId="95" xfId="8" quotePrefix="1" applyNumberFormat="1" applyFont="1" applyFill="1" applyBorder="1" applyAlignment="1" applyProtection="1">
      <alignment horizontal="left" vertical="center" wrapText="1" indent="3"/>
      <protection locked="0"/>
    </xf>
    <xf numFmtId="0" fontId="11" fillId="0" borderId="95" xfId="17" applyFill="1" applyBorder="1" applyAlignment="1" applyProtection="1"/>
    <xf numFmtId="49" fontId="107" fillId="0" borderId="112" xfId="0" applyNumberFormat="1" applyFont="1" applyFill="1" applyBorder="1" applyAlignment="1">
      <alignment horizontal="right" vertical="center" wrapText="1"/>
    </xf>
    <xf numFmtId="0" fontId="7" fillId="3" borderId="95" xfId="20960" applyFont="1" applyFill="1" applyBorder="1" applyAlignment="1" applyProtection="1"/>
    <xf numFmtId="0" fontId="101" fillId="0" borderId="95" xfId="20960" applyFont="1" applyFill="1" applyBorder="1" applyAlignment="1" applyProtection="1">
      <alignment horizontal="center" vertical="center"/>
    </xf>
    <xf numFmtId="0" fontId="4" fillId="0" borderId="95" xfId="0" applyFont="1" applyBorder="1"/>
    <xf numFmtId="0" fontId="11" fillId="0" borderId="95" xfId="17" applyFill="1" applyBorder="1" applyAlignment="1" applyProtection="1">
      <alignment horizontal="left" vertical="center" wrapText="1"/>
    </xf>
    <xf numFmtId="49" fontId="107" fillId="0" borderId="95" xfId="0" applyNumberFormat="1" applyFont="1" applyFill="1" applyBorder="1" applyAlignment="1">
      <alignment horizontal="right" vertical="center" wrapText="1"/>
    </xf>
    <xf numFmtId="0" fontId="11" fillId="0" borderId="95" xfId="17" applyFill="1" applyBorder="1" applyAlignment="1" applyProtection="1">
      <alignment horizontal="left" vertical="center"/>
    </xf>
    <xf numFmtId="0" fontId="4" fillId="0" borderId="95" xfId="0" applyFont="1" applyFill="1" applyBorder="1"/>
    <xf numFmtId="0" fontId="19" fillId="0" borderId="112" xfId="0" applyFont="1" applyFill="1" applyBorder="1" applyAlignment="1">
      <alignment horizontal="center" vertical="center" wrapText="1"/>
    </xf>
    <xf numFmtId="10" fontId="7" fillId="0" borderId="95" xfId="20961" applyNumberFormat="1" applyFont="1" applyFill="1" applyBorder="1" applyAlignment="1">
      <alignment horizontal="left" vertical="center" wrapText="1"/>
    </xf>
    <xf numFmtId="10" fontId="4" fillId="0" borderId="95" xfId="20961" applyNumberFormat="1" applyFont="1" applyFill="1" applyBorder="1" applyAlignment="1">
      <alignment horizontal="left" vertical="center" wrapText="1"/>
    </xf>
    <xf numFmtId="10" fontId="6" fillId="35" borderId="95" xfId="0" applyNumberFormat="1" applyFont="1" applyFill="1" applyBorder="1" applyAlignment="1">
      <alignment horizontal="left" vertical="center" wrapText="1"/>
    </xf>
    <xf numFmtId="10" fontId="107" fillId="0" borderId="95" xfId="20961" applyNumberFormat="1" applyFont="1" applyFill="1" applyBorder="1" applyAlignment="1">
      <alignment horizontal="left" vertical="center" wrapText="1"/>
    </xf>
    <xf numFmtId="10" fontId="6" fillId="35" borderId="95" xfId="20961" applyNumberFormat="1" applyFont="1" applyFill="1" applyBorder="1" applyAlignment="1">
      <alignment horizontal="left" vertical="center" wrapText="1"/>
    </xf>
    <xf numFmtId="10" fontId="6" fillId="35" borderId="95" xfId="0" applyNumberFormat="1" applyFont="1" applyFill="1" applyBorder="1" applyAlignment="1">
      <alignment horizontal="center" vertical="center" wrapText="1"/>
    </xf>
    <xf numFmtId="10" fontId="109" fillId="0" borderId="23" xfId="20961" applyNumberFormat="1" applyFont="1" applyFill="1" applyBorder="1" applyAlignment="1" applyProtection="1">
      <alignment horizontal="left" vertical="center"/>
    </xf>
    <xf numFmtId="0" fontId="105"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2" xfId="0" applyFont="1" applyBorder="1" applyAlignment="1">
      <alignment horizontal="right" vertical="center" wrapText="1"/>
    </xf>
    <xf numFmtId="0" fontId="9" fillId="0" borderId="112" xfId="0" applyFont="1" applyFill="1" applyBorder="1" applyAlignment="1">
      <alignment horizontal="right" vertical="center" wrapText="1"/>
    </xf>
    <xf numFmtId="0" fontId="7" fillId="0" borderId="95" xfId="0" applyFont="1" applyFill="1" applyBorder="1" applyAlignment="1">
      <alignment vertical="center" wrapText="1"/>
    </xf>
    <xf numFmtId="0" fontId="4" fillId="0" borderId="95" xfId="0" applyFont="1" applyBorder="1" applyAlignment="1">
      <alignment vertical="center" wrapText="1"/>
    </xf>
    <xf numFmtId="0" fontId="4" fillId="0" borderId="95" xfId="0" applyFont="1" applyFill="1" applyBorder="1" applyAlignment="1">
      <alignment horizontal="left" vertical="center" wrapText="1" indent="2"/>
    </xf>
    <xf numFmtId="0" fontId="4" fillId="0" borderId="95" xfId="0" applyFont="1" applyFill="1" applyBorder="1" applyAlignment="1">
      <alignment vertical="center" wrapText="1"/>
    </xf>
    <xf numFmtId="0" fontId="6" fillId="0" borderId="23" xfId="0" applyFont="1" applyBorder="1" applyAlignment="1">
      <alignment vertical="center" wrapText="1"/>
    </xf>
    <xf numFmtId="0" fontId="4" fillId="0" borderId="110" xfId="0" applyFont="1" applyBorder="1" applyAlignment="1"/>
    <xf numFmtId="0" fontId="9" fillId="0" borderId="110" xfId="0" applyFont="1" applyBorder="1" applyAlignment="1"/>
    <xf numFmtId="0" fontId="9" fillId="0" borderId="110" xfId="0" applyFont="1" applyBorder="1" applyAlignment="1">
      <alignment wrapText="1"/>
    </xf>
    <xf numFmtId="0" fontId="10" fillId="0" borderId="18" xfId="0" applyFont="1" applyBorder="1" applyAlignment="1">
      <alignment horizontal="center"/>
    </xf>
    <xf numFmtId="0" fontId="10" fillId="0" borderId="110"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2" xfId="0" applyFont="1" applyFill="1" applyBorder="1" applyAlignment="1">
      <alignment horizontal="center" vertical="center" wrapText="1"/>
    </xf>
    <xf numFmtId="0" fontId="15" fillId="0" borderId="95" xfId="0" applyFont="1" applyFill="1" applyBorder="1" applyAlignment="1">
      <alignment horizontal="center" vertical="center" wrapText="1"/>
    </xf>
    <xf numFmtId="0" fontId="16" fillId="0" borderId="95" xfId="0" applyFont="1" applyFill="1" applyBorder="1" applyAlignment="1">
      <alignment horizontal="left" vertical="center" wrapText="1"/>
    </xf>
    <xf numFmtId="0" fontId="7" fillId="0" borderId="95" xfId="0" applyFont="1" applyBorder="1" applyAlignment="1">
      <alignment vertical="center" wrapText="1"/>
    </xf>
    <xf numFmtId="0" fontId="9" fillId="2" borderId="112" xfId="0" applyFont="1" applyFill="1" applyBorder="1" applyAlignment="1">
      <alignment horizontal="right" vertical="center"/>
    </xf>
    <xf numFmtId="0" fontId="9" fillId="2" borderId="95" xfId="0" applyFont="1" applyFill="1" applyBorder="1" applyAlignment="1">
      <alignment vertical="center"/>
    </xf>
    <xf numFmtId="193" fontId="9" fillId="2" borderId="95" xfId="0" applyNumberFormat="1" applyFont="1" applyFill="1" applyBorder="1" applyAlignment="1" applyProtection="1">
      <alignment vertical="center"/>
      <protection locked="0"/>
    </xf>
    <xf numFmtId="0" fontId="15" fillId="0" borderId="112"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2" xfId="0" applyFont="1" applyFill="1" applyBorder="1"/>
    <xf numFmtId="0" fontId="4" fillId="3" borderId="115" xfId="0" applyFont="1" applyFill="1" applyBorder="1" applyAlignment="1">
      <alignment wrapText="1"/>
    </xf>
    <xf numFmtId="0" fontId="4" fillId="3" borderId="116" xfId="0" applyFont="1" applyFill="1" applyBorder="1"/>
    <xf numFmtId="0" fontId="6" fillId="3" borderId="11" xfId="0" applyFont="1" applyFill="1" applyBorder="1" applyAlignment="1">
      <alignment horizontal="center" wrapText="1"/>
    </xf>
    <xf numFmtId="0" fontId="4" fillId="0" borderId="95" xfId="0" applyFont="1" applyFill="1" applyBorder="1" applyAlignment="1">
      <alignment horizontal="center"/>
    </xf>
    <xf numFmtId="0" fontId="4" fillId="0" borderId="95" xfId="0" applyFont="1" applyBorder="1" applyAlignment="1">
      <alignment horizontal="center"/>
    </xf>
    <xf numFmtId="0" fontId="4" fillId="3" borderId="60"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89" xfId="0" applyFont="1" applyFill="1" applyBorder="1" applyAlignment="1">
      <alignment horizontal="center" vertical="center" wrapText="1"/>
    </xf>
    <xf numFmtId="0" fontId="4" fillId="0" borderId="112" xfId="0" applyFont="1" applyBorder="1"/>
    <xf numFmtId="0" fontId="4" fillId="0" borderId="95" xfId="0" applyFont="1" applyBorder="1" applyAlignment="1">
      <alignment wrapText="1"/>
    </xf>
    <xf numFmtId="0" fontId="14" fillId="0" borderId="95" xfId="0" applyFont="1" applyBorder="1" applyAlignment="1">
      <alignment horizontal="left" wrapText="1" indent="2"/>
    </xf>
    <xf numFmtId="169" fontId="25" fillId="36" borderId="95" xfId="20" applyBorder="1"/>
    <xf numFmtId="0" fontId="6" fillId="0" borderId="112" xfId="0" applyFont="1" applyBorder="1"/>
    <xf numFmtId="0" fontId="6" fillId="0" borderId="95" xfId="0" applyFont="1" applyBorder="1" applyAlignment="1">
      <alignment wrapText="1"/>
    </xf>
    <xf numFmtId="164" fontId="6" fillId="0" borderId="110" xfId="7" applyNumberFormat="1" applyFont="1" applyBorder="1"/>
    <xf numFmtId="0" fontId="3" fillId="3" borderId="60"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9" xfId="7" applyNumberFormat="1" applyFont="1" applyFill="1" applyBorder="1"/>
    <xf numFmtId="0" fontId="14" fillId="0" borderId="95"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89" xfId="0" applyFont="1" applyFill="1" applyBorder="1"/>
    <xf numFmtId="0" fontId="6" fillId="0" borderId="22" xfId="0" applyFont="1" applyBorder="1"/>
    <xf numFmtId="0" fontId="6" fillId="0" borderId="23" xfId="0" applyFont="1" applyBorder="1" applyAlignment="1">
      <alignment wrapText="1"/>
    </xf>
    <xf numFmtId="169" fontId="25" fillId="36" borderId="113" xfId="20" applyBorder="1"/>
    <xf numFmtId="10" fontId="6" fillId="0" borderId="24" xfId="20961" applyNumberFormat="1" applyFont="1" applyBorder="1"/>
    <xf numFmtId="0" fontId="9" fillId="2" borderId="103" xfId="0" applyFont="1" applyFill="1" applyBorder="1" applyAlignment="1">
      <alignment horizontal="right" vertical="center"/>
    </xf>
    <xf numFmtId="0" fontId="9" fillId="2" borderId="91" xfId="0" applyFont="1" applyFill="1" applyBorder="1" applyAlignment="1">
      <alignment vertical="center"/>
    </xf>
    <xf numFmtId="0" fontId="9" fillId="0" borderId="95" xfId="0" applyFont="1" applyFill="1" applyBorder="1" applyAlignment="1">
      <alignment horizontal="left" vertical="center" wrapText="1"/>
    </xf>
    <xf numFmtId="0" fontId="6" fillId="3" borderId="0" xfId="0" applyFont="1" applyFill="1" applyBorder="1" applyAlignment="1">
      <alignment horizontal="center"/>
    </xf>
    <xf numFmtId="0" fontId="104" fillId="0" borderId="83" xfId="0" applyFont="1" applyFill="1" applyBorder="1" applyAlignment="1">
      <alignment horizontal="left" vertical="center"/>
    </xf>
    <xf numFmtId="0" fontId="104" fillId="0" borderId="81" xfId="0" applyFont="1" applyFill="1" applyBorder="1" applyAlignment="1">
      <alignment vertical="center" wrapText="1"/>
    </xf>
    <xf numFmtId="0" fontId="104" fillId="0" borderId="81" xfId="0" applyFont="1" applyFill="1" applyBorder="1" applyAlignment="1">
      <alignment horizontal="left" vertical="center" wrapText="1"/>
    </xf>
    <xf numFmtId="0" fontId="114" fillId="0" borderId="0" xfId="11" applyFont="1" applyFill="1" applyBorder="1" applyProtection="1"/>
    <xf numFmtId="0" fontId="115" fillId="0" borderId="0" xfId="0" applyFont="1"/>
    <xf numFmtId="0" fontId="114" fillId="0" borderId="0" xfId="11" applyFont="1" applyFill="1" applyBorder="1" applyAlignment="1" applyProtection="1"/>
    <xf numFmtId="0" fontId="116" fillId="0" borderId="0" xfId="11" applyFont="1" applyFill="1" applyBorder="1" applyAlignment="1" applyProtection="1"/>
    <xf numFmtId="0" fontId="115" fillId="0" borderId="0" xfId="0" applyFont="1" applyAlignment="1">
      <alignment wrapText="1"/>
    </xf>
    <xf numFmtId="0" fontId="118" fillId="0" borderId="0" xfId="0" applyFont="1"/>
    <xf numFmtId="0" fontId="115" fillId="0" borderId="0" xfId="0" applyFont="1" applyFill="1"/>
    <xf numFmtId="0" fontId="115" fillId="0" borderId="0" xfId="0" applyFont="1" applyBorder="1"/>
    <xf numFmtId="0" fontId="115" fillId="0" borderId="0" xfId="0" applyFont="1" applyBorder="1" applyAlignment="1">
      <alignment horizontal="left"/>
    </xf>
    <xf numFmtId="0" fontId="117" fillId="0" borderId="126" xfId="0" applyNumberFormat="1" applyFont="1" applyFill="1" applyBorder="1" applyAlignment="1">
      <alignment horizontal="left" vertical="center" wrapText="1"/>
    </xf>
    <xf numFmtId="0" fontId="123" fillId="0" borderId="0" xfId="0" applyFont="1"/>
    <xf numFmtId="49" fontId="104" fillId="0" borderId="95" xfId="0" applyNumberFormat="1" applyFont="1" applyFill="1" applyBorder="1" applyAlignment="1">
      <alignment horizontal="right" vertical="center"/>
    </xf>
    <xf numFmtId="0" fontId="124" fillId="0" borderId="0" xfId="0" applyFont="1" applyFill="1" applyBorder="1" applyAlignment="1"/>
    <xf numFmtId="0" fontId="115" fillId="0" borderId="0" xfId="0" applyFont="1" applyBorder="1" applyAlignment="1">
      <alignment horizontal="left" indent="1"/>
    </xf>
    <xf numFmtId="0" fontId="115" fillId="0" borderId="0" xfId="0" applyFont="1" applyBorder="1" applyAlignment="1">
      <alignment horizontal="left" indent="2"/>
    </xf>
    <xf numFmtId="49" fontId="115" fillId="0" borderId="0" xfId="0" applyNumberFormat="1" applyFont="1" applyBorder="1" applyAlignment="1">
      <alignment horizontal="left" indent="3"/>
    </xf>
    <xf numFmtId="49" fontId="115" fillId="0" borderId="0" xfId="0" applyNumberFormat="1" applyFont="1" applyBorder="1" applyAlignment="1">
      <alignment horizontal="left" indent="1"/>
    </xf>
    <xf numFmtId="49" fontId="115" fillId="0" borderId="0" xfId="0" applyNumberFormat="1" applyFont="1" applyBorder="1" applyAlignment="1">
      <alignment horizontal="left" wrapText="1" indent="2"/>
    </xf>
    <xf numFmtId="49" fontId="115" fillId="0" borderId="0" xfId="0" applyNumberFormat="1" applyFont="1" applyFill="1" applyBorder="1" applyAlignment="1">
      <alignment horizontal="left" wrapText="1" indent="3"/>
    </xf>
    <xf numFmtId="0" fontId="115" fillId="0" borderId="0" xfId="0" applyNumberFormat="1" applyFont="1" applyFill="1" applyBorder="1" applyAlignment="1">
      <alignment horizontal="left" wrapText="1" indent="1"/>
    </xf>
    <xf numFmtId="0" fontId="115" fillId="0" borderId="0" xfId="0" applyFont="1" applyFill="1" applyAlignment="1">
      <alignment horizontal="left" vertical="top" wrapText="1"/>
    </xf>
    <xf numFmtId="193" fontId="7" fillId="3" borderId="110" xfId="2" applyNumberFormat="1" applyFont="1" applyFill="1" applyBorder="1" applyAlignment="1" applyProtection="1">
      <alignment vertical="top" wrapText="1"/>
      <protection locked="0"/>
    </xf>
    <xf numFmtId="0" fontId="128" fillId="3" borderId="95" xfId="21414" applyFont="1" applyFill="1" applyBorder="1" applyAlignment="1">
      <alignment horizontal="left" vertical="center" wrapText="1"/>
    </xf>
    <xf numFmtId="0" fontId="129" fillId="0" borderId="95" xfId="21414" applyFont="1" applyFill="1" applyBorder="1" applyAlignment="1">
      <alignment horizontal="left" vertical="center" wrapText="1" indent="1"/>
    </xf>
    <xf numFmtId="0" fontId="130" fillId="3" borderId="95" xfId="21414" applyFont="1" applyFill="1" applyBorder="1" applyAlignment="1">
      <alignment horizontal="left" vertical="center" wrapText="1"/>
    </xf>
    <xf numFmtId="0" fontId="129" fillId="3" borderId="95" xfId="21414" applyFont="1" applyFill="1" applyBorder="1" applyAlignment="1">
      <alignment horizontal="left" vertical="center" wrapText="1" indent="1"/>
    </xf>
    <xf numFmtId="0" fontId="128" fillId="0" borderId="133" xfId="0" applyFont="1" applyFill="1" applyBorder="1" applyAlignment="1">
      <alignment horizontal="left" vertical="center" wrapText="1"/>
    </xf>
    <xf numFmtId="0" fontId="130" fillId="0" borderId="133" xfId="0" applyFont="1" applyFill="1" applyBorder="1" applyAlignment="1">
      <alignment horizontal="left" vertical="center" wrapText="1"/>
    </xf>
    <xf numFmtId="0" fontId="131" fillId="3" borderId="133" xfId="0" applyFont="1" applyFill="1" applyBorder="1" applyAlignment="1">
      <alignment horizontal="left" vertical="center" wrapText="1" indent="1"/>
    </xf>
    <xf numFmtId="0" fontId="130" fillId="3" borderId="133" xfId="0" applyFont="1" applyFill="1" applyBorder="1" applyAlignment="1">
      <alignment horizontal="left" vertical="center" wrapText="1"/>
    </xf>
    <xf numFmtId="0" fontId="130" fillId="3" borderId="134" xfId="0" applyFont="1" applyFill="1" applyBorder="1" applyAlignment="1">
      <alignment horizontal="left" vertical="center" wrapText="1"/>
    </xf>
    <xf numFmtId="0" fontId="131" fillId="0" borderId="133" xfId="0" applyFont="1" applyFill="1" applyBorder="1" applyAlignment="1">
      <alignment horizontal="left" vertical="center" wrapText="1" indent="1"/>
    </xf>
    <xf numFmtId="0" fontId="131" fillId="0" borderId="95" xfId="21414" applyFont="1" applyFill="1" applyBorder="1" applyAlignment="1">
      <alignment horizontal="left" vertical="center" wrapText="1" indent="1"/>
    </xf>
    <xf numFmtId="0" fontId="130" fillId="3" borderId="135" xfId="0" applyFont="1" applyFill="1" applyBorder="1" applyAlignment="1">
      <alignment horizontal="left" vertical="center" wrapText="1"/>
    </xf>
    <xf numFmtId="0" fontId="129" fillId="3" borderId="133" xfId="0" applyFont="1" applyFill="1" applyBorder="1" applyAlignment="1">
      <alignment horizontal="left" vertical="center" wrapText="1" indent="1"/>
    </xf>
    <xf numFmtId="0" fontId="130" fillId="0" borderId="133" xfId="0" applyFont="1" applyBorder="1" applyAlignment="1">
      <alignment horizontal="left" vertical="center" wrapText="1"/>
    </xf>
    <xf numFmtId="0" fontId="129" fillId="0" borderId="133" xfId="0" applyFont="1" applyBorder="1" applyAlignment="1">
      <alignment horizontal="left" vertical="center" wrapText="1" indent="1"/>
    </xf>
    <xf numFmtId="0" fontId="129" fillId="0" borderId="134" xfId="0" applyFont="1" applyBorder="1" applyAlignment="1">
      <alignment horizontal="left" vertical="center" wrapText="1" indent="1"/>
    </xf>
    <xf numFmtId="0" fontId="129" fillId="0" borderId="133" xfId="0" applyFont="1" applyFill="1" applyBorder="1" applyAlignment="1">
      <alignment horizontal="left" vertical="center" wrapText="1" indent="1"/>
    </xf>
    <xf numFmtId="0" fontId="0" fillId="0" borderId="0" xfId="0" applyAlignment="1">
      <alignment horizontal="left" vertical="center"/>
    </xf>
    <xf numFmtId="0" fontId="130" fillId="0" borderId="140" xfId="0" applyFont="1" applyFill="1" applyBorder="1" applyAlignment="1">
      <alignment horizontal="justify" vertical="center" wrapText="1"/>
    </xf>
    <xf numFmtId="0" fontId="129" fillId="0" borderId="135" xfId="0" applyFont="1" applyFill="1" applyBorder="1" applyAlignment="1">
      <alignment horizontal="left" vertical="center" wrapText="1" indent="1"/>
    </xf>
    <xf numFmtId="0" fontId="129" fillId="0" borderId="134" xfId="0" applyFont="1" applyFill="1" applyBorder="1" applyAlignment="1">
      <alignment horizontal="left" vertical="center" wrapText="1" indent="1"/>
    </xf>
    <xf numFmtId="0" fontId="130" fillId="0" borderId="133" xfId="0" applyFont="1" applyFill="1" applyBorder="1" applyAlignment="1">
      <alignment horizontal="justify" vertical="center" wrapText="1"/>
    </xf>
    <xf numFmtId="0" fontId="128" fillId="0" borderId="133" xfId="0" applyFont="1" applyFill="1" applyBorder="1" applyAlignment="1">
      <alignment horizontal="justify" vertical="center" wrapText="1"/>
    </xf>
    <xf numFmtId="0" fontId="130" fillId="3" borderId="133" xfId="0" applyFont="1" applyFill="1" applyBorder="1" applyAlignment="1">
      <alignment horizontal="justify" vertical="center" wrapText="1"/>
    </xf>
    <xf numFmtId="0" fontId="130" fillId="0" borderId="134" xfId="0" applyFont="1" applyFill="1" applyBorder="1" applyAlignment="1">
      <alignment horizontal="justify" vertical="center" wrapText="1"/>
    </xf>
    <xf numFmtId="0" fontId="130" fillId="0" borderId="135" xfId="0" applyFont="1" applyFill="1" applyBorder="1" applyAlignment="1">
      <alignment horizontal="justify" vertical="center" wrapText="1"/>
    </xf>
    <xf numFmtId="0" fontId="131" fillId="0" borderId="127" xfId="0" applyFont="1" applyFill="1" applyBorder="1" applyAlignment="1">
      <alignment horizontal="left" vertical="center" wrapText="1" indent="1"/>
    </xf>
    <xf numFmtId="0" fontId="128" fillId="0" borderId="133" xfId="0" applyFont="1" applyFill="1" applyBorder="1" applyAlignment="1">
      <alignment vertical="center" wrapText="1"/>
    </xf>
    <xf numFmtId="0" fontId="130" fillId="0" borderId="133" xfId="0" applyFont="1" applyFill="1" applyBorder="1" applyAlignment="1">
      <alignment vertical="center" wrapText="1"/>
    </xf>
    <xf numFmtId="0" fontId="0" fillId="0" borderId="0" xfId="0" applyAlignment="1">
      <alignment horizontal="center"/>
    </xf>
    <xf numFmtId="193" fontId="9" fillId="0" borderId="0" xfId="0" applyNumberFormat="1" applyFont="1" applyFill="1" applyBorder="1" applyAlignment="1" applyProtection="1">
      <alignment horizontal="right"/>
    </xf>
    <xf numFmtId="49" fontId="104" fillId="0" borderId="136" xfId="0" applyNumberFormat="1" applyFont="1" applyFill="1" applyBorder="1" applyAlignment="1">
      <alignment horizontal="right" vertical="center"/>
    </xf>
    <xf numFmtId="0" fontId="0" fillId="0" borderId="136" xfId="0" applyBorder="1" applyAlignment="1">
      <alignment horizontal="center" vertical="center"/>
    </xf>
    <xf numFmtId="167" fontId="21" fillId="0" borderId="54" xfId="0" applyNumberFormat="1" applyFont="1" applyFill="1" applyBorder="1" applyAlignment="1">
      <alignment horizontal="center"/>
    </xf>
    <xf numFmtId="167" fontId="17" fillId="0" borderId="56" xfId="0" applyNumberFormat="1" applyFont="1" applyFill="1" applyBorder="1" applyAlignment="1">
      <alignment horizontal="center"/>
    </xf>
    <xf numFmtId="0" fontId="118" fillId="0" borderId="136" xfId="0" applyFont="1" applyBorder="1"/>
    <xf numFmtId="49" fontId="120" fillId="0" borderId="136" xfId="5" applyNumberFormat="1" applyFont="1" applyFill="1" applyBorder="1" applyAlignment="1" applyProtection="1">
      <alignment horizontal="right" vertical="center"/>
      <protection locked="0"/>
    </xf>
    <xf numFmtId="0" fontId="119" fillId="3" borderId="136" xfId="13" applyFont="1" applyFill="1" applyBorder="1" applyAlignment="1" applyProtection="1">
      <alignment horizontal="left" vertical="center" wrapText="1"/>
      <protection locked="0"/>
    </xf>
    <xf numFmtId="49" fontId="119" fillId="3" borderId="136" xfId="5" applyNumberFormat="1" applyFont="1" applyFill="1" applyBorder="1" applyAlignment="1" applyProtection="1">
      <alignment horizontal="right" vertical="center"/>
      <protection locked="0"/>
    </xf>
    <xf numFmtId="0" fontId="119" fillId="0" borderId="136" xfId="13" applyFont="1" applyFill="1" applyBorder="1" applyAlignment="1" applyProtection="1">
      <alignment horizontal="left" vertical="center" wrapText="1"/>
      <protection locked="0"/>
    </xf>
    <xf numFmtId="49" fontId="119" fillId="0" borderId="136" xfId="5" applyNumberFormat="1" applyFont="1" applyFill="1" applyBorder="1" applyAlignment="1" applyProtection="1">
      <alignment horizontal="right" vertical="center"/>
      <protection locked="0"/>
    </xf>
    <xf numFmtId="0" fontId="121" fillId="0" borderId="136" xfId="13" applyFont="1" applyFill="1" applyBorder="1" applyAlignment="1" applyProtection="1">
      <alignment horizontal="left" vertical="center" wrapText="1"/>
      <protection locked="0"/>
    </xf>
    <xf numFmtId="0" fontId="118" fillId="0" borderId="136" xfId="0" applyFont="1" applyBorder="1" applyAlignment="1">
      <alignment horizontal="center" vertical="center" wrapText="1"/>
    </xf>
    <xf numFmtId="0" fontId="118" fillId="0" borderId="136" xfId="0" applyFont="1" applyFill="1" applyBorder="1" applyAlignment="1">
      <alignment horizontal="center" vertical="center" wrapText="1"/>
    </xf>
    <xf numFmtId="0" fontId="114" fillId="0" borderId="143" xfId="0" applyFont="1" applyBorder="1"/>
    <xf numFmtId="0" fontId="114" fillId="0" borderId="143" xfId="0" applyFont="1" applyFill="1" applyBorder="1"/>
    <xf numFmtId="0" fontId="114" fillId="0" borderId="143" xfId="0" applyFont="1" applyBorder="1" applyAlignment="1">
      <alignment horizontal="left" indent="8"/>
    </xf>
    <xf numFmtId="0" fontId="114" fillId="0" borderId="143" xfId="0" applyFont="1" applyBorder="1" applyAlignment="1">
      <alignment wrapText="1"/>
    </xf>
    <xf numFmtId="0" fontId="117" fillId="0" borderId="143" xfId="0" applyFont="1" applyBorder="1"/>
    <xf numFmtId="49" fontId="120" fillId="0" borderId="143" xfId="5" applyNumberFormat="1" applyFont="1" applyFill="1" applyBorder="1" applyAlignment="1" applyProtection="1">
      <alignment horizontal="right" vertical="center" wrapText="1"/>
      <protection locked="0"/>
    </xf>
    <xf numFmtId="49" fontId="119" fillId="3" borderId="143" xfId="5" applyNumberFormat="1" applyFont="1" applyFill="1" applyBorder="1" applyAlignment="1" applyProtection="1">
      <alignment horizontal="right" vertical="center" wrapText="1"/>
      <protection locked="0"/>
    </xf>
    <xf numFmtId="49" fontId="119" fillId="0" borderId="143" xfId="5" applyNumberFormat="1" applyFont="1" applyFill="1" applyBorder="1" applyAlignment="1" applyProtection="1">
      <alignment horizontal="right" vertical="center" wrapText="1"/>
      <protection locked="0"/>
    </xf>
    <xf numFmtId="0" fontId="114" fillId="0" borderId="143" xfId="0" applyFont="1" applyBorder="1" applyAlignment="1">
      <alignment horizontal="center" vertical="center" wrapText="1"/>
    </xf>
    <xf numFmtId="0" fontId="114" fillId="0" borderId="144" xfId="0" applyFont="1" applyFill="1" applyBorder="1" applyAlignment="1">
      <alignment horizontal="center" vertical="center" wrapText="1"/>
    </xf>
    <xf numFmtId="0" fontId="114" fillId="0" borderId="143"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7" fillId="0" borderId="143" xfId="0" applyFont="1" applyFill="1" applyBorder="1"/>
    <xf numFmtId="0" fontId="114" fillId="0" borderId="143" xfId="0" applyNumberFormat="1" applyFont="1" applyFill="1" applyBorder="1" applyAlignment="1">
      <alignment horizontal="left" vertical="center" wrapText="1"/>
    </xf>
    <xf numFmtId="0" fontId="117" fillId="0" borderId="143" xfId="0" applyFont="1" applyFill="1" applyBorder="1" applyAlignment="1">
      <alignment horizontal="left" wrapText="1" indent="1"/>
    </xf>
    <xf numFmtId="0" fontId="117" fillId="0" borderId="143" xfId="0" applyFont="1" applyFill="1" applyBorder="1" applyAlignment="1">
      <alignment horizontal="left" vertical="center" indent="1"/>
    </xf>
    <xf numFmtId="0" fontId="114" fillId="0" borderId="143" xfId="0" applyFont="1" applyFill="1" applyBorder="1" applyAlignment="1">
      <alignment horizontal="left" wrapText="1" indent="1"/>
    </xf>
    <xf numFmtId="0" fontId="114" fillId="0" borderId="143" xfId="0" applyFont="1" applyFill="1" applyBorder="1" applyAlignment="1">
      <alignment horizontal="left" indent="1"/>
    </xf>
    <xf numFmtId="0" fontId="114" fillId="0" borderId="143" xfId="0" applyFont="1" applyFill="1" applyBorder="1" applyAlignment="1">
      <alignment horizontal="left" wrapText="1" indent="4"/>
    </xf>
    <xf numFmtId="0" fontId="114" fillId="0" borderId="143" xfId="0" applyNumberFormat="1" applyFont="1" applyFill="1" applyBorder="1" applyAlignment="1">
      <alignment horizontal="left" indent="3"/>
    </xf>
    <xf numFmtId="0" fontId="117" fillId="0" borderId="143" xfId="0" applyFont="1" applyFill="1" applyBorder="1" applyAlignment="1">
      <alignment horizontal="left" indent="1"/>
    </xf>
    <xf numFmtId="0" fontId="118" fillId="0" borderId="143" xfId="0" applyFont="1" applyFill="1" applyBorder="1" applyAlignment="1">
      <alignment horizontal="center" vertical="center" wrapText="1"/>
    </xf>
    <xf numFmtId="0" fontId="114" fillId="78" borderId="143" xfId="0" applyFont="1" applyFill="1" applyBorder="1"/>
    <xf numFmtId="0" fontId="117" fillId="0" borderId="7" xfId="0" applyFont="1" applyBorder="1"/>
    <xf numFmtId="0" fontId="114" fillId="0" borderId="143" xfId="0" applyFont="1" applyFill="1" applyBorder="1" applyAlignment="1">
      <alignment horizontal="left" wrapText="1" indent="2"/>
    </xf>
    <xf numFmtId="0" fontId="114" fillId="0" borderId="143" xfId="0" applyFont="1" applyFill="1" applyBorder="1" applyAlignment="1">
      <alignment horizontal="left" wrapText="1"/>
    </xf>
    <xf numFmtId="0" fontId="114" fillId="0" borderId="0" xfId="0" applyFont="1" applyBorder="1"/>
    <xf numFmtId="0" fontId="114" fillId="0" borderId="143" xfId="0" applyFont="1" applyBorder="1" applyAlignment="1">
      <alignment horizontal="left" indent="1"/>
    </xf>
    <xf numFmtId="0" fontId="114" fillId="0" borderId="143" xfId="0" applyFont="1" applyBorder="1" applyAlignment="1">
      <alignment horizontal="center"/>
    </xf>
    <xf numFmtId="0" fontId="114" fillId="0" borderId="0" xfId="0" applyFont="1" applyBorder="1" applyAlignment="1">
      <alignment horizontal="center" vertical="center"/>
    </xf>
    <xf numFmtId="0" fontId="114" fillId="0" borderId="143" xfId="0" applyFont="1" applyFill="1" applyBorder="1" applyAlignment="1">
      <alignment horizontal="center" vertical="center" wrapText="1"/>
    </xf>
    <xf numFmtId="0" fontId="114" fillId="0" borderId="7"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51" xfId="0" applyFont="1" applyBorder="1" applyAlignment="1">
      <alignment wrapText="1"/>
    </xf>
    <xf numFmtId="0" fontId="114" fillId="0" borderId="7" xfId="0" applyFont="1" applyBorder="1" applyAlignment="1">
      <alignment wrapText="1"/>
    </xf>
    <xf numFmtId="0" fontId="114" fillId="0" borderId="0" xfId="0" applyFont="1" applyBorder="1" applyAlignment="1">
      <alignment horizontal="center" vertical="center" wrapText="1"/>
    </xf>
    <xf numFmtId="0" fontId="114" fillId="0" borderId="142" xfId="0" applyFont="1" applyFill="1" applyBorder="1" applyAlignment="1">
      <alignment horizontal="center" vertical="center" wrapText="1"/>
    </xf>
    <xf numFmtId="0" fontId="114" fillId="0" borderId="0" xfId="0" applyFont="1" applyFill="1" applyBorder="1" applyAlignment="1">
      <alignment horizontal="center" vertical="center" wrapText="1"/>
    </xf>
    <xf numFmtId="0" fontId="114" fillId="0" borderId="145" xfId="0" applyFont="1" applyFill="1" applyBorder="1" applyAlignment="1">
      <alignment horizontal="center" vertical="center" wrapText="1"/>
    </xf>
    <xf numFmtId="0" fontId="114" fillId="0" borderId="141" xfId="0" applyFont="1" applyFill="1" applyBorder="1" applyAlignment="1">
      <alignment horizontal="center" vertical="center" wrapText="1"/>
    </xf>
    <xf numFmtId="0" fontId="114" fillId="0" borderId="0" xfId="0" applyFont="1" applyFill="1"/>
    <xf numFmtId="0" fontId="114" fillId="0" borderId="149" xfId="0" applyFont="1" applyFill="1" applyBorder="1"/>
    <xf numFmtId="0" fontId="114" fillId="0" borderId="150" xfId="0" applyFont="1" applyFill="1" applyBorder="1"/>
    <xf numFmtId="49" fontId="114" fillId="0" borderId="151" xfId="0" applyNumberFormat="1" applyFont="1" applyFill="1" applyBorder="1" applyAlignment="1">
      <alignment horizontal="left" wrapText="1" indent="1"/>
    </xf>
    <xf numFmtId="49" fontId="114" fillId="0" borderId="149" xfId="0" applyNumberFormat="1" applyFont="1" applyFill="1" applyBorder="1" applyAlignment="1">
      <alignment horizontal="left" wrapText="1" indent="1"/>
    </xf>
    <xf numFmtId="0" fontId="114" fillId="0" borderId="151" xfId="0" applyNumberFormat="1" applyFont="1" applyFill="1" applyBorder="1" applyAlignment="1">
      <alignment horizontal="left" wrapText="1" indent="1"/>
    </xf>
    <xf numFmtId="0" fontId="114" fillId="0" borderId="152" xfId="0" applyFont="1" applyFill="1" applyBorder="1"/>
    <xf numFmtId="49" fontId="114" fillId="0" borderId="153" xfId="0" applyNumberFormat="1" applyFont="1" applyFill="1" applyBorder="1" applyAlignment="1">
      <alignment horizontal="left" wrapText="1" indent="1"/>
    </xf>
    <xf numFmtId="49" fontId="114" fillId="0" borderId="152" xfId="0" applyNumberFormat="1" applyFont="1" applyFill="1" applyBorder="1" applyAlignment="1">
      <alignment horizontal="left" wrapText="1" indent="1"/>
    </xf>
    <xf numFmtId="0" fontId="114" fillId="0" borderId="153" xfId="0" applyNumberFormat="1" applyFont="1" applyFill="1" applyBorder="1" applyAlignment="1">
      <alignment horizontal="left" wrapText="1" indent="1"/>
    </xf>
    <xf numFmtId="49" fontId="114" fillId="0" borderId="153" xfId="0" applyNumberFormat="1" applyFont="1" applyFill="1" applyBorder="1" applyAlignment="1">
      <alignment horizontal="left" wrapText="1" indent="3"/>
    </xf>
    <xf numFmtId="49" fontId="114" fillId="0" borderId="152" xfId="0" applyNumberFormat="1" applyFont="1" applyFill="1" applyBorder="1" applyAlignment="1">
      <alignment horizontal="left" wrapText="1" indent="3"/>
    </xf>
    <xf numFmtId="49" fontId="114" fillId="0" borderId="152" xfId="0" applyNumberFormat="1" applyFont="1" applyFill="1" applyBorder="1" applyAlignment="1">
      <alignment horizontal="left" wrapText="1" indent="2"/>
    </xf>
    <xf numFmtId="49" fontId="114" fillId="0" borderId="153" xfId="0" applyNumberFormat="1" applyFont="1" applyBorder="1" applyAlignment="1">
      <alignment horizontal="left" wrapText="1" indent="2"/>
    </xf>
    <xf numFmtId="49" fontId="114" fillId="0" borderId="152" xfId="0" applyNumberFormat="1" applyFont="1" applyFill="1" applyBorder="1" applyAlignment="1">
      <alignment horizontal="left" vertical="top" wrapText="1" indent="2"/>
    </xf>
    <xf numFmtId="0" fontId="114" fillId="79" borderId="152" xfId="0" applyFont="1" applyFill="1" applyBorder="1"/>
    <xf numFmtId="0" fontId="114" fillId="79" borderId="143" xfId="0" applyFont="1" applyFill="1" applyBorder="1"/>
    <xf numFmtId="49" fontId="114" fillId="0" borderId="152" xfId="0" applyNumberFormat="1" applyFont="1" applyFill="1" applyBorder="1" applyAlignment="1">
      <alignment horizontal="left" indent="1"/>
    </xf>
    <xf numFmtId="0" fontId="114" fillId="0" borderId="153" xfId="0" applyNumberFormat="1" applyFont="1" applyBorder="1" applyAlignment="1">
      <alignment horizontal="left" indent="1"/>
    </xf>
    <xf numFmtId="0" fontId="114" fillId="0" borderId="152" xfId="0" applyFont="1" applyBorder="1"/>
    <xf numFmtId="49" fontId="114" fillId="0" borderId="153" xfId="0" applyNumberFormat="1" applyFont="1" applyBorder="1" applyAlignment="1">
      <alignment horizontal="left" indent="1"/>
    </xf>
    <xf numFmtId="49" fontId="114" fillId="0" borderId="152" xfId="0" applyNumberFormat="1" applyFont="1" applyFill="1" applyBorder="1" applyAlignment="1">
      <alignment horizontal="left" indent="3"/>
    </xf>
    <xf numFmtId="49" fontId="114" fillId="0" borderId="153" xfId="0" applyNumberFormat="1" applyFont="1" applyBorder="1" applyAlignment="1">
      <alignment horizontal="left" indent="3"/>
    </xf>
    <xf numFmtId="0" fontId="114" fillId="0" borderId="153" xfId="0" applyFont="1" applyBorder="1" applyAlignment="1">
      <alignment horizontal="left" indent="2"/>
    </xf>
    <xf numFmtId="0" fontId="114" fillId="0" borderId="152" xfId="0" applyFont="1" applyBorder="1" applyAlignment="1">
      <alignment horizontal="left" indent="2"/>
    </xf>
    <xf numFmtId="0" fontId="114" fillId="0" borderId="153" xfId="0" applyFont="1" applyBorder="1" applyAlignment="1">
      <alignment horizontal="left" indent="1"/>
    </xf>
    <xf numFmtId="0" fontId="114" fillId="0" borderId="152" xfId="0" applyFont="1" applyBorder="1" applyAlignment="1">
      <alignment horizontal="left" indent="1"/>
    </xf>
    <xf numFmtId="0" fontId="117" fillId="0" borderId="61" xfId="0" applyFont="1" applyBorder="1"/>
    <xf numFmtId="0" fontId="114" fillId="0" borderId="66" xfId="0" applyFont="1" applyBorder="1"/>
    <xf numFmtId="0" fontId="114" fillId="0" borderId="0" xfId="0" applyFont="1" applyBorder="1" applyAlignment="1">
      <alignment wrapText="1"/>
    </xf>
    <xf numFmtId="0" fontId="114" fillId="0" borderId="0" xfId="0" applyFont="1" applyAlignment="1">
      <alignment horizontal="center" vertical="center"/>
    </xf>
    <xf numFmtId="0" fontId="114" fillId="0" borderId="0" xfId="0" applyFont="1" applyBorder="1" applyAlignment="1">
      <alignment horizontal="left"/>
    </xf>
    <xf numFmtId="0" fontId="117" fillId="0" borderId="143" xfId="0" applyNumberFormat="1" applyFont="1" applyFill="1" applyBorder="1" applyAlignment="1">
      <alignment horizontal="left" vertical="center" wrapText="1"/>
    </xf>
    <xf numFmtId="0" fontId="114" fillId="0" borderId="7" xfId="0" applyFont="1" applyFill="1" applyBorder="1" applyAlignment="1">
      <alignment horizontal="center" vertical="center" wrapText="1"/>
    </xf>
    <xf numFmtId="0" fontId="9" fillId="0" borderId="0" xfId="0" applyFont="1" applyFill="1" applyBorder="1" applyAlignment="1">
      <alignment wrapText="1"/>
    </xf>
    <xf numFmtId="0" fontId="119" fillId="0" borderId="143" xfId="0" applyFont="1" applyBorder="1"/>
    <xf numFmtId="0" fontId="117" fillId="0" borderId="143"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7" fillId="0" borderId="0" xfId="0" applyFont="1"/>
    <xf numFmtId="0" fontId="114" fillId="0" borderId="131" xfId="0" applyNumberFormat="1" applyFont="1" applyFill="1" applyBorder="1" applyAlignment="1">
      <alignment horizontal="left" vertical="center" wrapText="1" indent="1" readingOrder="1"/>
    </xf>
    <xf numFmtId="0" fontId="119" fillId="0" borderId="143" xfId="0" applyFont="1" applyBorder="1" applyAlignment="1">
      <alignment horizontal="left" indent="3"/>
    </xf>
    <xf numFmtId="0" fontId="117" fillId="0" borderId="143" xfId="0" applyNumberFormat="1" applyFont="1" applyFill="1" applyBorder="1" applyAlignment="1">
      <alignment vertical="center" wrapText="1" readingOrder="1"/>
    </xf>
    <xf numFmtId="0" fontId="119" fillId="0" borderId="143" xfId="0" applyFont="1" applyFill="1" applyBorder="1" applyAlignment="1">
      <alignment horizontal="left" indent="2"/>
    </xf>
    <xf numFmtId="0" fontId="114" fillId="0" borderId="132" xfId="0" applyNumberFormat="1" applyFont="1" applyFill="1" applyBorder="1" applyAlignment="1">
      <alignment vertical="center" wrapText="1" readingOrder="1"/>
    </xf>
    <xf numFmtId="0" fontId="119" fillId="0" borderId="144" xfId="0" applyFont="1" applyBorder="1" applyAlignment="1">
      <alignment horizontal="left" indent="2"/>
    </xf>
    <xf numFmtId="0" fontId="114" fillId="0" borderId="131" xfId="0" applyNumberFormat="1" applyFont="1" applyFill="1" applyBorder="1" applyAlignment="1">
      <alignment vertical="center" wrapText="1" readingOrder="1"/>
    </xf>
    <xf numFmtId="0" fontId="119" fillId="0" borderId="143" xfId="0" applyFont="1" applyBorder="1" applyAlignment="1">
      <alignment horizontal="left" indent="2"/>
    </xf>
    <xf numFmtId="0" fontId="114" fillId="0" borderId="130" xfId="0" applyNumberFormat="1" applyFont="1" applyFill="1" applyBorder="1" applyAlignment="1">
      <alignment vertical="center" wrapText="1" readingOrder="1"/>
    </xf>
    <xf numFmtId="0" fontId="137" fillId="0" borderId="7" xfId="0" applyFont="1" applyBorder="1"/>
    <xf numFmtId="0" fontId="104" fillId="0" borderId="143" xfId="0" applyFont="1" applyFill="1" applyBorder="1" applyAlignment="1">
      <alignment vertical="center" wrapText="1"/>
    </xf>
    <xf numFmtId="0" fontId="104" fillId="0" borderId="143" xfId="0" applyFont="1" applyBorder="1" applyAlignment="1">
      <alignment horizontal="left" vertical="center" wrapText="1"/>
    </xf>
    <xf numFmtId="0" fontId="104" fillId="0" borderId="143" xfId="0" applyFont="1" applyBorder="1" applyAlignment="1">
      <alignment horizontal="left" indent="2"/>
    </xf>
    <xf numFmtId="0" fontId="104" fillId="0" borderId="143" xfId="0" applyNumberFormat="1" applyFont="1" applyFill="1" applyBorder="1" applyAlignment="1">
      <alignment vertical="center" wrapText="1"/>
    </xf>
    <xf numFmtId="0" fontId="104" fillId="0" borderId="143" xfId="0" applyNumberFormat="1" applyFont="1" applyFill="1" applyBorder="1" applyAlignment="1">
      <alignment horizontal="left" vertical="center" indent="1"/>
    </xf>
    <xf numFmtId="0" fontId="104" fillId="0" borderId="143" xfId="0" applyNumberFormat="1" applyFont="1" applyFill="1" applyBorder="1" applyAlignment="1">
      <alignment horizontal="left" vertical="center" wrapText="1" indent="1"/>
    </xf>
    <xf numFmtId="0" fontId="104" fillId="0" borderId="143" xfId="0" applyNumberFormat="1" applyFont="1" applyFill="1" applyBorder="1" applyAlignment="1">
      <alignment horizontal="right" vertical="center"/>
    </xf>
    <xf numFmtId="49" fontId="104" fillId="0" borderId="143" xfId="0" applyNumberFormat="1" applyFont="1" applyFill="1" applyBorder="1" applyAlignment="1">
      <alignment horizontal="right" vertical="center"/>
    </xf>
    <xf numFmtId="49" fontId="104" fillId="0" borderId="143" xfId="0" applyNumberFormat="1" applyFont="1" applyFill="1" applyBorder="1" applyAlignment="1">
      <alignment vertical="top" wrapText="1"/>
    </xf>
    <xf numFmtId="49" fontId="104" fillId="0" borderId="143" xfId="0" applyNumberFormat="1" applyFont="1" applyFill="1" applyBorder="1" applyAlignment="1">
      <alignment horizontal="left" vertical="top" wrapText="1" indent="2"/>
    </xf>
    <xf numFmtId="49" fontId="104" fillId="0" borderId="143" xfId="0" applyNumberFormat="1" applyFont="1" applyFill="1" applyBorder="1" applyAlignment="1">
      <alignment horizontal="left" vertical="center" wrapText="1" indent="3"/>
    </xf>
    <xf numFmtId="49" fontId="104" fillId="0" borderId="143" xfId="0" applyNumberFormat="1" applyFont="1" applyFill="1" applyBorder="1" applyAlignment="1">
      <alignment horizontal="left" wrapText="1" indent="2"/>
    </xf>
    <xf numFmtId="49" fontId="104" fillId="0" borderId="143" xfId="0" applyNumberFormat="1" applyFont="1" applyFill="1" applyBorder="1" applyAlignment="1">
      <alignment horizontal="left" vertical="top" wrapText="1"/>
    </xf>
    <xf numFmtId="49" fontId="104" fillId="0" borderId="143" xfId="0" applyNumberFormat="1" applyFont="1" applyFill="1" applyBorder="1" applyAlignment="1">
      <alignment horizontal="left" wrapText="1" indent="3"/>
    </xf>
    <xf numFmtId="49" fontId="104" fillId="0" borderId="143" xfId="0" applyNumberFormat="1" applyFont="1" applyFill="1" applyBorder="1" applyAlignment="1">
      <alignment vertical="center"/>
    </xf>
    <xf numFmtId="0" fontId="104" fillId="0" borderId="143" xfId="0" applyFont="1" applyFill="1" applyBorder="1" applyAlignment="1">
      <alignment horizontal="left" vertical="center" wrapText="1"/>
    </xf>
    <xf numFmtId="49" fontId="104" fillId="0" borderId="143" xfId="0" applyNumberFormat="1" applyFont="1" applyFill="1" applyBorder="1" applyAlignment="1">
      <alignment horizontal="left" indent="3"/>
    </xf>
    <xf numFmtId="0" fontId="104" fillId="0" borderId="143" xfId="0" applyFont="1" applyBorder="1" applyAlignment="1">
      <alignment horizontal="left" indent="1"/>
    </xf>
    <xf numFmtId="0" fontId="104" fillId="0" borderId="143" xfId="0" applyNumberFormat="1" applyFont="1" applyFill="1" applyBorder="1" applyAlignment="1">
      <alignment horizontal="left" vertical="center" wrapText="1"/>
    </xf>
    <xf numFmtId="0" fontId="104" fillId="0" borderId="143" xfId="0" applyFont="1" applyFill="1" applyBorder="1" applyAlignment="1">
      <alignment horizontal="left" wrapText="1" indent="2"/>
    </xf>
    <xf numFmtId="0" fontId="104" fillId="0" borderId="143" xfId="0" applyFont="1" applyBorder="1" applyAlignment="1">
      <alignment horizontal="left" vertical="top" wrapText="1"/>
    </xf>
    <xf numFmtId="0" fontId="103" fillId="0" borderId="7" xfId="0" applyFont="1" applyBorder="1" applyAlignment="1">
      <alignment wrapText="1"/>
    </xf>
    <xf numFmtId="0" fontId="104" fillId="0" borderId="143" xfId="0" applyFont="1" applyBorder="1" applyAlignment="1">
      <alignment horizontal="left" vertical="top" wrapText="1" indent="2"/>
    </xf>
    <xf numFmtId="0" fontId="104" fillId="0" borderId="143" xfId="0" applyFont="1" applyBorder="1" applyAlignment="1">
      <alignment horizontal="left" wrapText="1"/>
    </xf>
    <xf numFmtId="0" fontId="104" fillId="0" borderId="143" xfId="12672" applyFont="1" applyFill="1" applyBorder="1" applyAlignment="1">
      <alignment horizontal="left" vertical="center" wrapText="1" indent="2"/>
    </xf>
    <xf numFmtId="0" fontId="104" fillId="0" borderId="143" xfId="0" applyFont="1" applyBorder="1" applyAlignment="1">
      <alignment horizontal="left" wrapText="1" indent="2"/>
    </xf>
    <xf numFmtId="0" fontId="104" fillId="0" borderId="143" xfId="0" applyFont="1" applyBorder="1" applyAlignment="1">
      <alignment wrapText="1"/>
    </xf>
    <xf numFmtId="0" fontId="104" fillId="0" borderId="143" xfId="0" applyFont="1" applyBorder="1"/>
    <xf numFmtId="0" fontId="104" fillId="0" borderId="143" xfId="12672" applyFont="1" applyFill="1" applyBorder="1" applyAlignment="1">
      <alignment horizontal="left" vertical="center" wrapText="1"/>
    </xf>
    <xf numFmtId="0" fontId="103" fillId="0" borderId="143" xfId="0" applyFont="1" applyBorder="1" applyAlignment="1">
      <alignment wrapText="1"/>
    </xf>
    <xf numFmtId="0" fontId="104" fillId="0" borderId="145" xfId="0" applyNumberFormat="1" applyFont="1" applyFill="1" applyBorder="1" applyAlignment="1">
      <alignment horizontal="left" vertical="center" wrapText="1"/>
    </xf>
    <xf numFmtId="0" fontId="104" fillId="3" borderId="143" xfId="5" applyNumberFormat="1" applyFont="1" applyFill="1" applyBorder="1" applyAlignment="1" applyProtection="1">
      <alignment horizontal="right" vertical="center"/>
      <protection locked="0"/>
    </xf>
    <xf numFmtId="2" fontId="104" fillId="3" borderId="143" xfId="5" applyNumberFormat="1" applyFont="1" applyFill="1" applyBorder="1" applyAlignment="1" applyProtection="1">
      <alignment horizontal="right" vertical="center"/>
      <protection locked="0"/>
    </xf>
    <xf numFmtId="0" fontId="104" fillId="0" borderId="143" xfId="0" applyNumberFormat="1" applyFont="1" applyFill="1" applyBorder="1" applyAlignment="1">
      <alignment vertical="center"/>
    </xf>
    <xf numFmtId="0" fontId="104" fillId="0" borderId="145" xfId="13" applyFont="1" applyFill="1" applyBorder="1" applyAlignment="1" applyProtection="1">
      <alignment horizontal="left" vertical="top" wrapText="1"/>
      <protection locked="0"/>
    </xf>
    <xf numFmtId="0" fontId="104" fillId="0" borderId="146" xfId="13" applyFont="1" applyFill="1" applyBorder="1" applyAlignment="1" applyProtection="1">
      <alignment horizontal="left" vertical="top" wrapText="1"/>
      <protection locked="0"/>
    </xf>
    <xf numFmtId="0" fontId="104" fillId="0" borderId="144" xfId="0" applyFont="1" applyFill="1" applyBorder="1" applyAlignment="1">
      <alignment vertical="center" wrapText="1"/>
    </xf>
    <xf numFmtId="0" fontId="123" fillId="0" borderId="0" xfId="0" applyFont="1" applyBorder="1" applyAlignment="1">
      <alignment horizontal="left" indent="2"/>
    </xf>
    <xf numFmtId="0" fontId="114" fillId="0" borderId="0" xfId="0" applyNumberFormat="1" applyFont="1" applyFill="1" applyBorder="1" applyAlignment="1">
      <alignment horizontal="left" vertical="center" indent="1"/>
    </xf>
    <xf numFmtId="0" fontId="114" fillId="0" borderId="0" xfId="0" applyNumberFormat="1" applyFont="1" applyFill="1" applyBorder="1" applyAlignment="1">
      <alignment vertical="center" wrapText="1"/>
    </xf>
    <xf numFmtId="0" fontId="114" fillId="0" borderId="0" xfId="0" applyFont="1" applyFill="1" applyBorder="1" applyAlignment="1">
      <alignment vertical="center" wrapText="1"/>
    </xf>
    <xf numFmtId="0" fontId="125" fillId="0" borderId="0" xfId="0" applyNumberFormat="1" applyFont="1" applyFill="1" applyBorder="1" applyAlignment="1">
      <alignment horizontal="left" vertical="center" wrapText="1" readingOrder="1"/>
    </xf>
    <xf numFmtId="0" fontId="123" fillId="0" borderId="0" xfId="0" applyFont="1" applyBorder="1" applyAlignment="1">
      <alignment horizontal="left" vertical="center" wrapText="1"/>
    </xf>
    <xf numFmtId="0" fontId="114" fillId="0" borderId="0" xfId="0" applyFont="1" applyFill="1" applyBorder="1" applyAlignment="1">
      <alignment horizontal="left" vertical="center" wrapText="1"/>
    </xf>
    <xf numFmtId="0" fontId="104" fillId="0" borderId="144" xfId="0" applyFont="1" applyBorder="1" applyAlignment="1">
      <alignment horizontal="left" indent="2"/>
    </xf>
    <xf numFmtId="0" fontId="104" fillId="0" borderId="132" xfId="0" applyNumberFormat="1" applyFont="1" applyFill="1" applyBorder="1" applyAlignment="1">
      <alignment horizontal="left" vertical="center" wrapText="1" readingOrder="1"/>
    </xf>
    <xf numFmtId="0" fontId="104" fillId="0" borderId="143" xfId="0" applyNumberFormat="1" applyFont="1" applyFill="1" applyBorder="1" applyAlignment="1">
      <alignment horizontal="left" vertical="center" wrapText="1" readingOrder="1"/>
    </xf>
    <xf numFmtId="167" fontId="18" fillId="81" borderId="55" xfId="0" applyNumberFormat="1" applyFont="1" applyFill="1" applyBorder="1" applyAlignment="1">
      <alignment horizontal="center"/>
    </xf>
    <xf numFmtId="0" fontId="11" fillId="0" borderId="95" xfId="17" applyFill="1" applyBorder="1" applyAlignment="1" applyProtection="1">
      <alignment horizontal="left" vertical="top" wrapText="1"/>
    </xf>
    <xf numFmtId="0" fontId="104" fillId="0" borderId="0" xfId="0" applyFont="1" applyFill="1" applyBorder="1" applyAlignment="1">
      <alignment wrapText="1"/>
    </xf>
    <xf numFmtId="0" fontId="140" fillId="0" borderId="0" xfId="0" applyFont="1"/>
    <xf numFmtId="0" fontId="141" fillId="0" borderId="0" xfId="0" applyFont="1" applyFill="1" applyAlignment="1">
      <alignment vertical="top"/>
    </xf>
    <xf numFmtId="0" fontId="141" fillId="0" borderId="0" xfId="0" applyFont="1" applyFill="1" applyAlignment="1">
      <alignment vertical="top" wrapText="1"/>
    </xf>
    <xf numFmtId="0" fontId="148"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7" fillId="0" borderId="0" xfId="11" applyFont="1" applyFill="1" applyBorder="1" applyAlignment="1" applyProtection="1"/>
    <xf numFmtId="0" fontId="142" fillId="82" borderId="143" xfId="0" applyFont="1" applyFill="1" applyBorder="1" applyAlignment="1">
      <alignment horizontal="left" vertical="center"/>
    </xf>
    <xf numFmtId="49" fontId="143" fillId="0" borderId="143" xfId="0" applyNumberFormat="1" applyFont="1" applyFill="1" applyBorder="1" applyAlignment="1">
      <alignment horizontal="left" vertical="center"/>
    </xf>
    <xf numFmtId="0" fontId="143" fillId="0" borderId="143" xfId="0" applyFont="1" applyFill="1" applyBorder="1" applyAlignment="1">
      <alignment horizontal="left" vertical="center"/>
    </xf>
    <xf numFmtId="0" fontId="142" fillId="0" borderId="143" xfId="0" applyFont="1" applyFill="1" applyBorder="1" applyAlignment="1">
      <alignment horizontal="left" vertical="center"/>
    </xf>
    <xf numFmtId="0" fontId="142" fillId="83" borderId="17" xfId="0" applyFont="1" applyFill="1" applyBorder="1" applyAlignment="1">
      <alignment horizontal="center" vertical="center"/>
    </xf>
    <xf numFmtId="0" fontId="142" fillId="83" borderId="18" xfId="0" applyFont="1" applyFill="1" applyBorder="1" applyAlignment="1">
      <alignment horizontal="center" vertical="center"/>
    </xf>
    <xf numFmtId="194" fontId="142" fillId="82" borderId="152" xfId="7" applyNumberFormat="1" applyFont="1" applyFill="1" applyBorder="1" applyAlignment="1">
      <alignment horizontal="left" vertical="center"/>
    </xf>
    <xf numFmtId="194" fontId="143" fillId="0" borderId="152" xfId="7" applyNumberFormat="1" applyFont="1" applyFill="1" applyBorder="1" applyAlignment="1">
      <alignment horizontal="left" vertical="center"/>
    </xf>
    <xf numFmtId="10" fontId="7" fillId="0" borderId="152" xfId="0" applyNumberFormat="1" applyFont="1" applyFill="1" applyBorder="1" applyAlignment="1">
      <alignment horizontal="right" vertical="center" wrapText="1"/>
    </xf>
    <xf numFmtId="0" fontId="146" fillId="84" borderId="150" xfId="0" applyFont="1" applyFill="1" applyBorder="1" applyAlignment="1">
      <alignment horizontal="left" vertical="center"/>
    </xf>
    <xf numFmtId="10" fontId="147" fillId="86" borderId="149" xfId="0" applyNumberFormat="1" applyFont="1" applyFill="1" applyBorder="1" applyAlignment="1">
      <alignment horizontal="right" vertical="center" wrapText="1"/>
    </xf>
    <xf numFmtId="0" fontId="0" fillId="0" borderId="1" xfId="0" applyBorder="1"/>
    <xf numFmtId="0" fontId="4" fillId="85" borderId="143" xfId="0" applyFont="1" applyFill="1" applyBorder="1" applyAlignment="1" applyProtection="1">
      <alignment horizontal="center" vertical="center" wrapText="1"/>
    </xf>
    <xf numFmtId="0" fontId="6" fillId="86" borderId="143" xfId="0" applyFont="1" applyFill="1" applyBorder="1" applyAlignment="1" applyProtection="1">
      <alignment vertical="center" wrapText="1"/>
    </xf>
    <xf numFmtId="194" fontId="6" fillId="86" borderId="143" xfId="7" applyNumberFormat="1" applyFont="1" applyFill="1" applyBorder="1" applyAlignment="1">
      <alignment vertical="center"/>
    </xf>
    <xf numFmtId="194" fontId="6" fillId="86" borderId="152" xfId="7" applyNumberFormat="1" applyFont="1" applyFill="1" applyBorder="1" applyAlignment="1">
      <alignment vertical="center"/>
    </xf>
    <xf numFmtId="0" fontId="143" fillId="82" borderId="143" xfId="0" applyFont="1" applyFill="1" applyBorder="1" applyAlignment="1">
      <alignment horizontal="left" vertical="center" wrapText="1" indent="3"/>
    </xf>
    <xf numFmtId="194" fontId="6" fillId="35" borderId="143" xfId="7" applyNumberFormat="1" applyFont="1" applyFill="1" applyBorder="1" applyAlignment="1">
      <alignment vertical="center"/>
    </xf>
    <xf numFmtId="0" fontId="150" fillId="82" borderId="143" xfId="0" applyFont="1" applyFill="1" applyBorder="1" applyAlignment="1">
      <alignment horizontal="left" vertical="center" wrapText="1" indent="5"/>
    </xf>
    <xf numFmtId="0" fontId="151" fillId="83" borderId="143" xfId="0" applyFont="1" applyFill="1" applyBorder="1" applyAlignment="1" applyProtection="1">
      <alignment horizontal="left" vertical="center" wrapText="1" indent="1"/>
    </xf>
    <xf numFmtId="194" fontId="151" fillId="83" borderId="143" xfId="7" applyNumberFormat="1" applyFont="1" applyFill="1" applyBorder="1" applyAlignment="1">
      <alignment vertical="center"/>
    </xf>
    <xf numFmtId="194" fontId="151" fillId="84" borderId="152" xfId="7" applyNumberFormat="1" applyFont="1" applyFill="1" applyBorder="1" applyAlignment="1">
      <alignment vertical="center"/>
    </xf>
    <xf numFmtId="194" fontId="152" fillId="82" borderId="143" xfId="7" applyNumberFormat="1" applyFont="1" applyFill="1" applyBorder="1" applyAlignment="1">
      <alignment vertical="center"/>
    </xf>
    <xf numFmtId="194" fontId="152" fillId="84" borderId="152" xfId="7" applyNumberFormat="1" applyFont="1" applyFill="1" applyBorder="1" applyAlignment="1">
      <alignment vertical="center"/>
    </xf>
    <xf numFmtId="0" fontId="150" fillId="82" borderId="150" xfId="0" applyFont="1" applyFill="1" applyBorder="1" applyAlignment="1">
      <alignment horizontal="left" vertical="center" wrapText="1" indent="5"/>
    </xf>
    <xf numFmtId="194" fontId="152" fillId="82" borderId="150" xfId="7" applyNumberFormat="1" applyFont="1" applyFill="1" applyBorder="1" applyAlignment="1">
      <alignment vertical="center"/>
    </xf>
    <xf numFmtId="194" fontId="152" fillId="84" borderId="149" xfId="7" applyNumberFormat="1" applyFont="1" applyFill="1" applyBorder="1" applyAlignment="1">
      <alignment vertical="center"/>
    </xf>
    <xf numFmtId="0" fontId="7" fillId="0" borderId="143"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3" fillId="0" borderId="95" xfId="0" applyNumberFormat="1" applyFont="1" applyFill="1" applyBorder="1" applyAlignment="1">
      <alignment horizontal="right" vertical="center"/>
    </xf>
    <xf numFmtId="0" fontId="153" fillId="0" borderId="143" xfId="12672" applyFont="1" applyFill="1" applyBorder="1" applyAlignment="1">
      <alignment horizontal="left" vertical="center" wrapText="1"/>
    </xf>
    <xf numFmtId="0" fontId="153" fillId="0" borderId="144" xfId="0" applyNumberFormat="1" applyFont="1" applyFill="1" applyBorder="1" applyAlignment="1">
      <alignment horizontal="left" vertical="top" wrapText="1"/>
    </xf>
    <xf numFmtId="0" fontId="153" fillId="0" borderId="143" xfId="0" applyFont="1" applyFill="1" applyBorder="1" applyAlignment="1">
      <alignment vertical="center" wrapText="1"/>
    </xf>
    <xf numFmtId="0" fontId="130" fillId="0" borderId="143" xfId="21414" applyFont="1" applyFill="1" applyBorder="1" applyAlignment="1">
      <alignment horizontal="left" vertical="center" wrapText="1"/>
    </xf>
    <xf numFmtId="0" fontId="4" fillId="0" borderId="143" xfId="0" applyFont="1" applyFill="1" applyBorder="1"/>
    <xf numFmtId="0" fontId="11" fillId="0" borderId="143" xfId="17" applyFill="1" applyBorder="1" applyAlignment="1" applyProtection="1"/>
    <xf numFmtId="0" fontId="137" fillId="3" borderId="143" xfId="5" applyFont="1" applyFill="1" applyBorder="1" applyProtection="1">
      <protection locked="0"/>
    </xf>
    <xf numFmtId="0" fontId="137" fillId="0" borderId="143" xfId="21416" applyFont="1" applyFill="1" applyBorder="1" applyAlignment="1" applyProtection="1">
      <alignment horizontal="center" vertical="top" wrapText="1"/>
      <protection locked="0"/>
    </xf>
    <xf numFmtId="0" fontId="154" fillId="3" borderId="143" xfId="21416" applyFont="1" applyFill="1" applyBorder="1" applyAlignment="1" applyProtection="1">
      <alignment wrapText="1"/>
      <protection locked="0"/>
    </xf>
    <xf numFmtId="3" fontId="137" fillId="80" borderId="143" xfId="5" applyNumberFormat="1" applyFont="1" applyFill="1" applyBorder="1" applyAlignment="1" applyProtection="1"/>
    <xf numFmtId="0" fontId="135" fillId="3" borderId="143" xfId="21416" applyFont="1" applyFill="1" applyBorder="1" applyAlignment="1" applyProtection="1">
      <alignment horizontal="right" wrapText="1"/>
      <protection locked="0"/>
    </xf>
    <xf numFmtId="3" fontId="137" fillId="0" borderId="143" xfId="5" applyNumberFormat="1" applyFont="1" applyFill="1" applyBorder="1" applyProtection="1"/>
    <xf numFmtId="0" fontId="155" fillId="0" borderId="0" xfId="21415" applyFont="1" applyFill="1" applyAlignment="1" applyProtection="1">
      <alignment vertical="center"/>
      <protection locked="0"/>
    </xf>
    <xf numFmtId="0" fontId="110" fillId="76" borderId="146" xfId="21412" applyFont="1" applyFill="1" applyBorder="1" applyAlignment="1" applyProtection="1">
      <alignment vertical="center" wrapText="1"/>
      <protection locked="0"/>
    </xf>
    <xf numFmtId="0" fontId="61" fillId="76" borderId="145" xfId="21412" applyFont="1" applyFill="1" applyBorder="1" applyAlignment="1" applyProtection="1">
      <alignment vertical="center"/>
      <protection locked="0"/>
    </xf>
    <xf numFmtId="0" fontId="111" fillId="69" borderId="144" xfId="21412" applyFont="1" applyFill="1" applyBorder="1" applyAlignment="1" applyProtection="1">
      <alignment horizontal="center" vertical="center"/>
      <protection locked="0"/>
    </xf>
    <xf numFmtId="0" fontId="111" fillId="0" borderId="145" xfId="21412" applyFont="1" applyFill="1" applyBorder="1" applyAlignment="1" applyProtection="1">
      <alignment horizontal="left" vertical="center" wrapText="1"/>
      <protection locked="0"/>
    </xf>
    <xf numFmtId="164" fontId="111" fillId="0" borderId="143" xfId="948" applyNumberFormat="1" applyFont="1" applyFill="1" applyBorder="1" applyAlignment="1" applyProtection="1">
      <alignment horizontal="right" vertical="center"/>
      <protection locked="0"/>
    </xf>
    <xf numFmtId="0" fontId="110" fillId="77" borderId="143" xfId="21412" applyFont="1" applyFill="1" applyBorder="1" applyAlignment="1" applyProtection="1">
      <alignment horizontal="center" vertical="center"/>
      <protection locked="0"/>
    </xf>
    <xf numFmtId="0" fontId="110" fillId="77" borderId="145" xfId="21412" applyFont="1" applyFill="1" applyBorder="1" applyAlignment="1" applyProtection="1">
      <alignment vertical="top" wrapText="1"/>
      <protection locked="0"/>
    </xf>
    <xf numFmtId="164" fontId="111" fillId="77" borderId="143" xfId="948" applyNumberFormat="1" applyFont="1" applyFill="1" applyBorder="1" applyAlignment="1" applyProtection="1">
      <alignment horizontal="right" vertical="center"/>
    </xf>
    <xf numFmtId="0" fontId="110" fillId="76" borderId="146" xfId="21412" applyFont="1" applyFill="1" applyBorder="1" applyAlignment="1" applyProtection="1">
      <alignment vertical="center"/>
      <protection locked="0"/>
    </xf>
    <xf numFmtId="164" fontId="61" fillId="76" borderId="145" xfId="948" applyNumberFormat="1" applyFont="1" applyFill="1" applyBorder="1" applyAlignment="1" applyProtection="1">
      <alignment horizontal="right" vertical="center"/>
      <protection locked="0"/>
    </xf>
    <xf numFmtId="0" fontId="112" fillId="69" borderId="144" xfId="21412" applyFont="1" applyFill="1" applyBorder="1" applyAlignment="1" applyProtection="1">
      <alignment horizontal="center" vertical="center"/>
      <protection locked="0"/>
    </xf>
    <xf numFmtId="0" fontId="111" fillId="69" borderId="143" xfId="21412" applyFont="1" applyFill="1" applyBorder="1" applyAlignment="1" applyProtection="1">
      <alignment vertical="center" wrapText="1"/>
      <protection locked="0"/>
    </xf>
    <xf numFmtId="0" fontId="111" fillId="69" borderId="143" xfId="21412" applyFont="1" applyFill="1" applyBorder="1" applyAlignment="1" applyProtection="1">
      <alignment horizontal="left" vertical="center" wrapText="1"/>
      <protection locked="0"/>
    </xf>
    <xf numFmtId="0" fontId="111" fillId="0" borderId="143" xfId="21412" applyFont="1" applyFill="1" applyBorder="1" applyAlignment="1" applyProtection="1">
      <alignment horizontal="left" vertical="center" wrapText="1"/>
      <protection locked="0"/>
    </xf>
    <xf numFmtId="0" fontId="112" fillId="3" borderId="144" xfId="21412" applyFont="1" applyFill="1" applyBorder="1" applyAlignment="1" applyProtection="1">
      <alignment horizontal="center" vertical="center"/>
      <protection locked="0"/>
    </xf>
    <xf numFmtId="0" fontId="111" fillId="0" borderId="143" xfId="21412" applyFont="1" applyFill="1" applyBorder="1" applyAlignment="1" applyProtection="1">
      <alignment vertical="center" wrapText="1"/>
      <protection locked="0"/>
    </xf>
    <xf numFmtId="0" fontId="113" fillId="77" borderId="143" xfId="21412" applyFont="1" applyFill="1" applyBorder="1" applyAlignment="1" applyProtection="1">
      <alignment horizontal="center" vertical="center"/>
      <protection locked="0"/>
    </xf>
    <xf numFmtId="0" fontId="110" fillId="77" borderId="145" xfId="21412" applyFont="1" applyFill="1" applyBorder="1" applyAlignment="1" applyProtection="1">
      <alignment vertical="center" wrapText="1"/>
      <protection locked="0"/>
    </xf>
    <xf numFmtId="164" fontId="110" fillId="76" borderId="145" xfId="948" applyNumberFormat="1" applyFont="1" applyFill="1" applyBorder="1" applyAlignment="1" applyProtection="1">
      <alignment horizontal="right" vertical="center"/>
      <protection locked="0"/>
    </xf>
    <xf numFmtId="0" fontId="111" fillId="69" borderId="145" xfId="21412" applyFont="1" applyFill="1" applyBorder="1" applyAlignment="1" applyProtection="1">
      <alignment vertical="center" wrapText="1"/>
      <protection locked="0"/>
    </xf>
    <xf numFmtId="0" fontId="61" fillId="76" borderId="146" xfId="21412" applyFont="1" applyFill="1" applyBorder="1" applyAlignment="1" applyProtection="1">
      <alignment vertical="center"/>
      <protection locked="0"/>
    </xf>
    <xf numFmtId="164" fontId="111" fillId="3" borderId="143" xfId="948" applyNumberFormat="1" applyFont="1" applyFill="1" applyBorder="1" applyAlignment="1" applyProtection="1">
      <alignment horizontal="right" vertical="center"/>
      <protection locked="0"/>
    </xf>
    <xf numFmtId="0" fontId="112" fillId="3" borderId="143" xfId="21412" applyFont="1" applyFill="1" applyBorder="1" applyAlignment="1" applyProtection="1">
      <alignment horizontal="center" vertical="center"/>
      <protection locked="0"/>
    </xf>
    <xf numFmtId="0" fontId="111" fillId="69" borderId="145" xfId="21412" applyFont="1" applyFill="1" applyBorder="1" applyAlignment="1" applyProtection="1">
      <alignment horizontal="left" vertical="center" wrapText="1"/>
      <protection locked="0"/>
    </xf>
    <xf numFmtId="0" fontId="7" fillId="0" borderId="0" xfId="0" applyFont="1" applyFill="1"/>
    <xf numFmtId="0" fontId="154" fillId="3" borderId="0" xfId="21415" applyFont="1" applyFill="1" applyAlignment="1" applyProtection="1">
      <alignment vertical="center"/>
      <protection locked="0"/>
    </xf>
    <xf numFmtId="0" fontId="137" fillId="3" borderId="143" xfId="5" applyFont="1" applyFill="1" applyBorder="1" applyAlignment="1" applyProtection="1">
      <alignment vertical="center" wrapText="1"/>
      <protection locked="0"/>
    </xf>
    <xf numFmtId="0" fontId="137" fillId="0" borderId="143" xfId="21416" applyFont="1" applyFill="1" applyBorder="1" applyAlignment="1" applyProtection="1">
      <alignment horizontal="center" vertical="center" wrapText="1"/>
      <protection locked="0"/>
    </xf>
    <xf numFmtId="3" fontId="137" fillId="3" borderId="143" xfId="1" applyNumberFormat="1" applyFont="1" applyFill="1" applyBorder="1" applyAlignment="1" applyProtection="1">
      <alignment horizontal="center" vertical="center" wrapText="1"/>
      <protection locked="0"/>
    </xf>
    <xf numFmtId="9" fontId="137" fillId="3" borderId="143" xfId="15" applyNumberFormat="1" applyFont="1" applyFill="1" applyBorder="1" applyAlignment="1" applyProtection="1">
      <alignment horizontal="center" vertical="center" wrapText="1"/>
      <protection locked="0"/>
    </xf>
    <xf numFmtId="0" fontId="137" fillId="3" borderId="143" xfId="21416" applyFont="1" applyFill="1" applyBorder="1" applyAlignment="1" applyProtection="1">
      <alignment horizontal="center" vertical="center" wrapText="1"/>
      <protection locked="0"/>
    </xf>
    <xf numFmtId="0" fontId="154" fillId="3" borderId="143" xfId="21416" applyFont="1" applyFill="1" applyBorder="1" applyAlignment="1" applyProtection="1">
      <protection locked="0"/>
    </xf>
    <xf numFmtId="0" fontId="157" fillId="3" borderId="143" xfId="21416" applyFont="1" applyFill="1" applyBorder="1" applyAlignment="1" applyProtection="1">
      <alignment horizontal="right"/>
      <protection locked="0"/>
    </xf>
    <xf numFmtId="195" fontId="137" fillId="80" borderId="143" xfId="5" applyNumberFormat="1" applyFont="1" applyFill="1" applyBorder="1" applyAlignment="1" applyProtection="1">
      <protection locked="0"/>
    </xf>
    <xf numFmtId="164" fontId="137" fillId="80" borderId="143" xfId="1" applyNumberFormat="1" applyFont="1" applyFill="1" applyBorder="1" applyAlignment="1" applyProtection="1"/>
    <xf numFmtId="0" fontId="137" fillId="3" borderId="143" xfId="21416" applyFont="1" applyFill="1" applyBorder="1" applyAlignment="1" applyProtection="1">
      <alignment horizontal="left" vertical="center"/>
      <protection locked="0"/>
    </xf>
    <xf numFmtId="3" fontId="137" fillId="3" borderId="143" xfId="5" applyNumberFormat="1" applyFont="1" applyFill="1" applyBorder="1" applyAlignment="1" applyProtection="1">
      <protection locked="0"/>
    </xf>
    <xf numFmtId="0" fontId="137" fillId="3" borderId="143" xfId="5" applyFont="1" applyFill="1" applyBorder="1" applyAlignment="1" applyProtection="1">
      <protection locked="0"/>
    </xf>
    <xf numFmtId="0" fontId="135" fillId="3" borderId="143" xfId="21416" applyFont="1" applyFill="1" applyBorder="1" applyAlignment="1" applyProtection="1">
      <alignment horizontal="right"/>
      <protection locked="0"/>
    </xf>
    <xf numFmtId="0" fontId="137" fillId="0" borderId="143" xfId="21416" applyFont="1" applyFill="1" applyBorder="1" applyAlignment="1" applyProtection="1">
      <alignment horizontal="left" vertical="center"/>
      <protection locked="0"/>
    </xf>
    <xf numFmtId="0" fontId="154" fillId="3" borderId="143" xfId="16" applyFont="1" applyFill="1" applyBorder="1" applyAlignment="1" applyProtection="1">
      <protection locked="0"/>
    </xf>
    <xf numFmtId="3" fontId="154" fillId="76" borderId="143" xfId="16" applyNumberFormat="1" applyFont="1" applyFill="1" applyBorder="1" applyAlignment="1" applyProtection="1"/>
    <xf numFmtId="0" fontId="4" fillId="0" borderId="57" xfId="0" applyFont="1" applyFill="1" applyBorder="1" applyAlignment="1">
      <alignment horizontal="center" vertical="center" wrapText="1"/>
    </xf>
    <xf numFmtId="0" fontId="102" fillId="0" borderId="63" xfId="0" applyFont="1" applyBorder="1" applyAlignment="1">
      <alignment horizontal="left" vertical="center" wrapText="1"/>
    </xf>
    <xf numFmtId="0" fontId="102" fillId="0" borderId="62" xfId="0" applyFont="1" applyBorder="1" applyAlignment="1">
      <alignment horizontal="left" vertical="center" wrapText="1"/>
    </xf>
    <xf numFmtId="0" fontId="139" fillId="0" borderId="156" xfId="0" applyFont="1" applyBorder="1" applyAlignment="1">
      <alignment horizontal="center" vertical="center"/>
    </xf>
    <xf numFmtId="0" fontId="139" fillId="0" borderId="29" xfId="0" applyFont="1" applyBorder="1" applyAlignment="1">
      <alignment horizontal="center" vertical="center"/>
    </xf>
    <xf numFmtId="0" fontId="139" fillId="0" borderId="157" xfId="0" applyFont="1" applyBorder="1" applyAlignment="1">
      <alignment horizontal="center" vertical="center"/>
    </xf>
    <xf numFmtId="0" fontId="126"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126" fillId="0" borderId="7" xfId="0" applyFont="1"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5" xfId="0" applyFont="1" applyFill="1" applyBorder="1" applyAlignment="1">
      <alignment horizontal="center" vertical="center" wrapText="1"/>
    </xf>
    <xf numFmtId="0" fontId="4" fillId="0" borderId="96" xfId="0" applyFont="1" applyFill="1" applyBorder="1" applyAlignment="1">
      <alignment horizontal="center"/>
    </xf>
    <xf numFmtId="0" fontId="4" fillId="0" borderId="21" xfId="0" applyFont="1" applyFill="1" applyBorder="1" applyAlignment="1">
      <alignment horizontal="center"/>
    </xf>
    <xf numFmtId="0" fontId="6" fillId="35" borderId="114"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1" xfId="0" applyFont="1" applyFill="1" applyBorder="1" applyAlignment="1">
      <alignment horizontal="center" vertical="center" wrapText="1"/>
    </xf>
    <xf numFmtId="0" fontId="6" fillId="35" borderId="94"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3"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1" xfId="0" applyFont="1" applyFill="1" applyBorder="1" applyAlignment="1" applyProtection="1">
      <alignment horizontal="center" vertical="center" wrapText="1"/>
    </xf>
    <xf numFmtId="0" fontId="6" fillId="86" borderId="152" xfId="0" applyFont="1" applyFill="1" applyBorder="1" applyAlignment="1" applyProtection="1">
      <alignment horizontal="center" vertical="center" wrapText="1"/>
    </xf>
    <xf numFmtId="0" fontId="100" fillId="3" borderId="64" xfId="13" applyFont="1" applyFill="1" applyBorder="1" applyAlignment="1" applyProtection="1">
      <alignment horizontal="center" vertical="center" wrapText="1"/>
      <protection locked="0"/>
    </xf>
    <xf numFmtId="0" fontId="100" fillId="3" borderId="6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164" fontId="15" fillId="0" borderId="87" xfId="1" applyNumberFormat="1" applyFont="1" applyFill="1" applyBorder="1" applyAlignment="1" applyProtection="1">
      <alignment horizontal="center" vertical="center" wrapText="1"/>
      <protection locked="0"/>
    </xf>
    <xf numFmtId="164" fontId="15" fillId="0" borderId="88"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7"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102" xfId="0" applyFont="1" applyFill="1" applyBorder="1" applyAlignment="1">
      <alignment horizontal="center" vertical="center" wrapText="1"/>
    </xf>
    <xf numFmtId="0" fontId="14" fillId="0" borderId="52" xfId="0" applyFont="1" applyFill="1" applyBorder="1" applyAlignment="1">
      <alignment horizontal="left" vertical="center"/>
    </xf>
    <xf numFmtId="0" fontId="14" fillId="0" borderId="53"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0" xfId="0" applyFont="1" applyBorder="1" applyAlignment="1">
      <alignment horizontal="center" vertical="center" wrapText="1"/>
    </xf>
    <xf numFmtId="0" fontId="117" fillId="0" borderId="117" xfId="0" applyNumberFormat="1" applyFont="1" applyFill="1" applyBorder="1" applyAlignment="1">
      <alignment horizontal="left" vertical="center" wrapText="1"/>
    </xf>
    <xf numFmtId="0" fontId="117" fillId="0" borderId="118" xfId="0" applyNumberFormat="1" applyFont="1" applyFill="1" applyBorder="1" applyAlignment="1">
      <alignment horizontal="left" vertical="center" wrapText="1"/>
    </xf>
    <xf numFmtId="0" fontId="117" fillId="0" borderId="120" xfId="0" applyNumberFormat="1" applyFont="1" applyFill="1" applyBorder="1" applyAlignment="1">
      <alignment horizontal="left" vertical="center" wrapText="1"/>
    </xf>
    <xf numFmtId="0" fontId="117" fillId="0" borderId="121" xfId="0" applyNumberFormat="1" applyFont="1" applyFill="1" applyBorder="1" applyAlignment="1">
      <alignment horizontal="left" vertical="center" wrapText="1"/>
    </xf>
    <xf numFmtId="0" fontId="117" fillId="0" borderId="123" xfId="0" applyNumberFormat="1" applyFont="1" applyFill="1" applyBorder="1" applyAlignment="1">
      <alignment horizontal="left" vertical="center" wrapText="1"/>
    </xf>
    <xf numFmtId="0" fontId="117" fillId="0" borderId="124" xfId="0" applyNumberFormat="1" applyFont="1" applyFill="1" applyBorder="1" applyAlignment="1">
      <alignment horizontal="left" vertical="center" wrapText="1"/>
    </xf>
    <xf numFmtId="0" fontId="118" fillId="0" borderId="142" xfId="0" applyFont="1" applyFill="1" applyBorder="1" applyAlignment="1">
      <alignment horizontal="center" vertical="center" wrapText="1"/>
    </xf>
    <xf numFmtId="0" fontId="118" fillId="0" borderId="141" xfId="0" applyFont="1" applyFill="1" applyBorder="1" applyAlignment="1">
      <alignment horizontal="center" vertical="center" wrapText="1"/>
    </xf>
    <xf numFmtId="0" fontId="118" fillId="0" borderId="119" xfId="0" applyFont="1" applyFill="1" applyBorder="1" applyAlignment="1">
      <alignment horizontal="center" vertical="center" wrapText="1"/>
    </xf>
    <xf numFmtId="0" fontId="118" fillId="0" borderId="51" xfId="0" applyFont="1" applyFill="1" applyBorder="1" applyAlignment="1">
      <alignment horizontal="center" vertical="center" wrapText="1"/>
    </xf>
    <xf numFmtId="0" fontId="118" fillId="0" borderId="122"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4" fillId="0" borderId="144"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43" xfId="0" applyFont="1" applyBorder="1" applyAlignment="1">
      <alignment horizontal="center" vertical="center" wrapText="1"/>
    </xf>
    <xf numFmtId="0" fontId="114" fillId="0" borderId="146" xfId="0" applyFont="1" applyBorder="1" applyAlignment="1">
      <alignment horizontal="center" vertical="center" wrapText="1"/>
    </xf>
    <xf numFmtId="0" fontId="114" fillId="0" borderId="145" xfId="0" applyFont="1" applyBorder="1" applyAlignment="1">
      <alignment horizontal="center" vertical="center" wrapText="1"/>
    </xf>
    <xf numFmtId="0" fontId="122" fillId="0" borderId="143" xfId="0" applyFont="1" applyFill="1" applyBorder="1" applyAlignment="1">
      <alignment horizontal="center" vertical="center"/>
    </xf>
    <xf numFmtId="0" fontId="116" fillId="0" borderId="142" xfId="0" applyFont="1" applyFill="1" applyBorder="1" applyAlignment="1">
      <alignment horizontal="center" vertical="center"/>
    </xf>
    <xf numFmtId="0" fontId="116" fillId="0" borderId="147" xfId="0" applyFont="1" applyFill="1" applyBorder="1" applyAlignment="1">
      <alignment horizontal="center" vertical="center"/>
    </xf>
    <xf numFmtId="0" fontId="116" fillId="0" borderId="51" xfId="0" applyFont="1" applyFill="1" applyBorder="1" applyAlignment="1">
      <alignment horizontal="center" vertical="center"/>
    </xf>
    <xf numFmtId="0" fontId="116" fillId="0" borderId="11" xfId="0" applyFont="1" applyFill="1" applyBorder="1" applyAlignment="1">
      <alignment horizontal="center" vertical="center"/>
    </xf>
    <xf numFmtId="0" fontId="117" fillId="0" borderId="143" xfId="0" applyFont="1" applyFill="1" applyBorder="1" applyAlignment="1">
      <alignment horizontal="center" vertical="center" wrapText="1"/>
    </xf>
    <xf numFmtId="0" fontId="117" fillId="0" borderId="142" xfId="0" applyFont="1" applyFill="1" applyBorder="1" applyAlignment="1">
      <alignment horizontal="center" vertical="center" wrapText="1"/>
    </xf>
    <xf numFmtId="0" fontId="117" fillId="0" borderId="147" xfId="0" applyFont="1" applyFill="1" applyBorder="1" applyAlignment="1">
      <alignment horizontal="center" vertical="center" wrapText="1"/>
    </xf>
    <xf numFmtId="0" fontId="117" fillId="0" borderId="125" xfId="0" applyFont="1" applyFill="1" applyBorder="1" applyAlignment="1">
      <alignment horizontal="center" vertical="center" wrapText="1"/>
    </xf>
    <xf numFmtId="0" fontId="117" fillId="0" borderId="126" xfId="0" applyFont="1" applyFill="1" applyBorder="1" applyAlignment="1">
      <alignment horizontal="center" vertical="center" wrapText="1"/>
    </xf>
    <xf numFmtId="0" fontId="117" fillId="0" borderId="51"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148" xfId="0" applyFont="1" applyFill="1" applyBorder="1" applyAlignment="1">
      <alignment horizontal="center" vertical="center" wrapText="1"/>
    </xf>
    <xf numFmtId="0" fontId="117" fillId="0" borderId="127" xfId="0" applyFont="1" applyFill="1" applyBorder="1" applyAlignment="1">
      <alignment horizontal="center" vertical="center" wrapText="1"/>
    </xf>
    <xf numFmtId="0" fontId="117" fillId="0" borderId="7" xfId="0" applyFont="1" applyFill="1" applyBorder="1" applyAlignment="1">
      <alignment horizontal="center" vertical="center" wrapText="1"/>
    </xf>
    <xf numFmtId="0" fontId="114" fillId="0" borderId="127" xfId="0" applyFont="1" applyFill="1" applyBorder="1" applyAlignment="1">
      <alignment horizontal="center" vertical="center" wrapText="1"/>
    </xf>
    <xf numFmtId="0" fontId="114" fillId="0" borderId="142" xfId="0" applyFont="1" applyFill="1" applyBorder="1" applyAlignment="1">
      <alignment horizontal="center" vertical="center" wrapText="1"/>
    </xf>
    <xf numFmtId="0" fontId="114" fillId="0" borderId="141" xfId="0" applyFont="1" applyFill="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11" xfId="0" applyFont="1" applyBorder="1" applyAlignment="1">
      <alignment horizontal="center" vertical="center" wrapText="1"/>
    </xf>
    <xf numFmtId="0" fontId="114" fillId="0" borderId="152" xfId="0" applyFont="1" applyBorder="1" applyAlignment="1">
      <alignment horizontal="center" vertical="center" wrapText="1"/>
    </xf>
    <xf numFmtId="0" fontId="114" fillId="0" borderId="52" xfId="0" applyFont="1" applyFill="1" applyBorder="1" applyAlignment="1">
      <alignment horizontal="center" vertical="center" wrapText="1"/>
    </xf>
    <xf numFmtId="0" fontId="114" fillId="0" borderId="53" xfId="0" applyFont="1" applyFill="1" applyBorder="1" applyAlignment="1">
      <alignment horizontal="center" vertical="center" wrapText="1"/>
    </xf>
    <xf numFmtId="0" fontId="114" fillId="0" borderId="102" xfId="0" applyFont="1" applyFill="1" applyBorder="1" applyAlignment="1">
      <alignment horizontal="center" vertical="center" wrapText="1"/>
    </xf>
    <xf numFmtId="0" fontId="117" fillId="0" borderId="52" xfId="0" applyNumberFormat="1" applyFont="1" applyFill="1" applyBorder="1" applyAlignment="1">
      <alignment horizontal="left" vertical="top" wrapText="1"/>
    </xf>
    <xf numFmtId="0" fontId="117" fillId="0" borderId="102" xfId="0" applyNumberFormat="1" applyFont="1" applyFill="1" applyBorder="1" applyAlignment="1">
      <alignment horizontal="left" vertical="top" wrapText="1"/>
    </xf>
    <xf numFmtId="0" fontId="117" fillId="0" borderId="60" xfId="0" applyNumberFormat="1" applyFont="1" applyFill="1" applyBorder="1" applyAlignment="1">
      <alignment horizontal="left" vertical="top" wrapText="1"/>
    </xf>
    <xf numFmtId="0" fontId="117" fillId="0" borderId="89" xfId="0" applyNumberFormat="1" applyFont="1" applyFill="1" applyBorder="1" applyAlignment="1">
      <alignment horizontal="left" vertical="top" wrapText="1"/>
    </xf>
    <xf numFmtId="0" fontId="117" fillId="0" borderId="116" xfId="0" applyNumberFormat="1" applyFont="1" applyFill="1" applyBorder="1" applyAlignment="1">
      <alignment horizontal="left" vertical="top" wrapText="1"/>
    </xf>
    <xf numFmtId="0" fontId="117" fillId="0" borderId="154" xfId="0" applyNumberFormat="1" applyFont="1" applyFill="1" applyBorder="1" applyAlignment="1">
      <alignment horizontal="left" vertical="top" wrapText="1"/>
    </xf>
    <xf numFmtId="0" fontId="114" fillId="0" borderId="144" xfId="0" applyFont="1" applyFill="1" applyBorder="1" applyAlignment="1">
      <alignment horizontal="center" vertical="center" wrapText="1"/>
    </xf>
    <xf numFmtId="0" fontId="117" fillId="0" borderId="155" xfId="0" applyFont="1" applyFill="1" applyBorder="1" applyAlignment="1">
      <alignment horizontal="center" vertical="center" wrapText="1"/>
    </xf>
    <xf numFmtId="0" fontId="117" fillId="0" borderId="66" xfId="0" applyFont="1" applyFill="1" applyBorder="1" applyAlignment="1">
      <alignment horizontal="center" vertical="center" wrapText="1"/>
    </xf>
    <xf numFmtId="0" fontId="114" fillId="0" borderId="142" xfId="0" applyFont="1" applyBorder="1" applyAlignment="1">
      <alignment horizontal="center" vertical="top" wrapText="1"/>
    </xf>
    <xf numFmtId="0" fontId="114" fillId="0" borderId="141" xfId="0" applyFont="1" applyBorder="1" applyAlignment="1">
      <alignment horizontal="center" vertical="top" wrapText="1"/>
    </xf>
    <xf numFmtId="0" fontId="114" fillId="0" borderId="142" xfId="0" applyFont="1" applyFill="1" applyBorder="1" applyAlignment="1">
      <alignment horizontal="center" vertical="top" wrapText="1"/>
    </xf>
    <xf numFmtId="0" fontId="114" fillId="0" borderId="148" xfId="0" applyFont="1" applyFill="1" applyBorder="1" applyAlignment="1">
      <alignment horizontal="center" vertical="top" wrapText="1"/>
    </xf>
    <xf numFmtId="0" fontId="114" fillId="0" borderId="145" xfId="0" applyFont="1" applyFill="1" applyBorder="1" applyAlignment="1">
      <alignment horizontal="center" vertical="top" wrapText="1"/>
    </xf>
    <xf numFmtId="0" fontId="103" fillId="0" borderId="128" xfId="0" applyNumberFormat="1" applyFont="1" applyFill="1" applyBorder="1" applyAlignment="1">
      <alignment horizontal="left" vertical="top" wrapText="1"/>
    </xf>
    <xf numFmtId="0" fontId="103" fillId="0" borderId="129" xfId="0" applyNumberFormat="1" applyFont="1" applyFill="1" applyBorder="1" applyAlignment="1">
      <alignment horizontal="left" vertical="top" wrapText="1"/>
    </xf>
    <xf numFmtId="0" fontId="120" fillId="0" borderId="143" xfId="0" applyFont="1" applyBorder="1" applyAlignment="1">
      <alignment horizontal="center" vertical="center"/>
    </xf>
    <xf numFmtId="0" fontId="119" fillId="0" borderId="143" xfId="0" applyFont="1" applyBorder="1" applyAlignment="1">
      <alignment horizontal="center" vertical="center" wrapText="1"/>
    </xf>
    <xf numFmtId="0" fontId="119" fillId="0" borderId="144" xfId="0" applyFont="1" applyBorder="1" applyAlignment="1">
      <alignment horizontal="center" vertical="center" wrapText="1"/>
    </xf>
    <xf numFmtId="0" fontId="103" fillId="0" borderId="67" xfId="0" applyFont="1" applyFill="1" applyBorder="1" applyAlignment="1">
      <alignment horizontal="center" vertical="center"/>
    </xf>
    <xf numFmtId="0" fontId="103" fillId="0" borderId="68" xfId="0" applyFont="1" applyFill="1" applyBorder="1" applyAlignment="1">
      <alignment horizontal="center" vertical="center"/>
    </xf>
    <xf numFmtId="0" fontId="103" fillId="0" borderId="69" xfId="0" applyFont="1" applyFill="1" applyBorder="1" applyAlignment="1">
      <alignment horizontal="center" vertical="center"/>
    </xf>
    <xf numFmtId="0" fontId="104" fillId="0" borderId="95" xfId="0" applyFont="1" applyFill="1" applyBorder="1" applyAlignment="1">
      <alignment horizontal="left" vertical="center" wrapText="1"/>
    </xf>
    <xf numFmtId="0" fontId="103" fillId="75" borderId="70" xfId="0" applyFont="1" applyFill="1" applyBorder="1" applyAlignment="1">
      <alignment horizontal="center" vertical="center" wrapText="1"/>
    </xf>
    <xf numFmtId="0" fontId="103" fillId="75" borderId="71" xfId="0" applyFont="1" applyFill="1" applyBorder="1" applyAlignment="1">
      <alignment horizontal="center" vertical="center" wrapText="1"/>
    </xf>
    <xf numFmtId="0" fontId="103" fillId="75" borderId="72" xfId="0" applyFont="1" applyFill="1" applyBorder="1" applyAlignment="1">
      <alignment horizontal="center" vertical="center" wrapText="1"/>
    </xf>
    <xf numFmtId="0" fontId="104" fillId="0" borderId="51" xfId="0" applyFont="1" applyFill="1" applyBorder="1" applyAlignment="1">
      <alignment horizontal="left" vertical="center" wrapText="1"/>
    </xf>
    <xf numFmtId="0" fontId="104" fillId="0" borderId="11" xfId="0" applyFont="1" applyFill="1" applyBorder="1" applyAlignment="1">
      <alignment horizontal="left" vertical="center" wrapText="1"/>
    </xf>
    <xf numFmtId="0" fontId="104" fillId="0" borderId="96" xfId="0" applyFont="1" applyFill="1" applyBorder="1" applyAlignment="1">
      <alignment horizontal="left" vertical="center" wrapText="1"/>
    </xf>
    <xf numFmtId="0" fontId="104" fillId="0" borderId="94" xfId="0" applyFont="1" applyFill="1" applyBorder="1" applyAlignment="1">
      <alignment horizontal="left" vertical="center" wrapText="1"/>
    </xf>
    <xf numFmtId="0" fontId="153" fillId="3" borderId="96" xfId="0" applyFont="1" applyFill="1" applyBorder="1" applyAlignment="1">
      <alignment vertical="center" wrapText="1"/>
    </xf>
    <xf numFmtId="0" fontId="153" fillId="3" borderId="94" xfId="0" applyFont="1" applyFill="1" applyBorder="1" applyAlignment="1">
      <alignment vertical="center" wrapText="1"/>
    </xf>
    <xf numFmtId="0" fontId="104" fillId="3" borderId="96" xfId="0" applyFont="1" applyFill="1" applyBorder="1" applyAlignment="1">
      <alignment vertical="center" wrapText="1"/>
    </xf>
    <xf numFmtId="0" fontId="104" fillId="3" borderId="94" xfId="0" applyFont="1" applyFill="1" applyBorder="1" applyAlignment="1">
      <alignment vertical="center" wrapText="1"/>
    </xf>
    <xf numFmtId="0" fontId="104" fillId="0" borderId="96" xfId="0" applyFont="1" applyFill="1" applyBorder="1" applyAlignment="1">
      <alignment horizontal="left"/>
    </xf>
    <xf numFmtId="0" fontId="104" fillId="0" borderId="94" xfId="0" applyFont="1" applyFill="1" applyBorder="1" applyAlignment="1">
      <alignment horizontal="left"/>
    </xf>
    <xf numFmtId="0" fontId="104" fillId="0" borderId="96" xfId="0" applyFont="1" applyFill="1" applyBorder="1" applyAlignment="1">
      <alignment vertical="center" wrapText="1"/>
    </xf>
    <xf numFmtId="0" fontId="104" fillId="0" borderId="94" xfId="0" applyFont="1" applyFill="1" applyBorder="1" applyAlignment="1">
      <alignment vertical="center" wrapText="1"/>
    </xf>
    <xf numFmtId="0" fontId="104" fillId="0" borderId="137" xfId="0" applyFont="1" applyFill="1" applyBorder="1" applyAlignment="1">
      <alignment horizontal="left" vertical="center" wrapText="1"/>
    </xf>
    <xf numFmtId="0" fontId="104" fillId="0" borderId="138" xfId="0" applyFont="1" applyFill="1" applyBorder="1" applyAlignment="1">
      <alignment horizontal="left" vertical="center" wrapText="1"/>
    </xf>
    <xf numFmtId="0" fontId="104" fillId="0" borderId="139" xfId="0" applyFont="1" applyFill="1" applyBorder="1" applyAlignment="1">
      <alignment horizontal="left" vertical="center" wrapText="1"/>
    </xf>
    <xf numFmtId="0" fontId="104" fillId="3" borderId="74" xfId="0" applyFont="1" applyFill="1" applyBorder="1" applyAlignment="1">
      <alignment horizontal="left" vertical="center" wrapText="1"/>
    </xf>
    <xf numFmtId="0" fontId="104" fillId="3" borderId="75" xfId="0" applyFont="1" applyFill="1" applyBorder="1" applyAlignment="1">
      <alignment horizontal="left" vertical="center" wrapText="1"/>
    </xf>
    <xf numFmtId="0" fontId="104" fillId="0" borderId="77" xfId="0" applyFont="1" applyFill="1" applyBorder="1" applyAlignment="1">
      <alignment horizontal="left" vertical="center" wrapText="1"/>
    </xf>
    <xf numFmtId="0" fontId="104" fillId="0" borderId="78" xfId="0" applyFont="1" applyFill="1" applyBorder="1" applyAlignment="1">
      <alignment horizontal="left" vertical="center" wrapText="1"/>
    </xf>
    <xf numFmtId="0" fontId="104" fillId="0" borderId="51" xfId="0" applyFont="1" applyFill="1" applyBorder="1" applyAlignment="1">
      <alignment vertical="center" wrapText="1"/>
    </xf>
    <xf numFmtId="0" fontId="104" fillId="0" borderId="11" xfId="0" applyFont="1" applyFill="1" applyBorder="1" applyAlignment="1">
      <alignment vertical="center" wrapText="1"/>
    </xf>
    <xf numFmtId="0" fontId="104" fillId="0" borderId="74" xfId="0" applyFont="1" applyFill="1" applyBorder="1" applyAlignment="1">
      <alignment horizontal="left" vertical="center" wrapText="1"/>
    </xf>
    <xf numFmtId="0" fontId="104" fillId="0" borderId="75" xfId="0" applyFont="1" applyFill="1" applyBorder="1" applyAlignment="1">
      <alignment horizontal="left" vertical="center" wrapText="1"/>
    </xf>
    <xf numFmtId="0" fontId="153" fillId="3" borderId="96" xfId="0" applyFont="1" applyFill="1" applyBorder="1" applyAlignment="1">
      <alignment horizontal="left" vertical="center" wrapText="1"/>
    </xf>
    <xf numFmtId="0" fontId="153" fillId="3" borderId="94" xfId="0" applyFont="1" applyFill="1" applyBorder="1" applyAlignment="1">
      <alignment horizontal="left" vertical="center" wrapText="1"/>
    </xf>
    <xf numFmtId="0" fontId="104" fillId="3" borderId="96" xfId="0" applyFont="1" applyFill="1" applyBorder="1" applyAlignment="1">
      <alignment horizontal="left" vertical="center" wrapText="1"/>
    </xf>
    <xf numFmtId="0" fontId="104" fillId="3" borderId="94" xfId="0" applyFont="1" applyFill="1" applyBorder="1" applyAlignment="1">
      <alignment horizontal="left" vertical="center" wrapText="1"/>
    </xf>
    <xf numFmtId="0" fontId="104" fillId="0" borderId="146" xfId="0" applyFont="1" applyFill="1" applyBorder="1" applyAlignment="1">
      <alignment horizontal="left" vertical="center" wrapText="1"/>
    </xf>
    <xf numFmtId="0" fontId="104" fillId="0" borderId="145" xfId="0" applyFont="1" applyFill="1" applyBorder="1" applyAlignment="1">
      <alignment horizontal="left" vertical="center" wrapText="1"/>
    </xf>
    <xf numFmtId="0" fontId="103" fillId="75" borderId="79" xfId="0" applyFont="1" applyFill="1" applyBorder="1" applyAlignment="1">
      <alignment horizontal="center" vertical="center" wrapText="1"/>
    </xf>
    <xf numFmtId="0" fontId="103" fillId="75" borderId="0" xfId="0" applyFont="1" applyFill="1" applyBorder="1" applyAlignment="1">
      <alignment horizontal="center" vertical="center" wrapText="1"/>
    </xf>
    <xf numFmtId="0" fontId="103" fillId="75" borderId="80" xfId="0" applyFont="1" applyFill="1" applyBorder="1" applyAlignment="1">
      <alignment horizontal="center" vertical="center" wrapText="1"/>
    </xf>
    <xf numFmtId="0" fontId="103" fillId="75" borderId="84" xfId="0" applyFont="1" applyFill="1" applyBorder="1" applyAlignment="1">
      <alignment horizontal="center" vertical="center"/>
    </xf>
    <xf numFmtId="0" fontId="103" fillId="75" borderId="85" xfId="0" applyFont="1" applyFill="1" applyBorder="1" applyAlignment="1">
      <alignment horizontal="center" vertical="center"/>
    </xf>
    <xf numFmtId="0" fontId="103" fillId="75" borderId="86" xfId="0" applyFont="1" applyFill="1" applyBorder="1" applyAlignment="1">
      <alignment horizontal="center" vertical="center"/>
    </xf>
    <xf numFmtId="0" fontId="103" fillId="75" borderId="143" xfId="0" applyFont="1" applyFill="1" applyBorder="1" applyAlignment="1">
      <alignment horizontal="center" vertical="center" wrapText="1"/>
    </xf>
    <xf numFmtId="0" fontId="103" fillId="0" borderId="143" xfId="0" applyFont="1" applyFill="1" applyBorder="1" applyAlignment="1">
      <alignment horizontal="center" vertical="center"/>
    </xf>
    <xf numFmtId="0" fontId="104" fillId="0" borderId="146" xfId="13" applyFont="1" applyFill="1" applyBorder="1" applyAlignment="1" applyProtection="1">
      <alignment horizontal="left" vertical="top" wrapText="1"/>
      <protection locked="0"/>
    </xf>
    <xf numFmtId="0" fontId="104" fillId="0" borderId="145" xfId="13" applyFont="1" applyFill="1" applyBorder="1" applyAlignment="1" applyProtection="1">
      <alignment horizontal="left" vertical="top" wrapText="1"/>
      <protection locked="0"/>
    </xf>
    <xf numFmtId="0" fontId="104" fillId="3" borderId="146" xfId="13" applyFont="1" applyFill="1" applyBorder="1" applyAlignment="1" applyProtection="1">
      <alignment horizontal="left" vertical="top" wrapText="1"/>
      <protection locked="0"/>
    </xf>
    <xf numFmtId="0" fontId="104" fillId="3" borderId="145" xfId="13" applyFont="1" applyFill="1" applyBorder="1" applyAlignment="1" applyProtection="1">
      <alignment horizontal="left" vertical="top" wrapText="1"/>
      <protection locked="0"/>
    </xf>
    <xf numFmtId="0" fontId="103" fillId="0" borderId="82" xfId="0" applyFont="1" applyFill="1" applyBorder="1" applyAlignment="1">
      <alignment horizontal="center" vertical="center"/>
    </xf>
    <xf numFmtId="49" fontId="104" fillId="0" borderId="0" xfId="0" applyNumberFormat="1" applyFont="1" applyFill="1" applyBorder="1" applyAlignment="1">
      <alignment horizontal="center" vertical="center"/>
    </xf>
    <xf numFmtId="0" fontId="103" fillId="75" borderId="146" xfId="0" applyFont="1" applyFill="1" applyBorder="1" applyAlignment="1">
      <alignment horizontal="center" vertical="center" wrapText="1"/>
    </xf>
    <xf numFmtId="0" fontId="103" fillId="75" borderId="145" xfId="0" applyFont="1" applyFill="1" applyBorder="1" applyAlignment="1">
      <alignment horizontal="center" vertical="center" wrapText="1"/>
    </xf>
    <xf numFmtId="0" fontId="104" fillId="0" borderId="146" xfId="0" applyNumberFormat="1" applyFont="1" applyFill="1" applyBorder="1" applyAlignment="1">
      <alignment horizontal="left" vertical="center" wrapText="1"/>
    </xf>
    <xf numFmtId="0" fontId="104" fillId="0" borderId="145" xfId="0" applyNumberFormat="1" applyFont="1" applyFill="1" applyBorder="1" applyAlignment="1">
      <alignment horizontal="left" vertical="center" wrapText="1"/>
    </xf>
    <xf numFmtId="0" fontId="104" fillId="0" borderId="143" xfId="0" applyFont="1" applyFill="1" applyBorder="1" applyAlignment="1">
      <alignment horizontal="left" vertical="top" wrapText="1"/>
    </xf>
    <xf numFmtId="0" fontId="104" fillId="0" borderId="146" xfId="0" applyFont="1" applyFill="1" applyBorder="1" applyAlignment="1">
      <alignment horizontal="left" vertical="top" wrapText="1"/>
    </xf>
    <xf numFmtId="0" fontId="104" fillId="0" borderId="143" xfId="0" applyFont="1" applyFill="1" applyBorder="1" applyAlignment="1">
      <alignment horizontal="left" vertical="center" wrapText="1"/>
    </xf>
    <xf numFmtId="0" fontId="104" fillId="0" borderId="143" xfId="0" applyNumberFormat="1" applyFont="1" applyFill="1" applyBorder="1" applyAlignment="1">
      <alignment horizontal="left" vertical="top" wrapText="1"/>
    </xf>
    <xf numFmtId="0" fontId="104" fillId="0" borderId="143" xfId="0" applyFont="1" applyBorder="1" applyAlignment="1">
      <alignment horizontal="center"/>
    </xf>
    <xf numFmtId="0" fontId="153" fillId="0" borderId="146" xfId="13" applyFont="1" applyFill="1" applyBorder="1" applyAlignment="1" applyProtection="1">
      <alignment horizontal="left" vertical="top" wrapText="1"/>
      <protection locked="0"/>
    </xf>
    <xf numFmtId="0" fontId="153" fillId="0" borderId="145" xfId="13" applyFont="1" applyFill="1" applyBorder="1" applyAlignment="1" applyProtection="1">
      <alignment horizontal="left" vertical="top" wrapText="1"/>
      <protection locked="0"/>
    </xf>
    <xf numFmtId="0" fontId="104" fillId="0" borderId="146" xfId="0" applyNumberFormat="1" applyFont="1" applyFill="1" applyBorder="1" applyAlignment="1">
      <alignment horizontal="left" vertical="top" wrapText="1"/>
    </xf>
    <xf numFmtId="0" fontId="104" fillId="0" borderId="145" xfId="0" applyNumberFormat="1" applyFont="1" applyFill="1" applyBorder="1" applyAlignment="1">
      <alignment horizontal="left" vertical="top" wrapText="1"/>
    </xf>
    <xf numFmtId="0" fontId="161" fillId="0" borderId="143" xfId="0" applyFont="1" applyBorder="1"/>
    <xf numFmtId="0" fontId="162" fillId="0" borderId="143" xfId="17" applyFont="1" applyBorder="1" applyAlignment="1" applyProtection="1"/>
    <xf numFmtId="0" fontId="163" fillId="0" borderId="0" xfId="0" applyFont="1"/>
    <xf numFmtId="179" fontId="163" fillId="0" borderId="0" xfId="0" applyNumberFormat="1" applyFont="1" applyAlignment="1">
      <alignment horizontal="left"/>
    </xf>
    <xf numFmtId="169" fontId="2" fillId="36" borderId="0" xfId="20" applyFont="1" applyBorder="1"/>
    <xf numFmtId="169" fontId="2" fillId="36" borderId="89" xfId="20" applyFont="1" applyBorder="1"/>
    <xf numFmtId="193" fontId="164" fillId="0" borderId="143" xfId="0" applyNumberFormat="1" applyFont="1" applyFill="1" applyBorder="1" applyAlignment="1" applyProtection="1">
      <alignment vertical="center" wrapText="1"/>
      <protection locked="0"/>
    </xf>
    <xf numFmtId="193" fontId="164" fillId="0" borderId="152" xfId="0" applyNumberFormat="1" applyFont="1" applyFill="1" applyBorder="1" applyAlignment="1" applyProtection="1">
      <alignment vertical="center" wrapText="1"/>
      <protection locked="0"/>
    </xf>
    <xf numFmtId="10" fontId="164" fillId="0" borderId="143" xfId="20961" applyNumberFormat="1" applyFont="1" applyBorder="1" applyAlignment="1" applyProtection="1">
      <alignment vertical="center" wrapText="1"/>
      <protection locked="0"/>
    </xf>
    <xf numFmtId="10" fontId="164" fillId="0" borderId="152" xfId="20961" applyNumberFormat="1" applyFont="1" applyBorder="1" applyAlignment="1" applyProtection="1">
      <alignment vertical="center" wrapText="1"/>
      <protection locked="0"/>
    </xf>
    <xf numFmtId="169" fontId="25" fillId="36" borderId="60" xfId="20" applyBorder="1"/>
    <xf numFmtId="193" fontId="164" fillId="0" borderId="143" xfId="0" applyNumberFormat="1" applyFont="1" applyBorder="1" applyAlignment="1" applyProtection="1">
      <alignment vertical="center" wrapText="1"/>
      <protection locked="0"/>
    </xf>
    <xf numFmtId="193" fontId="164" fillId="0" borderId="152" xfId="0" applyNumberFormat="1" applyFont="1" applyBorder="1" applyAlignment="1" applyProtection="1">
      <alignment vertical="center" wrapText="1"/>
      <protection locked="0"/>
    </xf>
    <xf numFmtId="10" fontId="165" fillId="2" borderId="143" xfId="20961" applyNumberFormat="1" applyFont="1" applyFill="1" applyBorder="1" applyAlignment="1" applyProtection="1">
      <alignment vertical="center"/>
      <protection locked="0"/>
    </xf>
    <xf numFmtId="10" fontId="165" fillId="2" borderId="152" xfId="20961" applyNumberFormat="1" applyFont="1" applyFill="1" applyBorder="1" applyAlignment="1" applyProtection="1">
      <alignment vertical="center"/>
      <protection locked="0"/>
    </xf>
    <xf numFmtId="10" fontId="164" fillId="0" borderId="143" xfId="20961" applyNumberFormat="1" applyFont="1" applyFill="1" applyBorder="1" applyAlignment="1" applyProtection="1">
      <alignment horizontal="center" vertical="center" wrapText="1"/>
      <protection locked="0"/>
    </xf>
    <xf numFmtId="10" fontId="164" fillId="0" borderId="152" xfId="20961" applyNumberFormat="1" applyFont="1" applyFill="1" applyBorder="1" applyAlignment="1" applyProtection="1">
      <alignment horizontal="center" vertical="center" wrapText="1"/>
      <protection locked="0"/>
    </xf>
    <xf numFmtId="193" fontId="165" fillId="2" borderId="143" xfId="0" applyNumberFormat="1" applyFont="1" applyFill="1" applyBorder="1" applyAlignment="1" applyProtection="1">
      <alignment vertical="center"/>
      <protection locked="0"/>
    </xf>
    <xf numFmtId="193" fontId="165" fillId="2" borderId="152" xfId="0" applyNumberFormat="1" applyFont="1" applyFill="1" applyBorder="1" applyAlignment="1" applyProtection="1">
      <alignment vertical="center"/>
      <protection locked="0"/>
    </xf>
    <xf numFmtId="10" fontId="165" fillId="2" borderId="144" xfId="20961" applyNumberFormat="1" applyFont="1" applyFill="1" applyBorder="1" applyAlignment="1" applyProtection="1">
      <alignment vertical="center"/>
      <protection locked="0"/>
    </xf>
    <xf numFmtId="10" fontId="165" fillId="2" borderId="104" xfId="20961" applyNumberFormat="1" applyFont="1" applyFill="1" applyBorder="1" applyAlignment="1" applyProtection="1">
      <alignment vertical="center"/>
      <protection locked="0"/>
    </xf>
    <xf numFmtId="193" fontId="165" fillId="2" borderId="144" xfId="0" applyNumberFormat="1" applyFont="1" applyFill="1" applyBorder="1" applyAlignment="1" applyProtection="1">
      <alignment vertical="center"/>
      <protection locked="0"/>
    </xf>
    <xf numFmtId="193" fontId="165" fillId="2" borderId="104" xfId="0" applyNumberFormat="1" applyFont="1" applyFill="1" applyBorder="1" applyAlignment="1" applyProtection="1">
      <alignment vertical="center"/>
      <protection locked="0"/>
    </xf>
    <xf numFmtId="10" fontId="165" fillId="2" borderId="150" xfId="20961" applyNumberFormat="1" applyFont="1" applyFill="1" applyBorder="1" applyAlignment="1" applyProtection="1">
      <alignment vertical="center"/>
      <protection locked="0"/>
    </xf>
    <xf numFmtId="10" fontId="165" fillId="2" borderId="149" xfId="20961" applyNumberFormat="1" applyFont="1" applyFill="1" applyBorder="1" applyAlignment="1" applyProtection="1">
      <alignment vertical="center"/>
      <protection locked="0"/>
    </xf>
    <xf numFmtId="0" fontId="2" fillId="0" borderId="28" xfId="0" applyNumberFormat="1" applyFont="1" applyFill="1" applyBorder="1" applyAlignment="1">
      <alignment horizontal="left" vertical="center" wrapText="1" indent="1"/>
    </xf>
    <xf numFmtId="193" fontId="164" fillId="0" borderId="145" xfId="0" applyNumberFormat="1" applyFont="1" applyFill="1" applyBorder="1" applyAlignment="1" applyProtection="1">
      <alignment vertical="center" wrapText="1"/>
      <protection locked="0"/>
    </xf>
    <xf numFmtId="10" fontId="164" fillId="0" borderId="145" xfId="20961" applyNumberFormat="1" applyFont="1" applyBorder="1" applyAlignment="1" applyProtection="1">
      <alignment vertical="center" wrapText="1"/>
      <protection locked="0"/>
    </xf>
    <xf numFmtId="193" fontId="164" fillId="0" borderId="145" xfId="0" applyNumberFormat="1" applyFont="1" applyBorder="1" applyAlignment="1" applyProtection="1">
      <alignment vertical="center" wrapText="1"/>
      <protection locked="0"/>
    </xf>
    <xf numFmtId="10" fontId="165" fillId="2" borderId="145" xfId="20961" applyNumberFormat="1" applyFont="1" applyFill="1" applyBorder="1" applyAlignment="1" applyProtection="1">
      <alignment vertical="center"/>
      <protection locked="0"/>
    </xf>
    <xf numFmtId="10" fontId="164" fillId="0" borderId="145" xfId="20961" applyNumberFormat="1" applyFont="1" applyFill="1" applyBorder="1" applyAlignment="1" applyProtection="1">
      <alignment horizontal="center" vertical="center" wrapText="1"/>
      <protection locked="0"/>
    </xf>
    <xf numFmtId="193" fontId="165" fillId="2" borderId="145" xfId="0" applyNumberFormat="1" applyFont="1" applyFill="1" applyBorder="1" applyAlignment="1" applyProtection="1">
      <alignment vertical="center"/>
      <protection locked="0"/>
    </xf>
    <xf numFmtId="10" fontId="165" fillId="2" borderId="147" xfId="20961" applyNumberFormat="1" applyFont="1" applyFill="1" applyBorder="1" applyAlignment="1" applyProtection="1">
      <alignment vertical="center"/>
      <protection locked="0"/>
    </xf>
    <xf numFmtId="193" fontId="165" fillId="2" borderId="147" xfId="0" applyNumberFormat="1" applyFont="1" applyFill="1" applyBorder="1" applyAlignment="1" applyProtection="1">
      <alignment vertical="center"/>
      <protection locked="0"/>
    </xf>
    <xf numFmtId="10" fontId="165" fillId="2" borderId="113" xfId="20961" applyNumberFormat="1" applyFont="1" applyFill="1" applyBorder="1" applyAlignment="1" applyProtection="1">
      <alignment vertical="center"/>
      <protection locked="0"/>
    </xf>
    <xf numFmtId="169" fontId="61" fillId="36" borderId="158" xfId="20" applyFont="1" applyBorder="1"/>
    <xf numFmtId="193" fontId="61" fillId="0" borderId="152" xfId="0" applyNumberFormat="1" applyFont="1" applyFill="1" applyBorder="1" applyAlignment="1" applyProtection="1">
      <alignment vertical="center" wrapText="1"/>
      <protection locked="0"/>
    </xf>
    <xf numFmtId="193" fontId="61" fillId="0" borderId="152" xfId="0" applyNumberFormat="1" applyFont="1" applyFill="1" applyBorder="1" applyAlignment="1" applyProtection="1">
      <alignment horizontal="right" vertical="center" wrapText="1"/>
      <protection locked="0"/>
    </xf>
    <xf numFmtId="10" fontId="61" fillId="0" borderId="152" xfId="20961" applyNumberFormat="1" applyFont="1" applyBorder="1" applyAlignment="1" applyProtection="1">
      <alignment horizontal="right" vertical="center" wrapText="1"/>
      <protection locked="0"/>
    </xf>
    <xf numFmtId="169" fontId="57" fillId="36" borderId="158" xfId="20" applyFont="1" applyBorder="1"/>
    <xf numFmtId="193" fontId="61" fillId="0" borderId="152" xfId="0" applyNumberFormat="1" applyFont="1" applyBorder="1" applyAlignment="1" applyProtection="1">
      <alignment horizontal="right" vertical="center" wrapText="1"/>
      <protection locked="0"/>
    </xf>
    <xf numFmtId="10" fontId="61" fillId="2" borderId="152" xfId="20961" applyNumberFormat="1" applyFont="1" applyFill="1" applyBorder="1" applyAlignment="1" applyProtection="1">
      <alignment vertical="center"/>
      <protection locked="0"/>
    </xf>
    <xf numFmtId="10" fontId="61" fillId="0" borderId="152" xfId="20961" applyNumberFormat="1" applyFont="1" applyFill="1" applyBorder="1" applyAlignment="1" applyProtection="1">
      <alignment horizontal="right" vertical="center" wrapText="1"/>
      <protection locked="0"/>
    </xf>
    <xf numFmtId="169" fontId="61" fillId="36" borderId="158" xfId="20" applyFont="1" applyBorder="1" applyAlignment="1">
      <alignment horizontal="right"/>
    </xf>
    <xf numFmtId="193" fontId="61" fillId="2" borderId="152" xfId="0" applyNumberFormat="1" applyFont="1" applyFill="1" applyBorder="1" applyAlignment="1" applyProtection="1">
      <alignment vertical="center"/>
      <protection locked="0"/>
    </xf>
    <xf numFmtId="10" fontId="61" fillId="2" borderId="104" xfId="20961" applyNumberFormat="1" applyFont="1" applyFill="1" applyBorder="1" applyAlignment="1" applyProtection="1">
      <alignment vertical="center"/>
      <protection locked="0"/>
    </xf>
    <xf numFmtId="193" fontId="61" fillId="2" borderId="104" xfId="0" applyNumberFormat="1" applyFont="1" applyFill="1" applyBorder="1" applyAlignment="1" applyProtection="1">
      <alignment vertical="center"/>
      <protection locked="0"/>
    </xf>
    <xf numFmtId="10" fontId="61" fillId="2" borderId="149" xfId="20961" applyNumberFormat="1" applyFont="1" applyFill="1" applyBorder="1" applyAlignment="1" applyProtection="1">
      <alignment vertical="center"/>
      <protection locked="0"/>
    </xf>
    <xf numFmtId="164" fontId="166" fillId="0" borderId="153" xfId="7" applyNumberFormat="1" applyFont="1" applyBorder="1"/>
    <xf numFmtId="164" fontId="166" fillId="0" borderId="143" xfId="7" applyNumberFormat="1" applyFont="1" applyBorder="1"/>
    <xf numFmtId="164" fontId="166" fillId="35" borderId="143" xfId="7" applyNumberFormat="1" applyFont="1" applyFill="1" applyBorder="1"/>
    <xf numFmtId="164" fontId="166" fillId="0" borderId="145" xfId="7" applyNumberFormat="1" applyFont="1" applyBorder="1"/>
    <xf numFmtId="164" fontId="166" fillId="35" borderId="152" xfId="7" applyNumberFormat="1" applyFont="1" applyFill="1" applyBorder="1"/>
    <xf numFmtId="164" fontId="0" fillId="0" borderId="153" xfId="7" applyNumberFormat="1" applyFont="1" applyBorder="1"/>
    <xf numFmtId="164" fontId="0" fillId="0" borderId="143" xfId="7" applyNumberFormat="1" applyFont="1" applyBorder="1"/>
    <xf numFmtId="164" fontId="0" fillId="0" borderId="145" xfId="7" applyNumberFormat="1" applyFont="1" applyBorder="1"/>
    <xf numFmtId="164" fontId="166" fillId="0" borderId="153" xfId="7" applyNumberFormat="1" applyFont="1" applyBorder="1" applyAlignment="1">
      <alignment vertical="center"/>
    </xf>
    <xf numFmtId="164" fontId="166" fillId="0" borderId="143" xfId="7" applyNumberFormat="1" applyFont="1" applyBorder="1" applyAlignment="1">
      <alignment vertical="center"/>
    </xf>
    <xf numFmtId="164" fontId="166" fillId="35" borderId="143" xfId="7" applyNumberFormat="1" applyFont="1" applyFill="1" applyBorder="1" applyAlignment="1">
      <alignment vertical="center"/>
    </xf>
    <xf numFmtId="164" fontId="166" fillId="0" borderId="145" xfId="7" applyNumberFormat="1" applyFont="1" applyBorder="1" applyAlignment="1">
      <alignment vertical="center"/>
    </xf>
    <xf numFmtId="164" fontId="166" fillId="35" borderId="152" xfId="7" applyNumberFormat="1" applyFont="1" applyFill="1" applyBorder="1" applyAlignment="1">
      <alignment vertical="center"/>
    </xf>
    <xf numFmtId="164" fontId="0" fillId="0" borderId="111" xfId="7" applyNumberFormat="1" applyFont="1" applyBorder="1" applyAlignment="1">
      <alignment horizontal="center"/>
    </xf>
    <xf numFmtId="164" fontId="0" fillId="0" borderId="148" xfId="7" applyNumberFormat="1" applyFont="1" applyBorder="1" applyAlignment="1">
      <alignment horizontal="center"/>
    </xf>
    <xf numFmtId="164" fontId="0" fillId="0" borderId="21" xfId="7" applyNumberFormat="1" applyFont="1" applyBorder="1" applyAlignment="1">
      <alignment horizontal="center"/>
    </xf>
    <xf numFmtId="164" fontId="166" fillId="0" borderId="151" xfId="7" applyNumberFormat="1" applyFont="1" applyBorder="1"/>
    <xf numFmtId="164" fontId="166" fillId="0" borderId="150" xfId="7" applyNumberFormat="1" applyFont="1" applyBorder="1"/>
    <xf numFmtId="164" fontId="166" fillId="35" borderId="150" xfId="7" applyNumberFormat="1" applyFont="1" applyFill="1" applyBorder="1"/>
    <xf numFmtId="164" fontId="166" fillId="0" borderId="113" xfId="7" applyNumberFormat="1" applyFont="1" applyBorder="1"/>
    <xf numFmtId="164" fontId="166" fillId="35" borderId="149" xfId="7" applyNumberFormat="1" applyFont="1" applyFill="1" applyBorder="1"/>
    <xf numFmtId="0" fontId="0" fillId="0" borderId="16" xfId="0" applyBorder="1" applyAlignment="1">
      <alignment horizontal="center" vertical="center"/>
    </xf>
    <xf numFmtId="0" fontId="126" fillId="0" borderId="5" xfId="0" applyFont="1" applyBorder="1" applyAlignment="1">
      <alignment horizontal="center" vertical="center"/>
    </xf>
    <xf numFmtId="0" fontId="0" fillId="0" borderId="153" xfId="0" applyBorder="1" applyAlignment="1">
      <alignment horizontal="center" vertical="center"/>
    </xf>
    <xf numFmtId="0" fontId="9" fillId="0" borderId="143" xfId="0" applyFont="1" applyFill="1" applyBorder="1" applyAlignment="1" applyProtection="1">
      <alignment horizontal="center" vertical="center" wrapText="1"/>
    </xf>
    <xf numFmtId="0" fontId="9" fillId="0" borderId="152" xfId="0" applyFont="1" applyFill="1" applyBorder="1" applyAlignment="1" applyProtection="1">
      <alignment horizontal="center" vertical="center" wrapText="1"/>
    </xf>
    <xf numFmtId="0" fontId="3" fillId="0" borderId="143" xfId="0" applyFont="1" applyBorder="1" applyAlignment="1">
      <alignment horizontal="center" vertical="center"/>
    </xf>
    <xf numFmtId="0" fontId="0" fillId="0" borderId="146" xfId="0" applyBorder="1" applyAlignment="1">
      <alignment horizontal="center"/>
    </xf>
    <xf numFmtId="0" fontId="0" fillId="0" borderId="148" xfId="0" applyBorder="1" applyAlignment="1">
      <alignment horizontal="center"/>
    </xf>
    <xf numFmtId="0" fontId="0" fillId="0" borderId="21" xfId="0" applyBorder="1" applyAlignment="1">
      <alignment horizontal="center"/>
    </xf>
    <xf numFmtId="0" fontId="0" fillId="0" borderId="153" xfId="0" applyBorder="1" applyAlignment="1">
      <alignment horizontal="center"/>
    </xf>
    <xf numFmtId="0" fontId="128" fillId="3" borderId="143" xfId="21414" applyFont="1" applyFill="1" applyBorder="1" applyAlignment="1">
      <alignment horizontal="left" vertical="center" wrapText="1"/>
    </xf>
    <xf numFmtId="0" fontId="129" fillId="0" borderId="143" xfId="21414" applyFont="1" applyFill="1" applyBorder="1" applyAlignment="1">
      <alignment horizontal="left" vertical="center" wrapText="1" indent="1"/>
    </xf>
    <xf numFmtId="0" fontId="130" fillId="3" borderId="143" xfId="21414" applyFont="1" applyFill="1" applyBorder="1" applyAlignment="1">
      <alignment horizontal="left" vertical="center" wrapText="1"/>
    </xf>
    <xf numFmtId="0" fontId="129" fillId="3" borderId="143" xfId="21414" applyFont="1" applyFill="1" applyBorder="1" applyAlignment="1">
      <alignment horizontal="left" vertical="center" wrapText="1" indent="1"/>
    </xf>
    <xf numFmtId="0" fontId="131" fillId="0" borderId="143" xfId="21414" applyFont="1" applyFill="1" applyBorder="1" applyAlignment="1">
      <alignment horizontal="left" vertical="center" wrapText="1" indent="1"/>
    </xf>
    <xf numFmtId="0" fontId="132" fillId="0" borderId="143" xfId="21414" applyFont="1" applyFill="1" applyBorder="1" applyAlignment="1">
      <alignment horizontal="center" vertical="center" wrapText="1"/>
    </xf>
    <xf numFmtId="0" fontId="130" fillId="0" borderId="143" xfId="21414" applyFont="1" applyBorder="1" applyAlignment="1">
      <alignment horizontal="left" vertical="center" wrapText="1"/>
    </xf>
    <xf numFmtId="0" fontId="133" fillId="0" borderId="143" xfId="0" applyFont="1" applyBorder="1" applyAlignment="1">
      <alignment horizontal="left"/>
    </xf>
    <xf numFmtId="0" fontId="0" fillId="0" borderId="151" xfId="0" applyBorder="1" applyAlignment="1">
      <alignment horizontal="center"/>
    </xf>
    <xf numFmtId="0" fontId="130" fillId="0" borderId="150" xfId="0" applyFont="1" applyFill="1" applyBorder="1" applyAlignment="1">
      <alignment horizontal="left" vertical="center" wrapText="1"/>
    </xf>
    <xf numFmtId="38" fontId="166" fillId="0" borderId="7" xfId="7" applyNumberFormat="1" applyFont="1" applyBorder="1"/>
    <xf numFmtId="38" fontId="166" fillId="35" borderId="7" xfId="7" applyNumberFormat="1" applyFont="1" applyFill="1" applyBorder="1"/>
    <xf numFmtId="38" fontId="166" fillId="35" borderId="61" xfId="7" applyNumberFormat="1" applyFont="1" applyFill="1" applyBorder="1"/>
    <xf numFmtId="38" fontId="0" fillId="0" borderId="143" xfId="7" applyNumberFormat="1" applyFont="1" applyBorder="1"/>
    <xf numFmtId="38" fontId="166" fillId="35" borderId="143" xfId="7" applyNumberFormat="1" applyFont="1" applyFill="1" applyBorder="1"/>
    <xf numFmtId="38" fontId="166" fillId="35" borderId="152" xfId="7" applyNumberFormat="1" applyFont="1" applyFill="1" applyBorder="1"/>
    <xf numFmtId="38" fontId="166" fillId="0" borderId="143" xfId="7" applyNumberFormat="1" applyFont="1" applyBorder="1"/>
    <xf numFmtId="38" fontId="166" fillId="0" borderId="150" xfId="7" applyNumberFormat="1" applyFont="1" applyBorder="1"/>
    <xf numFmtId="38" fontId="166" fillId="35" borderId="150" xfId="7" applyNumberFormat="1" applyFont="1" applyFill="1" applyBorder="1"/>
    <xf numFmtId="38" fontId="166" fillId="35" borderId="149" xfId="7" applyNumberFormat="1" applyFont="1" applyFill="1" applyBorder="1"/>
    <xf numFmtId="0" fontId="0" fillId="0" borderId="4" xfId="0" applyBorder="1" applyAlignment="1">
      <alignment horizontal="center" vertical="center"/>
    </xf>
    <xf numFmtId="0" fontId="126" fillId="0" borderId="5" xfId="0" applyFont="1" applyBorder="1" applyAlignment="1">
      <alignment horizontal="center" vertical="center" wrapText="1"/>
    </xf>
    <xf numFmtId="0" fontId="0" fillId="0" borderId="66" xfId="0" applyBorder="1" applyAlignment="1">
      <alignment horizontal="center" vertical="center"/>
    </xf>
    <xf numFmtId="0" fontId="0" fillId="0" borderId="153" xfId="0" applyBorder="1" applyAlignment="1">
      <alignment horizontal="center" vertical="center"/>
    </xf>
    <xf numFmtId="0" fontId="130" fillId="0" borderId="143" xfId="21414" applyFont="1" applyFill="1" applyBorder="1" applyAlignment="1">
      <alignment horizontal="justify" vertical="center" wrapText="1"/>
    </xf>
    <xf numFmtId="0" fontId="130" fillId="0" borderId="143" xfId="21414" applyFont="1" applyFill="1" applyBorder="1" applyAlignment="1">
      <alignment vertical="center" wrapText="1"/>
    </xf>
    <xf numFmtId="0" fontId="0" fillId="0" borderId="151" xfId="0" applyBorder="1" applyAlignment="1">
      <alignment horizontal="center" vertical="center"/>
    </xf>
    <xf numFmtId="0" fontId="130" fillId="0" borderId="150" xfId="21414" applyFont="1" applyFill="1" applyBorder="1" applyAlignment="1">
      <alignment vertical="center" wrapText="1"/>
    </xf>
    <xf numFmtId="164" fontId="9" fillId="0" borderId="66" xfId="7" applyNumberFormat="1" applyFont="1" applyFill="1" applyBorder="1" applyAlignment="1" applyProtection="1">
      <alignment horizontal="right"/>
    </xf>
    <xf numFmtId="164" fontId="9" fillId="0" borderId="7" xfId="7" applyNumberFormat="1" applyFont="1" applyFill="1" applyBorder="1" applyAlignment="1" applyProtection="1">
      <alignment horizontal="right"/>
    </xf>
    <xf numFmtId="164" fontId="167" fillId="35" borderId="7" xfId="7" applyNumberFormat="1" applyFont="1" applyFill="1" applyBorder="1" applyAlignment="1" applyProtection="1">
      <alignment horizontal="right"/>
    </xf>
    <xf numFmtId="164" fontId="167" fillId="35" borderId="61" xfId="7" applyNumberFormat="1" applyFont="1" applyFill="1" applyBorder="1" applyAlignment="1" applyProtection="1">
      <alignment horizontal="right"/>
    </xf>
    <xf numFmtId="164" fontId="9" fillId="0" borderId="153" xfId="7" applyNumberFormat="1" applyFont="1" applyFill="1" applyBorder="1" applyAlignment="1" applyProtection="1">
      <alignment horizontal="right"/>
    </xf>
    <xf numFmtId="164" fontId="9" fillId="0" borderId="143" xfId="7" applyNumberFormat="1" applyFont="1" applyFill="1" applyBorder="1" applyAlignment="1" applyProtection="1">
      <alignment horizontal="right"/>
    </xf>
    <xf numFmtId="164" fontId="167" fillId="35" borderId="143" xfId="7" applyNumberFormat="1" applyFont="1" applyFill="1" applyBorder="1" applyAlignment="1" applyProtection="1">
      <alignment horizontal="right"/>
    </xf>
    <xf numFmtId="164" fontId="167" fillId="35" borderId="152" xfId="7" applyNumberFormat="1" applyFont="1" applyFill="1" applyBorder="1" applyAlignment="1" applyProtection="1">
      <alignment horizontal="right"/>
    </xf>
    <xf numFmtId="164" fontId="167" fillId="0" borderId="153" xfId="7" applyNumberFormat="1" applyFont="1" applyFill="1" applyBorder="1" applyAlignment="1" applyProtection="1">
      <alignment horizontal="right"/>
    </xf>
    <xf numFmtId="164" fontId="167" fillId="0" borderId="143" xfId="7" applyNumberFormat="1" applyFont="1" applyFill="1" applyBorder="1" applyAlignment="1" applyProtection="1">
      <alignment horizontal="right"/>
    </xf>
    <xf numFmtId="164" fontId="9" fillId="0" borderId="151" xfId="7" applyNumberFormat="1" applyFont="1" applyFill="1" applyBorder="1" applyAlignment="1" applyProtection="1">
      <alignment horizontal="right"/>
    </xf>
    <xf numFmtId="164" fontId="9" fillId="0" borderId="150" xfId="7" applyNumberFormat="1" applyFont="1" applyFill="1" applyBorder="1" applyAlignment="1" applyProtection="1">
      <alignment horizontal="right"/>
    </xf>
    <xf numFmtId="164" fontId="167" fillId="35" borderId="150" xfId="7" applyNumberFormat="1" applyFont="1" applyFill="1" applyBorder="1" applyAlignment="1" applyProtection="1">
      <alignment horizontal="right"/>
    </xf>
    <xf numFmtId="164" fontId="167" fillId="35" borderId="149" xfId="7" applyNumberFormat="1" applyFont="1" applyFill="1" applyBorder="1" applyAlignment="1" applyProtection="1">
      <alignment horizontal="right"/>
    </xf>
    <xf numFmtId="0" fontId="0" fillId="0" borderId="17" xfId="0" applyBorder="1" applyAlignment="1">
      <alignment horizontal="center" vertical="center" wrapText="1"/>
    </xf>
    <xf numFmtId="0" fontId="0" fillId="0" borderId="143" xfId="0" applyBorder="1" applyAlignment="1">
      <alignment horizontal="center" vertical="center" wrapText="1"/>
    </xf>
    <xf numFmtId="0" fontId="15" fillId="0" borderId="143" xfId="0" applyNumberFormat="1" applyFont="1" applyFill="1" applyBorder="1" applyAlignment="1">
      <alignment vertical="center" wrapText="1"/>
    </xf>
    <xf numFmtId="0" fontId="7" fillId="0" borderId="143" xfId="0" applyNumberFormat="1" applyFont="1" applyFill="1" applyBorder="1" applyAlignment="1">
      <alignment horizontal="left" vertical="center" wrapText="1" indent="1"/>
    </xf>
    <xf numFmtId="0" fontId="3" fillId="0" borderId="143" xfId="0" applyFont="1" applyBorder="1" applyAlignment="1">
      <alignment vertical="center"/>
    </xf>
    <xf numFmtId="0" fontId="134" fillId="0" borderId="143" xfId="0" applyFont="1" applyFill="1" applyBorder="1" applyAlignment="1" applyProtection="1">
      <alignment horizontal="left" vertical="center" indent="1"/>
      <protection locked="0"/>
    </xf>
    <xf numFmtId="0" fontId="135" fillId="0" borderId="143" xfId="0" applyFont="1" applyFill="1" applyBorder="1" applyAlignment="1" applyProtection="1">
      <alignment horizontal="left" vertical="center" indent="3"/>
      <protection locked="0"/>
    </xf>
    <xf numFmtId="0" fontId="136" fillId="0" borderId="143" xfId="0" applyFont="1" applyFill="1" applyBorder="1" applyAlignment="1" applyProtection="1">
      <alignment horizontal="left" vertical="center" indent="3"/>
      <protection locked="0"/>
    </xf>
    <xf numFmtId="0" fontId="3" fillId="0" borderId="143" xfId="0" applyFont="1" applyFill="1" applyBorder="1" applyAlignment="1">
      <alignment vertical="center"/>
    </xf>
    <xf numFmtId="0" fontId="3" fillId="0" borderId="150" xfId="0" applyFont="1" applyBorder="1"/>
    <xf numFmtId="164" fontId="168" fillId="35" borderId="153" xfId="7" applyNumberFormat="1" applyFont="1" applyFill="1" applyBorder="1" applyAlignment="1">
      <alignment vertical="center" wrapText="1"/>
    </xf>
    <xf numFmtId="164" fontId="168" fillId="35" borderId="143" xfId="7" applyNumberFormat="1" applyFont="1" applyFill="1" applyBorder="1" applyAlignment="1">
      <alignment vertical="center" wrapText="1"/>
    </xf>
    <xf numFmtId="164" fontId="168" fillId="35" borderId="152" xfId="7" applyNumberFormat="1" applyFont="1" applyFill="1" applyBorder="1" applyAlignment="1">
      <alignment vertical="center" wrapText="1"/>
    </xf>
    <xf numFmtId="164" fontId="20" fillId="0" borderId="153" xfId="7" applyNumberFormat="1" applyFont="1" applyBorder="1" applyAlignment="1">
      <alignment vertical="center" wrapText="1"/>
    </xf>
    <xf numFmtId="164" fontId="20" fillId="0" borderId="143" xfId="7" applyNumberFormat="1" applyFont="1" applyBorder="1" applyAlignment="1">
      <alignment vertical="center" wrapText="1"/>
    </xf>
    <xf numFmtId="164" fontId="20" fillId="0" borderId="152" xfId="7" applyNumberFormat="1" applyFont="1" applyBorder="1" applyAlignment="1">
      <alignment vertical="center" wrapText="1"/>
    </xf>
    <xf numFmtId="164" fontId="20" fillId="0" borderId="153" xfId="7" applyNumberFormat="1" applyFont="1" applyFill="1" applyBorder="1" applyAlignment="1">
      <alignment vertical="center" wrapText="1"/>
    </xf>
    <xf numFmtId="164" fontId="20" fillId="0" borderId="143" xfId="7" applyNumberFormat="1" applyFont="1" applyFill="1" applyBorder="1" applyAlignment="1">
      <alignment vertical="center" wrapText="1"/>
    </xf>
    <xf numFmtId="164" fontId="20" fillId="0" borderId="152" xfId="7" applyNumberFormat="1" applyFont="1" applyFill="1" applyBorder="1" applyAlignment="1">
      <alignment vertical="center" wrapText="1"/>
    </xf>
    <xf numFmtId="164" fontId="169" fillId="35" borderId="151" xfId="7" applyNumberFormat="1" applyFont="1" applyFill="1" applyBorder="1" applyAlignment="1">
      <alignment vertical="center" wrapText="1"/>
    </xf>
    <xf numFmtId="164" fontId="169" fillId="35" borderId="150" xfId="7" applyNumberFormat="1" applyFont="1" applyFill="1" applyBorder="1" applyAlignment="1">
      <alignment vertical="center" wrapText="1"/>
    </xf>
    <xf numFmtId="164" fontId="169" fillId="35" borderId="149" xfId="7" applyNumberFormat="1" applyFont="1" applyFill="1" applyBorder="1" applyAlignment="1">
      <alignment vertical="center" wrapText="1"/>
    </xf>
    <xf numFmtId="0" fontId="170" fillId="0" borderId="17" xfId="0" applyNumberFormat="1" applyFont="1" applyFill="1" applyBorder="1" applyAlignment="1">
      <alignment horizontal="center" vertical="center" wrapText="1"/>
    </xf>
    <xf numFmtId="0" fontId="170" fillId="0" borderId="18" xfId="0" applyNumberFormat="1" applyFont="1" applyFill="1" applyBorder="1" applyAlignment="1">
      <alignment horizontal="center" vertical="center" wrapText="1"/>
    </xf>
    <xf numFmtId="9" fontId="4" fillId="0" borderId="21" xfId="20961" applyFont="1" applyBorder="1" applyAlignment="1"/>
    <xf numFmtId="10" fontId="4" fillId="0" borderId="110" xfId="20961" applyNumberFormat="1" applyFont="1" applyBorder="1" applyAlignment="1"/>
    <xf numFmtId="10" fontId="4" fillId="0" borderId="24" xfId="20961" applyNumberFormat="1" applyFont="1" applyBorder="1" applyAlignment="1"/>
    <xf numFmtId="164" fontId="171" fillId="0" borderId="143" xfId="7" applyNumberFormat="1" applyFont="1" applyFill="1" applyBorder="1" applyAlignment="1">
      <alignment horizontal="center" vertical="center"/>
    </xf>
    <xf numFmtId="164" fontId="164" fillId="0" borderId="143" xfId="7" applyNumberFormat="1" applyFont="1" applyFill="1" applyBorder="1" applyAlignment="1">
      <alignment horizontal="center" vertical="center"/>
    </xf>
    <xf numFmtId="164" fontId="171" fillId="0" borderId="152" xfId="7" applyNumberFormat="1" applyFont="1" applyFill="1" applyBorder="1" applyAlignment="1">
      <alignment horizontal="center" vertical="center"/>
    </xf>
    <xf numFmtId="164" fontId="164" fillId="0" borderId="152" xfId="7" applyNumberFormat="1" applyFont="1" applyFill="1" applyBorder="1" applyAlignment="1">
      <alignment horizontal="center" vertical="center"/>
    </xf>
    <xf numFmtId="164" fontId="172" fillId="35" borderId="150" xfId="0" applyNumberFormat="1" applyFont="1" applyFill="1" applyBorder="1" applyAlignment="1">
      <alignment horizontal="center" vertical="center"/>
    </xf>
    <xf numFmtId="164" fontId="172" fillId="35" borderId="149" xfId="0" applyNumberFormat="1" applyFont="1" applyFill="1" applyBorder="1" applyAlignment="1">
      <alignment horizontal="center" vertical="center"/>
    </xf>
    <xf numFmtId="193" fontId="164" fillId="0" borderId="152" xfId="0" applyNumberFormat="1" applyFont="1" applyBorder="1" applyAlignment="1"/>
    <xf numFmtId="193" fontId="164" fillId="0" borderId="152" xfId="0" applyNumberFormat="1" applyFont="1" applyBorder="1" applyAlignment="1">
      <alignment wrapText="1"/>
    </xf>
    <xf numFmtId="193" fontId="166" fillId="35" borderId="18" xfId="0" applyNumberFormat="1" applyFont="1" applyFill="1" applyBorder="1" applyAlignment="1">
      <alignment horizontal="center" vertical="center"/>
    </xf>
    <xf numFmtId="193" fontId="166" fillId="35" borderId="20" xfId="0" applyNumberFormat="1" applyFont="1" applyFill="1" applyBorder="1" applyAlignment="1">
      <alignment horizontal="center" vertical="center" wrapText="1"/>
    </xf>
    <xf numFmtId="193" fontId="166" fillId="35" borderId="24" xfId="0" applyNumberFormat="1" applyFont="1" applyFill="1" applyBorder="1" applyAlignment="1">
      <alignment horizontal="center" vertical="center" wrapText="1"/>
    </xf>
    <xf numFmtId="193" fontId="2" fillId="3" borderId="152" xfId="2" applyNumberFormat="1" applyFont="1" applyFill="1" applyBorder="1" applyAlignment="1" applyProtection="1">
      <alignment vertical="top"/>
      <protection locked="0"/>
    </xf>
    <xf numFmtId="193" fontId="2" fillId="3" borderId="152" xfId="2" applyNumberFormat="1" applyFont="1" applyFill="1" applyBorder="1" applyAlignment="1" applyProtection="1">
      <alignment vertical="top" wrapText="1"/>
      <protection locked="0"/>
    </xf>
    <xf numFmtId="193" fontId="173" fillId="35" borderId="20" xfId="2" applyNumberFormat="1" applyFont="1" applyFill="1" applyBorder="1" applyAlignment="1" applyProtection="1">
      <alignment vertical="top"/>
    </xf>
    <xf numFmtId="193" fontId="173" fillId="35" borderId="20" xfId="2" applyNumberFormat="1" applyFont="1" applyFill="1" applyBorder="1" applyAlignment="1" applyProtection="1">
      <alignment vertical="top" wrapText="1"/>
    </xf>
    <xf numFmtId="193" fontId="173" fillId="35" borderId="20" xfId="2" applyNumberFormat="1" applyFont="1" applyFill="1" applyBorder="1" applyAlignment="1" applyProtection="1">
      <alignment vertical="top" wrapText="1"/>
      <protection locked="0"/>
    </xf>
    <xf numFmtId="193" fontId="173" fillId="35" borderId="24" xfId="2" applyNumberFormat="1" applyFont="1" applyFill="1" applyBorder="1" applyAlignment="1" applyProtection="1">
      <alignment vertical="top" wrapText="1"/>
    </xf>
    <xf numFmtId="164" fontId="4" fillId="0" borderId="110" xfId="7" applyNumberFormat="1" applyFont="1" applyFill="1" applyBorder="1" applyAlignment="1">
      <alignment horizontal="right" vertical="center" wrapText="1"/>
    </xf>
    <xf numFmtId="164" fontId="6" fillId="35" borderId="110" xfId="7" applyNumberFormat="1" applyFont="1" applyFill="1" applyBorder="1" applyAlignment="1">
      <alignment horizontal="right" vertical="center" wrapText="1"/>
    </xf>
    <xf numFmtId="164" fontId="107" fillId="0" borderId="110" xfId="7" applyNumberFormat="1" applyFont="1" applyFill="1" applyBorder="1" applyAlignment="1">
      <alignment horizontal="right" vertical="center" wrapText="1"/>
    </xf>
    <xf numFmtId="164" fontId="6" fillId="35" borderId="110" xfId="7" applyNumberFormat="1" applyFont="1" applyFill="1" applyBorder="1" applyAlignment="1">
      <alignment horizontal="center" vertical="center" wrapText="1"/>
    </xf>
    <xf numFmtId="164" fontId="7" fillId="0" borderId="24" xfId="7" applyNumberFormat="1" applyFont="1" applyFill="1" applyBorder="1" applyAlignment="1" applyProtection="1">
      <alignment horizontal="right" vertical="center"/>
    </xf>
    <xf numFmtId="193" fontId="171" fillId="0" borderId="15" xfId="0" applyNumberFormat="1" applyFont="1" applyBorder="1" applyAlignment="1">
      <alignment horizontal="center" vertical="center"/>
    </xf>
    <xf numFmtId="193" fontId="164" fillId="0" borderId="12" xfId="0" applyNumberFormat="1" applyFont="1" applyBorder="1" applyAlignment="1">
      <alignment horizontal="center" vertical="center"/>
    </xf>
    <xf numFmtId="193" fontId="164" fillId="0" borderId="12" xfId="0" applyNumberFormat="1" applyFont="1" applyFill="1" applyBorder="1" applyAlignment="1">
      <alignment horizontal="center" vertical="center"/>
    </xf>
    <xf numFmtId="193" fontId="174" fillId="0" borderId="12" xfId="0" applyNumberFormat="1" applyFont="1" applyFill="1" applyBorder="1" applyAlignment="1">
      <alignment horizontal="center" vertical="center"/>
    </xf>
    <xf numFmtId="193" fontId="175" fillId="0" borderId="12" xfId="0" applyNumberFormat="1" applyFont="1" applyFill="1" applyBorder="1" applyAlignment="1">
      <alignment horizontal="center" vertical="center"/>
    </xf>
    <xf numFmtId="193" fontId="171" fillId="0" borderId="12" xfId="0" applyNumberFormat="1" applyFont="1" applyFill="1" applyBorder="1" applyAlignment="1">
      <alignment horizontal="center" vertical="center"/>
    </xf>
    <xf numFmtId="193" fontId="176" fillId="0" borderId="12" xfId="0" applyNumberFormat="1" applyFont="1" applyFill="1" applyBorder="1" applyAlignment="1">
      <alignment horizontal="center" vertical="center"/>
    </xf>
    <xf numFmtId="193" fontId="164" fillId="0" borderId="13" xfId="0" applyNumberFormat="1" applyFont="1" applyFill="1" applyBorder="1" applyAlignment="1">
      <alignment horizontal="center" vertical="center"/>
    </xf>
    <xf numFmtId="193" fontId="171" fillId="0" borderId="159" xfId="0" applyNumberFormat="1" applyFont="1" applyBorder="1" applyAlignment="1">
      <alignment horizontal="center" vertical="center"/>
    </xf>
    <xf numFmtId="193" fontId="171" fillId="0" borderId="12" xfId="0" applyNumberFormat="1" applyFont="1" applyBorder="1" applyAlignment="1">
      <alignment horizontal="center" vertical="center"/>
    </xf>
    <xf numFmtId="193" fontId="164" fillId="0" borderId="13" xfId="0" applyNumberFormat="1" applyFont="1" applyBorder="1" applyAlignment="1">
      <alignment horizontal="center" vertical="center"/>
    </xf>
    <xf numFmtId="193" fontId="171" fillId="0" borderId="13" xfId="0" applyNumberFormat="1" applyFont="1" applyBorder="1" applyAlignment="1">
      <alignment horizontal="center" vertical="center"/>
    </xf>
    <xf numFmtId="193" fontId="174" fillId="0" borderId="13" xfId="0" applyNumberFormat="1" applyFont="1" applyBorder="1" applyAlignment="1">
      <alignment vertical="center"/>
    </xf>
    <xf numFmtId="193" fontId="172" fillId="0" borderId="14" xfId="0" applyNumberFormat="1" applyFont="1" applyFill="1" applyBorder="1" applyAlignment="1">
      <alignment horizontal="center" vertical="center"/>
    </xf>
    <xf numFmtId="0" fontId="164" fillId="0" borderId="143" xfId="0" applyFont="1" applyBorder="1"/>
    <xf numFmtId="0" fontId="171" fillId="0" borderId="143" xfId="0" applyFont="1" applyBorder="1" applyAlignment="1">
      <alignment horizontal="center"/>
    </xf>
    <xf numFmtId="0" fontId="164" fillId="0" borderId="143" xfId="0" applyFont="1" applyBorder="1" applyAlignment="1">
      <alignment horizontal="center"/>
    </xf>
    <xf numFmtId="193" fontId="171" fillId="0" borderId="160" xfId="0" applyNumberFormat="1" applyFont="1" applyBorder="1" applyAlignment="1">
      <alignment horizontal="center" vertical="center"/>
    </xf>
    <xf numFmtId="167" fontId="22" fillId="0" borderId="161" xfId="0" applyNumberFormat="1" applyFont="1" applyBorder="1" applyAlignment="1">
      <alignment horizontal="center"/>
    </xf>
    <xf numFmtId="0" fontId="0" fillId="0" borderId="103" xfId="0" applyBorder="1" applyAlignment="1">
      <alignment horizontal="center"/>
    </xf>
    <xf numFmtId="0" fontId="129" fillId="0" borderId="144" xfId="21414" applyFont="1" applyFill="1" applyBorder="1" applyAlignment="1">
      <alignment horizontal="left" vertical="center" wrapText="1" indent="1"/>
    </xf>
    <xf numFmtId="0" fontId="129" fillId="3" borderId="143" xfId="0" applyFont="1" applyFill="1" applyBorder="1" applyAlignment="1">
      <alignment horizontal="left" vertical="center" wrapText="1" indent="1"/>
    </xf>
    <xf numFmtId="167" fontId="22" fillId="0" borderId="152" xfId="0" applyNumberFormat="1" applyFont="1" applyBorder="1" applyAlignment="1">
      <alignment horizontal="center"/>
    </xf>
    <xf numFmtId="0" fontId="130" fillId="0" borderId="143" xfId="0" applyFont="1" applyBorder="1" applyAlignment="1">
      <alignment horizontal="left" vertical="center" wrapText="1"/>
    </xf>
    <xf numFmtId="167" fontId="22" fillId="0" borderId="152" xfId="0" applyNumberFormat="1" applyFont="1" applyFill="1" applyBorder="1" applyAlignment="1">
      <alignment horizontal="center"/>
    </xf>
    <xf numFmtId="0" fontId="22" fillId="0" borderId="152" xfId="0" applyFont="1" applyBorder="1"/>
    <xf numFmtId="0" fontId="129" fillId="0" borderId="143" xfId="0" applyFont="1" applyBorder="1" applyAlignment="1">
      <alignment horizontal="left" vertical="center" wrapText="1" indent="1"/>
    </xf>
    <xf numFmtId="0" fontId="129" fillId="0" borderId="143" xfId="0" applyFont="1" applyFill="1" applyBorder="1" applyAlignment="1">
      <alignment horizontal="left" vertical="center" wrapText="1" indent="1"/>
    </xf>
    <xf numFmtId="0" fontId="131" fillId="3" borderId="143" xfId="0" applyFont="1" applyFill="1" applyBorder="1" applyAlignment="1">
      <alignment horizontal="left" vertical="center" wrapText="1" indent="1"/>
    </xf>
    <xf numFmtId="0" fontId="131" fillId="0" borderId="143" xfId="0" applyFont="1" applyFill="1" applyBorder="1" applyAlignment="1">
      <alignment horizontal="left" vertical="center" wrapText="1" indent="1"/>
    </xf>
    <xf numFmtId="0" fontId="130" fillId="0" borderId="143" xfId="0" applyFont="1" applyFill="1" applyBorder="1" applyAlignment="1">
      <alignment horizontal="left" vertical="center" wrapText="1"/>
    </xf>
    <xf numFmtId="0" fontId="22" fillId="0" borderId="149" xfId="0" applyFont="1" applyBorder="1"/>
    <xf numFmtId="193" fontId="164" fillId="0" borderId="7" xfId="0" applyNumberFormat="1" applyFont="1" applyBorder="1" applyAlignment="1"/>
    <xf numFmtId="167" fontId="171" fillId="0" borderId="61" xfId="0" applyNumberFormat="1" applyFont="1" applyBorder="1" applyAlignment="1"/>
    <xf numFmtId="193" fontId="164" fillId="0" borderId="143" xfId="0" applyNumberFormat="1" applyFont="1" applyBorder="1" applyAlignment="1"/>
    <xf numFmtId="167" fontId="171" fillId="0" borderId="152" xfId="0" applyNumberFormat="1" applyFont="1" applyBorder="1" applyAlignment="1"/>
    <xf numFmtId="193" fontId="164" fillId="0" borderId="144" xfId="0" applyNumberFormat="1" applyFont="1" applyBorder="1" applyAlignment="1"/>
    <xf numFmtId="167" fontId="171" fillId="0" borderId="104" xfId="0" applyNumberFormat="1" applyFont="1" applyBorder="1" applyAlignment="1"/>
    <xf numFmtId="193" fontId="171" fillId="35" borderId="92" xfId="0" applyNumberFormat="1" applyFont="1" applyFill="1" applyBorder="1"/>
    <xf numFmtId="167" fontId="171" fillId="35" borderId="106" xfId="0" applyNumberFormat="1" applyFont="1" applyFill="1" applyBorder="1"/>
    <xf numFmtId="193" fontId="164" fillId="0" borderId="153" xfId="0" applyNumberFormat="1" applyFont="1" applyBorder="1" applyAlignment="1"/>
    <xf numFmtId="193" fontId="164" fillId="0" borderId="21" xfId="0" applyNumberFormat="1" applyFont="1" applyBorder="1" applyAlignment="1"/>
    <xf numFmtId="193" fontId="171" fillId="35" borderId="162" xfId="0" applyNumberFormat="1" applyFont="1" applyFill="1" applyBorder="1" applyAlignment="1"/>
    <xf numFmtId="193" fontId="171" fillId="35" borderId="50" xfId="0" applyNumberFormat="1" applyFont="1" applyFill="1" applyBorder="1"/>
    <xf numFmtId="193" fontId="171" fillId="35" borderId="151" xfId="0" applyNumberFormat="1" applyFont="1" applyFill="1" applyBorder="1"/>
    <xf numFmtId="193" fontId="171" fillId="35" borderId="150" xfId="0" applyNumberFormat="1" applyFont="1" applyFill="1" applyBorder="1"/>
    <xf numFmtId="193" fontId="171" fillId="35" borderId="149" xfId="0" applyNumberFormat="1" applyFont="1" applyFill="1" applyBorder="1"/>
    <xf numFmtId="193" fontId="4" fillId="0" borderId="143" xfId="0" applyNumberFormat="1" applyFont="1" applyBorder="1"/>
    <xf numFmtId="193" fontId="4" fillId="0" borderId="143" xfId="0" applyNumberFormat="1" applyFont="1" applyFill="1" applyBorder="1"/>
    <xf numFmtId="193" fontId="4" fillId="0" borderId="146" xfId="0" applyNumberFormat="1" applyFont="1" applyBorder="1"/>
    <xf numFmtId="9" fontId="177" fillId="0" borderId="152" xfId="20961" applyFont="1" applyBorder="1"/>
    <xf numFmtId="193" fontId="177" fillId="35" borderId="150" xfId="0" applyNumberFormat="1" applyFont="1" applyFill="1" applyBorder="1"/>
    <xf numFmtId="9" fontId="177" fillId="35" borderId="149" xfId="20961" applyFont="1" applyFill="1" applyBorder="1"/>
    <xf numFmtId="0" fontId="4" fillId="3" borderId="111" xfId="0" applyFont="1" applyFill="1" applyBorder="1" applyAlignment="1">
      <alignment vertical="center"/>
    </xf>
    <xf numFmtId="0" fontId="4" fillId="3" borderId="148" xfId="0" applyFont="1" applyFill="1" applyBorder="1" applyAlignment="1">
      <alignment vertical="center"/>
    </xf>
    <xf numFmtId="197" fontId="4" fillId="0" borderId="111" xfId="7" applyNumberFormat="1" applyFont="1" applyFill="1" applyBorder="1" applyAlignment="1">
      <alignment vertical="center"/>
    </xf>
    <xf numFmtId="197" fontId="4" fillId="0" borderId="51" xfId="7" applyNumberFormat="1" applyFont="1" applyFill="1" applyBorder="1" applyAlignment="1">
      <alignment vertical="center"/>
    </xf>
    <xf numFmtId="197" fontId="6" fillId="0" borderId="152" xfId="7" applyNumberFormat="1" applyFont="1" applyFill="1" applyBorder="1" applyAlignment="1">
      <alignment vertical="center"/>
    </xf>
    <xf numFmtId="197" fontId="4" fillId="0" borderId="148" xfId="7" applyNumberFormat="1" applyFont="1" applyFill="1" applyBorder="1" applyAlignment="1">
      <alignment vertical="center"/>
    </xf>
    <xf numFmtId="197" fontId="4" fillId="0" borderId="143" xfId="7" applyNumberFormat="1" applyFont="1" applyFill="1" applyBorder="1" applyAlignment="1">
      <alignment vertical="center"/>
    </xf>
    <xf numFmtId="197" fontId="4" fillId="0" borderId="153" xfId="7" applyNumberFormat="1" applyFont="1" applyFill="1" applyBorder="1" applyAlignment="1">
      <alignment vertical="center"/>
    </xf>
    <xf numFmtId="0" fontId="4" fillId="0" borderId="153" xfId="0" applyFont="1" applyFill="1" applyBorder="1" applyAlignment="1">
      <alignment vertical="center"/>
    </xf>
    <xf numFmtId="0" fontId="4" fillId="0" borderId="146" xfId="0" applyFont="1" applyFill="1" applyBorder="1" applyAlignment="1">
      <alignment vertical="center"/>
    </xf>
    <xf numFmtId="0" fontId="4" fillId="0" borderId="145" xfId="0" applyFont="1" applyFill="1" applyBorder="1" applyAlignment="1">
      <alignment vertical="center"/>
    </xf>
    <xf numFmtId="197" fontId="6" fillId="0" borderId="153" xfId="0" applyNumberFormat="1" applyFont="1" applyFill="1" applyBorder="1" applyAlignment="1">
      <alignment vertical="center"/>
    </xf>
    <xf numFmtId="197" fontId="6" fillId="0" borderId="148" xfId="0" applyNumberFormat="1" applyFont="1" applyFill="1" applyBorder="1" applyAlignment="1">
      <alignment vertical="center"/>
    </xf>
    <xf numFmtId="197" fontId="6" fillId="0" borderId="111" xfId="0" applyNumberFormat="1" applyFont="1" applyFill="1" applyBorder="1" applyAlignment="1">
      <alignment vertical="center"/>
    </xf>
    <xf numFmtId="197" fontId="6" fillId="0" borderId="143" xfId="0" applyNumberFormat="1" applyFont="1" applyFill="1" applyBorder="1" applyAlignment="1">
      <alignment vertical="center"/>
    </xf>
    <xf numFmtId="197" fontId="4" fillId="0" borderId="146" xfId="7" applyNumberFormat="1" applyFont="1" applyFill="1" applyBorder="1" applyAlignment="1">
      <alignment vertical="center"/>
    </xf>
    <xf numFmtId="197" fontId="4" fillId="0" borderId="145" xfId="7" applyNumberFormat="1" applyFont="1" applyFill="1" applyBorder="1" applyAlignment="1">
      <alignment vertical="center"/>
    </xf>
    <xf numFmtId="197" fontId="6" fillId="0" borderId="151" xfId="0" applyNumberFormat="1" applyFont="1" applyFill="1" applyBorder="1" applyAlignment="1">
      <alignment vertical="center"/>
    </xf>
    <xf numFmtId="197" fontId="6" fillId="0" borderId="107" xfId="0" applyNumberFormat="1" applyFont="1" applyFill="1" applyBorder="1" applyAlignment="1">
      <alignment vertical="center"/>
    </xf>
    <xf numFmtId="197" fontId="6" fillId="0" borderId="149" xfId="7" applyNumberFormat="1" applyFont="1" applyFill="1" applyBorder="1" applyAlignment="1">
      <alignment vertical="center"/>
    </xf>
    <xf numFmtId="197" fontId="6" fillId="0" borderId="163" xfId="0" applyNumberFormat="1" applyFont="1" applyFill="1" applyBorder="1" applyAlignment="1">
      <alignment vertical="center"/>
    </xf>
    <xf numFmtId="197" fontId="6" fillId="0" borderId="150" xfId="0" applyNumberFormat="1" applyFont="1" applyFill="1" applyBorder="1" applyAlignment="1">
      <alignment vertical="center"/>
    </xf>
    <xf numFmtId="197" fontId="4" fillId="0" borderId="114" xfId="7" applyNumberFormat="1" applyFont="1" applyFill="1" applyBorder="1" applyAlignment="1">
      <alignment vertical="center"/>
    </xf>
    <xf numFmtId="197" fontId="4" fillId="0" borderId="26" xfId="7" applyNumberFormat="1" applyFont="1" applyFill="1" applyBorder="1" applyAlignment="1">
      <alignment vertical="center"/>
    </xf>
    <xf numFmtId="197" fontId="6" fillId="0" borderId="18" xfId="7" applyNumberFormat="1" applyFont="1" applyFill="1" applyBorder="1" applyAlignment="1">
      <alignment vertical="center"/>
    </xf>
    <xf numFmtId="43" fontId="4" fillId="0" borderId="108" xfId="0" applyNumberFormat="1" applyFont="1" applyFill="1" applyBorder="1" applyAlignment="1">
      <alignment vertical="center"/>
    </xf>
    <xf numFmtId="164" fontId="4" fillId="0" borderId="150" xfId="0" applyNumberFormat="1" applyFont="1" applyFill="1" applyBorder="1" applyAlignment="1">
      <alignment vertical="center"/>
    </xf>
    <xf numFmtId="197" fontId="6" fillId="0" borderId="104" xfId="7" applyNumberFormat="1" applyFont="1" applyFill="1" applyBorder="1" applyAlignment="1">
      <alignment vertical="center"/>
    </xf>
    <xf numFmtId="10" fontId="6" fillId="0" borderId="156" xfId="20961" applyNumberFormat="1" applyFont="1" applyFill="1" applyBorder="1" applyAlignment="1">
      <alignment vertical="center"/>
    </xf>
    <xf numFmtId="10" fontId="6" fillId="0" borderId="90" xfId="20961" applyNumberFormat="1" applyFont="1" applyFill="1" applyBorder="1" applyAlignment="1">
      <alignment vertical="center"/>
    </xf>
    <xf numFmtId="10" fontId="6" fillId="0" borderId="106" xfId="20961" applyNumberFormat="1" applyFont="1" applyFill="1" applyBorder="1" applyAlignment="1">
      <alignment vertical="center"/>
    </xf>
    <xf numFmtId="164" fontId="9" fillId="0" borderId="152" xfId="7" applyNumberFormat="1" applyFont="1" applyFill="1" applyBorder="1" applyAlignment="1" applyProtection="1">
      <alignment horizontal="right" vertical="center"/>
      <protection locked="0"/>
    </xf>
    <xf numFmtId="164" fontId="9" fillId="77" borderId="152" xfId="7" applyNumberFormat="1" applyFont="1" applyFill="1" applyBorder="1" applyAlignment="1" applyProtection="1">
      <alignment horizontal="right" vertical="center"/>
      <protection locked="0"/>
    </xf>
    <xf numFmtId="10" fontId="111" fillId="77" borderId="143" xfId="20961" applyNumberFormat="1" applyFont="1" applyFill="1" applyBorder="1" applyAlignment="1" applyProtection="1">
      <alignment horizontal="right" vertical="center"/>
    </xf>
    <xf numFmtId="164" fontId="177" fillId="0" borderId="143" xfId="7" applyNumberFormat="1" applyFont="1" applyBorder="1"/>
    <xf numFmtId="164" fontId="177" fillId="0" borderId="152" xfId="7" applyNumberFormat="1" applyFont="1" applyBorder="1"/>
    <xf numFmtId="164" fontId="4" fillId="0" borderId="143" xfId="7" applyNumberFormat="1" applyFont="1" applyBorder="1"/>
    <xf numFmtId="164" fontId="4" fillId="0" borderId="152" xfId="7" applyNumberFormat="1" applyFont="1" applyBorder="1"/>
    <xf numFmtId="169" fontId="25" fillId="36" borderId="143" xfId="20" applyBorder="1"/>
    <xf numFmtId="164" fontId="4" fillId="0" borderId="143" xfId="7" applyNumberFormat="1" applyFont="1" applyBorder="1" applyAlignment="1">
      <alignment vertical="center"/>
    </xf>
    <xf numFmtId="164" fontId="177" fillId="0" borderId="143" xfId="7" applyNumberFormat="1" applyFont="1" applyBorder="1" applyAlignment="1">
      <alignment vertical="center"/>
    </xf>
    <xf numFmtId="164" fontId="6" fillId="0" borderId="152" xfId="7" applyNumberFormat="1" applyFont="1" applyBorder="1"/>
    <xf numFmtId="164" fontId="4" fillId="0" borderId="143" xfId="7" applyNumberFormat="1" applyFont="1" applyFill="1" applyBorder="1"/>
    <xf numFmtId="164" fontId="4" fillId="0" borderId="143" xfId="7" applyNumberFormat="1" applyFont="1" applyFill="1" applyBorder="1" applyAlignment="1">
      <alignment vertical="center"/>
    </xf>
    <xf numFmtId="164" fontId="178" fillId="0" borderId="7" xfId="7" applyNumberFormat="1" applyFont="1" applyBorder="1"/>
    <xf numFmtId="164" fontId="118" fillId="0" borderId="61" xfId="7" applyNumberFormat="1" applyFont="1" applyBorder="1"/>
    <xf numFmtId="164" fontId="178" fillId="0" borderId="143" xfId="7" applyNumberFormat="1" applyFont="1" applyBorder="1"/>
    <xf numFmtId="164" fontId="118" fillId="0" borderId="152" xfId="7" applyNumberFormat="1" applyFont="1" applyBorder="1"/>
    <xf numFmtId="164" fontId="118" fillId="0" borderId="150" xfId="7" applyNumberFormat="1" applyFont="1" applyBorder="1"/>
    <xf numFmtId="164" fontId="118" fillId="0" borderId="149" xfId="7" applyNumberFormat="1" applyFont="1" applyBorder="1"/>
    <xf numFmtId="164" fontId="114" fillId="0" borderId="143" xfId="7" applyNumberFormat="1" applyFont="1" applyBorder="1"/>
    <xf numFmtId="164" fontId="114" fillId="0" borderId="143" xfId="7" applyNumberFormat="1" applyFont="1" applyFill="1" applyBorder="1"/>
    <xf numFmtId="164" fontId="179" fillId="35" borderId="152" xfId="7" applyNumberFormat="1" applyFont="1" applyFill="1" applyBorder="1"/>
    <xf numFmtId="164" fontId="117" fillId="0" borderId="143" xfId="7" applyNumberFormat="1" applyFont="1" applyBorder="1"/>
    <xf numFmtId="164" fontId="114" fillId="0" borderId="150" xfId="7" applyNumberFormat="1" applyFont="1" applyBorder="1"/>
    <xf numFmtId="164" fontId="114" fillId="0" borderId="150" xfId="7" applyNumberFormat="1" applyFont="1" applyFill="1" applyBorder="1"/>
    <xf numFmtId="164" fontId="179" fillId="35" borderId="149" xfId="7" applyNumberFormat="1" applyFont="1" applyFill="1" applyBorder="1"/>
    <xf numFmtId="164" fontId="179" fillId="35" borderId="143" xfId="7" applyNumberFormat="1" applyFont="1" applyFill="1" applyBorder="1"/>
    <xf numFmtId="164" fontId="180" fillId="0" borderId="143" xfId="7" applyNumberFormat="1" applyFont="1" applyBorder="1"/>
    <xf numFmtId="164" fontId="115" fillId="0" borderId="143" xfId="7" applyNumberFormat="1" applyFont="1" applyBorder="1"/>
    <xf numFmtId="164" fontId="118" fillId="0" borderId="143" xfId="7" applyNumberFormat="1" applyFont="1" applyBorder="1"/>
    <xf numFmtId="164" fontId="179" fillId="0" borderId="143" xfId="7" applyNumberFormat="1" applyFont="1" applyBorder="1"/>
    <xf numFmtId="164" fontId="114" fillId="0" borderId="143" xfId="7" applyNumberFormat="1" applyFont="1" applyBorder="1" applyAlignment="1">
      <alignment horizontal="left" indent="1"/>
    </xf>
    <xf numFmtId="164" fontId="117" fillId="76" borderId="143" xfId="7" applyNumberFormat="1" applyFont="1" applyFill="1" applyBorder="1"/>
    <xf numFmtId="0" fontId="117" fillId="76" borderId="143" xfId="0" applyFont="1" applyFill="1" applyBorder="1"/>
    <xf numFmtId="164" fontId="181" fillId="0" borderId="143" xfId="7" applyNumberFormat="1" applyFont="1" applyBorder="1"/>
    <xf numFmtId="164" fontId="179" fillId="0" borderId="153" xfId="7" applyNumberFormat="1" applyFont="1" applyBorder="1"/>
    <xf numFmtId="164" fontId="179" fillId="0" borderId="152" xfId="7" applyNumberFormat="1" applyFont="1" applyBorder="1"/>
    <xf numFmtId="164" fontId="114" fillId="0" borderId="153" xfId="7" applyNumberFormat="1" applyFont="1" applyBorder="1" applyAlignment="1">
      <alignment horizontal="left" indent="1"/>
    </xf>
    <xf numFmtId="164" fontId="114" fillId="0" borderId="152" xfId="7" applyNumberFormat="1" applyFont="1" applyBorder="1"/>
    <xf numFmtId="164" fontId="114" fillId="0" borderId="153" xfId="7" applyNumberFormat="1" applyFont="1" applyBorder="1" applyAlignment="1">
      <alignment horizontal="left" indent="2"/>
    </xf>
    <xf numFmtId="164" fontId="114" fillId="0" borderId="153" xfId="7" applyNumberFormat="1" applyFont="1" applyFill="1" applyBorder="1" applyAlignment="1">
      <alignment horizontal="left" indent="3"/>
    </xf>
    <xf numFmtId="164" fontId="114" fillId="0" borderId="153" xfId="7" applyNumberFormat="1" applyFont="1" applyFill="1" applyBorder="1" applyAlignment="1">
      <alignment horizontal="left" indent="1"/>
    </xf>
    <xf numFmtId="164" fontId="114" fillId="79" borderId="153" xfId="7" applyNumberFormat="1" applyFont="1" applyFill="1" applyBorder="1"/>
    <xf numFmtId="164" fontId="114" fillId="79" borderId="143" xfId="7" applyNumberFormat="1" applyFont="1" applyFill="1" applyBorder="1"/>
    <xf numFmtId="164" fontId="114" fillId="79" borderId="152" xfId="7" applyNumberFormat="1" applyFont="1" applyFill="1" applyBorder="1"/>
    <xf numFmtId="164" fontId="114" fillId="0" borderId="153" xfId="7" applyNumberFormat="1" applyFont="1" applyFill="1" applyBorder="1" applyAlignment="1">
      <alignment horizontal="left" vertical="top" wrapText="1" indent="2"/>
    </xf>
    <xf numFmtId="164" fontId="114" fillId="0" borderId="152" xfId="7" applyNumberFormat="1" applyFont="1" applyFill="1" applyBorder="1"/>
    <xf numFmtId="164" fontId="114" fillId="0" borderId="153" xfId="7" applyNumberFormat="1" applyFont="1" applyFill="1" applyBorder="1" applyAlignment="1">
      <alignment horizontal="left" wrapText="1" indent="3"/>
    </xf>
    <xf numFmtId="164" fontId="114" fillId="0" borderId="153" xfId="7" applyNumberFormat="1" applyFont="1" applyFill="1" applyBorder="1" applyAlignment="1">
      <alignment horizontal="left" wrapText="1" indent="2"/>
    </xf>
    <xf numFmtId="164" fontId="114" fillId="0" borderId="143" xfId="7" applyNumberFormat="1" applyFont="1" applyFill="1" applyBorder="1" applyAlignment="1">
      <alignment horizontal="left" vertical="center" wrapText="1"/>
    </xf>
    <xf numFmtId="164" fontId="114" fillId="0" borderId="143" xfId="7" applyNumberFormat="1" applyFont="1" applyBorder="1" applyAlignment="1">
      <alignment horizontal="center" vertical="center" wrapText="1"/>
    </xf>
    <xf numFmtId="164" fontId="114" fillId="0" borderId="143" xfId="7" applyNumberFormat="1" applyFont="1" applyBorder="1" applyAlignment="1">
      <alignment horizontal="center" vertical="center"/>
    </xf>
    <xf numFmtId="164" fontId="117" fillId="0" borderId="143" xfId="7" applyNumberFormat="1" applyFont="1" applyFill="1" applyBorder="1" applyAlignment="1">
      <alignment horizontal="left" vertical="center" wrapText="1"/>
    </xf>
    <xf numFmtId="164" fontId="119" fillId="0" borderId="143" xfId="7" applyNumberFormat="1" applyFont="1" applyBorder="1"/>
    <xf numFmtId="10" fontId="119" fillId="0" borderId="143" xfId="20961" applyNumberFormat="1" applyFont="1" applyBorder="1"/>
    <xf numFmtId="164" fontId="182" fillId="0" borderId="143" xfId="7" applyNumberFormat="1" applyFont="1" applyBorder="1"/>
    <xf numFmtId="164" fontId="119" fillId="0" borderId="144" xfId="7" applyNumberFormat="1" applyFont="1" applyBorder="1"/>
    <xf numFmtId="10" fontId="119" fillId="0" borderId="144" xfId="20961" applyNumberFormat="1" applyFont="1" applyBorder="1"/>
  </cellXfs>
  <cellStyles count="21417">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8"/>
  <sheetViews>
    <sheetView showGridLines="0" tabSelected="1" zoomScaleNormal="100" workbookViewId="0">
      <pane xSplit="1" ySplit="7" topLeftCell="B8" activePane="bottomRight" state="frozen"/>
      <selection pane="topRight" activeCell="B1" sqref="B1"/>
      <selection pane="bottomLeft" activeCell="A8" sqref="A8"/>
      <selection pane="bottomRight" activeCell="B1" sqref="B1"/>
    </sheetView>
  </sheetViews>
  <sheetFormatPr defaultRowHeight="15"/>
  <cols>
    <col min="1" max="1" width="10.140625" style="2" customWidth="1"/>
    <col min="2" max="2" width="153" bestFit="1" customWidth="1"/>
    <col min="3" max="3" width="39.42578125" customWidth="1"/>
    <col min="7" max="7" width="25" customWidth="1"/>
  </cols>
  <sheetData>
    <row r="1" spans="1:3" ht="15.75">
      <c r="A1" s="9"/>
      <c r="B1" s="105" t="s">
        <v>148</v>
      </c>
      <c r="C1" s="54"/>
    </row>
    <row r="2" spans="1:3" s="102" customFormat="1" ht="15.75">
      <c r="A2" s="146">
        <v>1</v>
      </c>
      <c r="B2" s="103" t="s">
        <v>149</v>
      </c>
      <c r="C2" s="781" t="s">
        <v>1000</v>
      </c>
    </row>
    <row r="3" spans="1:3" s="102" customFormat="1" ht="15.75">
      <c r="A3" s="146">
        <v>2</v>
      </c>
      <c r="B3" s="104" t="s">
        <v>150</v>
      </c>
      <c r="C3" s="781" t="s">
        <v>1001</v>
      </c>
    </row>
    <row r="4" spans="1:3" s="102" customFormat="1" ht="15.75">
      <c r="A4" s="146">
        <v>3</v>
      </c>
      <c r="B4" s="104" t="s">
        <v>151</v>
      </c>
      <c r="C4" s="781" t="s">
        <v>1002</v>
      </c>
    </row>
    <row r="5" spans="1:3" s="102" customFormat="1" ht="15.75">
      <c r="A5" s="147">
        <v>4</v>
      </c>
      <c r="B5" s="107" t="s">
        <v>152</v>
      </c>
      <c r="C5" s="782" t="s">
        <v>1003</v>
      </c>
    </row>
    <row r="6" spans="1:3" s="106" customFormat="1" ht="65.25" customHeight="1">
      <c r="A6" s="603" t="s">
        <v>309</v>
      </c>
      <c r="B6" s="604"/>
      <c r="C6" s="604"/>
    </row>
    <row r="7" spans="1:3">
      <c r="A7" s="224" t="s">
        <v>240</v>
      </c>
      <c r="B7" s="225" t="s">
        <v>153</v>
      </c>
    </row>
    <row r="8" spans="1:3">
      <c r="A8" s="226">
        <v>1</v>
      </c>
      <c r="B8" s="222" t="s">
        <v>128</v>
      </c>
    </row>
    <row r="9" spans="1:3">
      <c r="A9" s="226">
        <v>2</v>
      </c>
      <c r="B9" s="222" t="s">
        <v>154</v>
      </c>
    </row>
    <row r="10" spans="1:3">
      <c r="A10" s="226">
        <v>3</v>
      </c>
      <c r="B10" s="222" t="s">
        <v>155</v>
      </c>
    </row>
    <row r="11" spans="1:3">
      <c r="A11" s="226">
        <v>4</v>
      </c>
      <c r="B11" s="222" t="s">
        <v>156</v>
      </c>
      <c r="C11" s="101"/>
    </row>
    <row r="12" spans="1:3">
      <c r="A12" s="226">
        <v>5</v>
      </c>
      <c r="B12" s="222" t="s">
        <v>96</v>
      </c>
    </row>
    <row r="13" spans="1:3">
      <c r="A13" s="226">
        <v>6</v>
      </c>
      <c r="B13" s="227" t="s">
        <v>80</v>
      </c>
    </row>
    <row r="14" spans="1:3">
      <c r="A14" s="226">
        <v>7</v>
      </c>
      <c r="B14" s="222" t="s">
        <v>157</v>
      </c>
    </row>
    <row r="15" spans="1:3">
      <c r="A15" s="226">
        <v>8</v>
      </c>
      <c r="B15" s="222" t="s">
        <v>160</v>
      </c>
    </row>
    <row r="16" spans="1:3">
      <c r="A16" s="226">
        <v>9</v>
      </c>
      <c r="B16" s="222" t="s">
        <v>74</v>
      </c>
    </row>
    <row r="17" spans="1:2">
      <c r="A17" s="228" t="s">
        <v>366</v>
      </c>
      <c r="B17" s="222" t="s">
        <v>346</v>
      </c>
    </row>
    <row r="18" spans="1:2" s="3" customFormat="1">
      <c r="A18" s="230">
        <v>9.1999999999999993</v>
      </c>
      <c r="B18" s="552" t="s">
        <v>946</v>
      </c>
    </row>
    <row r="19" spans="1:2" s="3" customFormat="1">
      <c r="A19" s="230">
        <v>9.3000000000000007</v>
      </c>
      <c r="B19" s="552" t="s">
        <v>947</v>
      </c>
    </row>
    <row r="20" spans="1:2">
      <c r="A20" s="226">
        <v>10</v>
      </c>
      <c r="B20" s="222" t="s">
        <v>161</v>
      </c>
    </row>
    <row r="21" spans="1:2">
      <c r="A21" s="226">
        <v>11</v>
      </c>
      <c r="B21" s="227" t="s">
        <v>144</v>
      </c>
    </row>
    <row r="22" spans="1:2">
      <c r="A22" s="226">
        <v>12</v>
      </c>
      <c r="B22" s="227" t="s">
        <v>141</v>
      </c>
    </row>
    <row r="23" spans="1:2">
      <c r="A23" s="226">
        <v>13</v>
      </c>
      <c r="B23" s="229" t="s">
        <v>285</v>
      </c>
    </row>
    <row r="24" spans="1:2">
      <c r="A24" s="226">
        <v>14</v>
      </c>
      <c r="B24" s="222" t="s">
        <v>339</v>
      </c>
    </row>
    <row r="25" spans="1:2">
      <c r="A25" s="230">
        <v>15</v>
      </c>
      <c r="B25" s="222" t="s">
        <v>73</v>
      </c>
    </row>
    <row r="26" spans="1:2">
      <c r="A26" s="230">
        <v>15.1</v>
      </c>
      <c r="B26" s="222" t="s">
        <v>375</v>
      </c>
    </row>
    <row r="27" spans="1:2">
      <c r="A27" s="551">
        <v>15.2</v>
      </c>
      <c r="B27" s="552" t="s">
        <v>970</v>
      </c>
    </row>
    <row r="28" spans="1:2">
      <c r="A28" s="230">
        <v>16</v>
      </c>
      <c r="B28" s="222" t="s">
        <v>422</v>
      </c>
    </row>
    <row r="29" spans="1:2">
      <c r="A29" s="230">
        <v>17</v>
      </c>
      <c r="B29" s="222" t="s">
        <v>646</v>
      </c>
    </row>
    <row r="30" spans="1:2">
      <c r="A30" s="230">
        <v>18</v>
      </c>
      <c r="B30" s="222" t="s">
        <v>906</v>
      </c>
    </row>
    <row r="31" spans="1:2">
      <c r="A31" s="230">
        <v>19</v>
      </c>
      <c r="B31" s="222" t="s">
        <v>907</v>
      </c>
    </row>
    <row r="32" spans="1:2">
      <c r="A32" s="230">
        <v>20</v>
      </c>
      <c r="B32" s="222" t="s">
        <v>908</v>
      </c>
    </row>
    <row r="33" spans="1:2">
      <c r="A33" s="230">
        <v>21</v>
      </c>
      <c r="B33" s="222" t="s">
        <v>515</v>
      </c>
    </row>
    <row r="34" spans="1:2">
      <c r="A34" s="230">
        <v>22</v>
      </c>
      <c r="B34" s="222" t="s">
        <v>909</v>
      </c>
    </row>
    <row r="35" spans="1:2" ht="25.5">
      <c r="A35" s="230">
        <v>23</v>
      </c>
      <c r="B35" s="508" t="s">
        <v>905</v>
      </c>
    </row>
    <row r="36" spans="1:2">
      <c r="A36" s="230">
        <v>24</v>
      </c>
      <c r="B36" s="222" t="s">
        <v>910</v>
      </c>
    </row>
    <row r="37" spans="1:2">
      <c r="A37" s="230">
        <v>25</v>
      </c>
      <c r="B37" s="222" t="s">
        <v>911</v>
      </c>
    </row>
    <row r="38" spans="1:2">
      <c r="A38" s="226">
        <v>26</v>
      </c>
      <c r="B38" s="222" t="s">
        <v>691</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showGridLines="0" zoomScale="80" zoomScaleNormal="8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9.5703125" style="5" bestFit="1" customWidth="1"/>
    <col min="2" max="2" width="132.42578125" style="2" customWidth="1"/>
    <col min="3" max="3" width="18.42578125" style="2" customWidth="1"/>
  </cols>
  <sheetData>
    <row r="1" spans="1:6" ht="15.75">
      <c r="A1" s="17" t="s">
        <v>97</v>
      </c>
      <c r="B1" s="783" t="str">
        <f>Info!C2</f>
        <v>სს იშბანკი საქართველო</v>
      </c>
      <c r="D1" s="2"/>
      <c r="E1" s="2"/>
      <c r="F1" s="2"/>
    </row>
    <row r="2" spans="1:6" s="21" customFormat="1" ht="15.75" customHeight="1">
      <c r="A2" s="21" t="s">
        <v>98</v>
      </c>
      <c r="B2" s="784">
        <f>'1. key ratios'!B2</f>
        <v>45747</v>
      </c>
    </row>
    <row r="3" spans="1:6" s="21" customFormat="1" ht="15.75" customHeight="1"/>
    <row r="4" spans="1:6" ht="15.75" thickBot="1">
      <c r="A4" s="5" t="s">
        <v>246</v>
      </c>
      <c r="B4" s="29" t="s">
        <v>74</v>
      </c>
    </row>
    <row r="5" spans="1:6">
      <c r="A5" s="75" t="s">
        <v>25</v>
      </c>
      <c r="B5" s="76"/>
      <c r="C5" s="77" t="s">
        <v>26</v>
      </c>
    </row>
    <row r="6" spans="1:6">
      <c r="A6" s="78">
        <v>1</v>
      </c>
      <c r="B6" s="50" t="s">
        <v>27</v>
      </c>
      <c r="C6" s="942">
        <f>SUM(C7:C11)</f>
        <v>149790634.49173757</v>
      </c>
    </row>
    <row r="7" spans="1:6">
      <c r="A7" s="78">
        <v>2</v>
      </c>
      <c r="B7" s="47" t="s">
        <v>28</v>
      </c>
      <c r="C7" s="940">
        <f>'2. SOFP'!E55</f>
        <v>69161600</v>
      </c>
    </row>
    <row r="8" spans="1:6">
      <c r="A8" s="78">
        <v>3</v>
      </c>
      <c r="B8" s="41" t="s">
        <v>29</v>
      </c>
      <c r="C8" s="940"/>
    </row>
    <row r="9" spans="1:6">
      <c r="A9" s="78">
        <v>4</v>
      </c>
      <c r="B9" s="41" t="s">
        <v>30</v>
      </c>
      <c r="C9" s="940"/>
    </row>
    <row r="10" spans="1:6">
      <c r="A10" s="78">
        <v>5</v>
      </c>
      <c r="B10" s="41" t="s">
        <v>31</v>
      </c>
      <c r="C10" s="940"/>
    </row>
    <row r="11" spans="1:6">
      <c r="A11" s="78">
        <v>6</v>
      </c>
      <c r="B11" s="48" t="s">
        <v>32</v>
      </c>
      <c r="C11" s="940">
        <f>'2. SOFP'!E67</f>
        <v>80629034.491737574</v>
      </c>
    </row>
    <row r="12" spans="1:6" s="4" customFormat="1">
      <c r="A12" s="78">
        <v>7</v>
      </c>
      <c r="B12" s="50" t="s">
        <v>33</v>
      </c>
      <c r="C12" s="943">
        <f>SUM(C13:C28)</f>
        <v>2674939.83</v>
      </c>
    </row>
    <row r="13" spans="1:6" s="4" customFormat="1">
      <c r="A13" s="78">
        <v>8</v>
      </c>
      <c r="B13" s="49" t="s">
        <v>34</v>
      </c>
      <c r="C13" s="151"/>
    </row>
    <row r="14" spans="1:6" s="4" customFormat="1" ht="25.5">
      <c r="A14" s="78">
        <v>9</v>
      </c>
      <c r="B14" s="42" t="s">
        <v>35</v>
      </c>
      <c r="C14" s="151"/>
    </row>
    <row r="15" spans="1:6" s="4" customFormat="1">
      <c r="A15" s="78">
        <v>10</v>
      </c>
      <c r="B15" s="43" t="s">
        <v>36</v>
      </c>
      <c r="C15" s="941">
        <f>'2. SOFP'!E27</f>
        <v>2674939.83</v>
      </c>
    </row>
    <row r="16" spans="1:6" s="4" customFormat="1">
      <c r="A16" s="78">
        <v>11</v>
      </c>
      <c r="B16" s="44" t="s">
        <v>37</v>
      </c>
      <c r="C16" s="151"/>
    </row>
    <row r="17" spans="1:3" s="4" customFormat="1">
      <c r="A17" s="78">
        <v>12</v>
      </c>
      <c r="B17" s="43" t="s">
        <v>38</v>
      </c>
      <c r="C17" s="151"/>
    </row>
    <row r="18" spans="1:3" s="4" customFormat="1">
      <c r="A18" s="78">
        <v>13</v>
      </c>
      <c r="B18" s="43" t="s">
        <v>39</v>
      </c>
      <c r="C18" s="151"/>
    </row>
    <row r="19" spans="1:3" s="4" customFormat="1">
      <c r="A19" s="78">
        <v>14</v>
      </c>
      <c r="B19" s="43" t="s">
        <v>40</v>
      </c>
      <c r="C19" s="151"/>
    </row>
    <row r="20" spans="1:3" s="4" customFormat="1" ht="25.5">
      <c r="A20" s="78">
        <v>15</v>
      </c>
      <c r="B20" s="43" t="s">
        <v>41</v>
      </c>
      <c r="C20" s="151"/>
    </row>
    <row r="21" spans="1:3" s="4" customFormat="1" ht="25.5">
      <c r="A21" s="78">
        <v>16</v>
      </c>
      <c r="B21" s="42" t="s">
        <v>42</v>
      </c>
      <c r="C21" s="151"/>
    </row>
    <row r="22" spans="1:3" s="4" customFormat="1">
      <c r="A22" s="78">
        <v>17</v>
      </c>
      <c r="B22" s="79" t="s">
        <v>43</v>
      </c>
      <c r="C22" s="151"/>
    </row>
    <row r="23" spans="1:3" s="4" customFormat="1">
      <c r="A23" s="78">
        <v>18</v>
      </c>
      <c r="B23" s="544" t="s">
        <v>694</v>
      </c>
      <c r="C23" s="323"/>
    </row>
    <row r="24" spans="1:3" s="4" customFormat="1" ht="25.5">
      <c r="A24" s="78">
        <v>19</v>
      </c>
      <c r="B24" s="42" t="s">
        <v>44</v>
      </c>
      <c r="C24" s="151"/>
    </row>
    <row r="25" spans="1:3" s="4" customFormat="1" ht="25.5">
      <c r="A25" s="78">
        <v>20</v>
      </c>
      <c r="B25" s="42" t="s">
        <v>45</v>
      </c>
      <c r="C25" s="151"/>
    </row>
    <row r="26" spans="1:3" s="4" customFormat="1" ht="25.5">
      <c r="A26" s="78">
        <v>21</v>
      </c>
      <c r="B26" s="45" t="s">
        <v>46</v>
      </c>
      <c r="C26" s="151"/>
    </row>
    <row r="27" spans="1:3" s="4" customFormat="1">
      <c r="A27" s="78">
        <v>22</v>
      </c>
      <c r="B27" s="45" t="s">
        <v>47</v>
      </c>
      <c r="C27" s="151"/>
    </row>
    <row r="28" spans="1:3" s="4" customFormat="1" ht="25.5">
      <c r="A28" s="78">
        <v>23</v>
      </c>
      <c r="B28" s="45" t="s">
        <v>48</v>
      </c>
      <c r="C28" s="151"/>
    </row>
    <row r="29" spans="1:3" s="4" customFormat="1">
      <c r="A29" s="78">
        <v>24</v>
      </c>
      <c r="B29" s="51" t="s">
        <v>22</v>
      </c>
      <c r="C29" s="943">
        <f>C6-C12</f>
        <v>147115694.66173756</v>
      </c>
    </row>
    <row r="30" spans="1:3" s="4" customFormat="1">
      <c r="A30" s="80"/>
      <c r="B30" s="46"/>
      <c r="C30" s="151"/>
    </row>
    <row r="31" spans="1:3" s="4" customFormat="1">
      <c r="A31" s="80">
        <v>25</v>
      </c>
      <c r="B31" s="51" t="s">
        <v>49</v>
      </c>
      <c r="C31" s="943">
        <f>C32+C35</f>
        <v>0</v>
      </c>
    </row>
    <row r="32" spans="1:3" s="4" customFormat="1">
      <c r="A32" s="80">
        <v>26</v>
      </c>
      <c r="B32" s="41" t="s">
        <v>50</v>
      </c>
      <c r="C32" s="944">
        <f>C33+C34</f>
        <v>0</v>
      </c>
    </row>
    <row r="33" spans="1:3" s="4" customFormat="1">
      <c r="A33" s="80">
        <v>27</v>
      </c>
      <c r="B33" s="99" t="s">
        <v>51</v>
      </c>
      <c r="C33" s="151"/>
    </row>
    <row r="34" spans="1:3" s="4" customFormat="1">
      <c r="A34" s="80">
        <v>28</v>
      </c>
      <c r="B34" s="99" t="s">
        <v>52</v>
      </c>
      <c r="C34" s="151"/>
    </row>
    <row r="35" spans="1:3" s="4" customFormat="1">
      <c r="A35" s="80">
        <v>29</v>
      </c>
      <c r="B35" s="41" t="s">
        <v>53</v>
      </c>
      <c r="C35" s="151"/>
    </row>
    <row r="36" spans="1:3" s="4" customFormat="1">
      <c r="A36" s="80">
        <v>30</v>
      </c>
      <c r="B36" s="51" t="s">
        <v>54</v>
      </c>
      <c r="C36" s="943">
        <f>SUM(C37:C41)</f>
        <v>0</v>
      </c>
    </row>
    <row r="37" spans="1:3" s="4" customFormat="1">
      <c r="A37" s="80">
        <v>31</v>
      </c>
      <c r="B37" s="42" t="s">
        <v>55</v>
      </c>
      <c r="C37" s="151"/>
    </row>
    <row r="38" spans="1:3" s="4" customFormat="1">
      <c r="A38" s="80">
        <v>32</v>
      </c>
      <c r="B38" s="43" t="s">
        <v>56</v>
      </c>
      <c r="C38" s="151"/>
    </row>
    <row r="39" spans="1:3" s="4" customFormat="1" ht="25.5">
      <c r="A39" s="80">
        <v>33</v>
      </c>
      <c r="B39" s="42" t="s">
        <v>57</v>
      </c>
      <c r="C39" s="151"/>
    </row>
    <row r="40" spans="1:3" s="4" customFormat="1" ht="25.5">
      <c r="A40" s="80">
        <v>34</v>
      </c>
      <c r="B40" s="42" t="s">
        <v>45</v>
      </c>
      <c r="C40" s="151"/>
    </row>
    <row r="41" spans="1:3" s="4" customFormat="1" ht="25.5">
      <c r="A41" s="80">
        <v>35</v>
      </c>
      <c r="B41" s="45" t="s">
        <v>58</v>
      </c>
      <c r="C41" s="151"/>
    </row>
    <row r="42" spans="1:3" s="4" customFormat="1">
      <c r="A42" s="80">
        <v>36</v>
      </c>
      <c r="B42" s="51" t="s">
        <v>23</v>
      </c>
      <c r="C42" s="943">
        <f>C31-C36</f>
        <v>0</v>
      </c>
    </row>
    <row r="43" spans="1:3" s="4" customFormat="1">
      <c r="A43" s="80"/>
      <c r="B43" s="46"/>
      <c r="C43" s="151"/>
    </row>
    <row r="44" spans="1:3" s="4" customFormat="1">
      <c r="A44" s="80">
        <v>37</v>
      </c>
      <c r="B44" s="52" t="s">
        <v>59</v>
      </c>
      <c r="C44" s="943">
        <f>SUM(C45:C47)</f>
        <v>0</v>
      </c>
    </row>
    <row r="45" spans="1:3" s="4" customFormat="1">
      <c r="A45" s="80">
        <v>38</v>
      </c>
      <c r="B45" s="41" t="s">
        <v>60</v>
      </c>
      <c r="C45" s="151"/>
    </row>
    <row r="46" spans="1:3" s="4" customFormat="1">
      <c r="A46" s="80">
        <v>39</v>
      </c>
      <c r="B46" s="41" t="s">
        <v>61</v>
      </c>
      <c r="C46" s="151"/>
    </row>
    <row r="47" spans="1:3" s="4" customFormat="1">
      <c r="A47" s="80">
        <v>40</v>
      </c>
      <c r="B47" s="545" t="s">
        <v>693</v>
      </c>
      <c r="C47" s="151"/>
    </row>
    <row r="48" spans="1:3" s="4" customFormat="1">
      <c r="A48" s="80">
        <v>41</v>
      </c>
      <c r="B48" s="52" t="s">
        <v>62</v>
      </c>
      <c r="C48" s="943">
        <f>SUM(C49:C52)</f>
        <v>0</v>
      </c>
    </row>
    <row r="49" spans="1:3" s="4" customFormat="1">
      <c r="A49" s="80">
        <v>42</v>
      </c>
      <c r="B49" s="42" t="s">
        <v>63</v>
      </c>
      <c r="C49" s="151"/>
    </row>
    <row r="50" spans="1:3" s="4" customFormat="1">
      <c r="A50" s="80">
        <v>43</v>
      </c>
      <c r="B50" s="43" t="s">
        <v>64</v>
      </c>
      <c r="C50" s="151"/>
    </row>
    <row r="51" spans="1:3" s="4" customFormat="1" ht="25.5">
      <c r="A51" s="80">
        <v>44</v>
      </c>
      <c r="B51" s="42" t="s">
        <v>65</v>
      </c>
      <c r="C51" s="151"/>
    </row>
    <row r="52" spans="1:3" s="4" customFormat="1" ht="25.5">
      <c r="A52" s="80">
        <v>45</v>
      </c>
      <c r="B52" s="42" t="s">
        <v>45</v>
      </c>
      <c r="C52" s="151"/>
    </row>
    <row r="53" spans="1:3" s="4" customFormat="1" ht="15.75" thickBot="1">
      <c r="A53" s="80">
        <v>46</v>
      </c>
      <c r="B53" s="81" t="s">
        <v>24</v>
      </c>
      <c r="C53" s="945">
        <f>C44-C48</f>
        <v>0</v>
      </c>
    </row>
    <row r="56" spans="1:3">
      <c r="B56" s="2" t="s">
        <v>130</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showGridLines="0" zoomScaleNormal="100" workbookViewId="0">
      <selection activeCell="B4" sqref="B4"/>
    </sheetView>
  </sheetViews>
  <sheetFormatPr defaultColWidth="9.140625" defaultRowHeight="12.75"/>
  <cols>
    <col min="1" max="1" width="10.85546875" style="183" bestFit="1" customWidth="1"/>
    <col min="2" max="2" width="59" style="183" customWidth="1"/>
    <col min="3" max="3" width="16.85546875" style="183" bestFit="1" customWidth="1"/>
    <col min="4" max="4" width="22.140625" style="183" customWidth="1"/>
    <col min="5" max="16384" width="9.140625" style="183"/>
  </cols>
  <sheetData>
    <row r="1" spans="1:4" ht="15">
      <c r="A1" s="17" t="s">
        <v>97</v>
      </c>
      <c r="B1" s="783" t="str">
        <f>Info!C2</f>
        <v>სს იშბანკი საქართველო</v>
      </c>
    </row>
    <row r="2" spans="1:4" s="21" customFormat="1" ht="15.75" customHeight="1">
      <c r="A2" s="21" t="s">
        <v>98</v>
      </c>
      <c r="B2" s="784">
        <f>'1. key ratios'!B2</f>
        <v>45747</v>
      </c>
    </row>
    <row r="3" spans="1:4" s="21" customFormat="1" ht="15.75" customHeight="1"/>
    <row r="4" spans="1:4" ht="13.5" thickBot="1">
      <c r="A4" s="184" t="s">
        <v>345</v>
      </c>
      <c r="B4" s="213" t="s">
        <v>346</v>
      </c>
    </row>
    <row r="5" spans="1:4" s="214" customFormat="1">
      <c r="A5" s="621" t="s">
        <v>347</v>
      </c>
      <c r="B5" s="622"/>
      <c r="C5" s="203" t="s">
        <v>348</v>
      </c>
      <c r="D5" s="204" t="s">
        <v>349</v>
      </c>
    </row>
    <row r="6" spans="1:4" s="215" customFormat="1">
      <c r="A6" s="205">
        <v>1</v>
      </c>
      <c r="B6" s="206" t="s">
        <v>350</v>
      </c>
      <c r="C6" s="206"/>
      <c r="D6" s="207"/>
    </row>
    <row r="7" spans="1:4" s="215" customFormat="1">
      <c r="A7" s="208" t="s">
        <v>351</v>
      </c>
      <c r="B7" s="209" t="s">
        <v>352</v>
      </c>
      <c r="C7" s="232">
        <v>4.4999999999999998E-2</v>
      </c>
      <c r="D7" s="946">
        <f>C7*'5. RWA'!$C$13</f>
        <v>25139582.97190639</v>
      </c>
    </row>
    <row r="8" spans="1:4" s="215" customFormat="1">
      <c r="A8" s="208" t="s">
        <v>353</v>
      </c>
      <c r="B8" s="209" t="s">
        <v>354</v>
      </c>
      <c r="C8" s="233">
        <v>0.06</v>
      </c>
      <c r="D8" s="946">
        <f>C8*'5. RWA'!$C$13</f>
        <v>33519443.962541856</v>
      </c>
    </row>
    <row r="9" spans="1:4" s="215" customFormat="1">
      <c r="A9" s="208" t="s">
        <v>355</v>
      </c>
      <c r="B9" s="209" t="s">
        <v>356</v>
      </c>
      <c r="C9" s="233">
        <v>0.08</v>
      </c>
      <c r="D9" s="946">
        <f>C9*'5. RWA'!$C$13</f>
        <v>44692591.950055808</v>
      </c>
    </row>
    <row r="10" spans="1:4" s="215" customFormat="1">
      <c r="A10" s="205" t="s">
        <v>357</v>
      </c>
      <c r="B10" s="206" t="s">
        <v>358</v>
      </c>
      <c r="C10" s="234"/>
      <c r="D10" s="947"/>
    </row>
    <row r="11" spans="1:4" s="216" customFormat="1">
      <c r="A11" s="210" t="s">
        <v>359</v>
      </c>
      <c r="B11" s="211" t="s">
        <v>997</v>
      </c>
      <c r="C11" s="235">
        <v>2.5000000000000001E-2</v>
      </c>
      <c r="D11" s="948">
        <f>C11*'5. RWA'!$C$13</f>
        <v>13966434.984392442</v>
      </c>
    </row>
    <row r="12" spans="1:4" s="216" customFormat="1">
      <c r="A12" s="210" t="s">
        <v>360</v>
      </c>
      <c r="B12" s="211" t="s">
        <v>361</v>
      </c>
      <c r="C12" s="235">
        <v>5.0000000000000001E-3</v>
      </c>
      <c r="D12" s="948">
        <f>C12*'5. RWA'!$C$13</f>
        <v>2793286.996878488</v>
      </c>
    </row>
    <row r="13" spans="1:4" s="216" customFormat="1">
      <c r="A13" s="210" t="s">
        <v>362</v>
      </c>
      <c r="B13" s="211" t="s">
        <v>363</v>
      </c>
      <c r="C13" s="235"/>
      <c r="D13" s="948">
        <f>C13*'5. RWA'!$C$13</f>
        <v>0</v>
      </c>
    </row>
    <row r="14" spans="1:4" s="215" customFormat="1">
      <c r="A14" s="205" t="s">
        <v>364</v>
      </c>
      <c r="B14" s="206" t="s">
        <v>409</v>
      </c>
      <c r="C14" s="236"/>
      <c r="D14" s="947"/>
    </row>
    <row r="15" spans="1:4" s="215" customFormat="1">
      <c r="A15" s="223" t="s">
        <v>367</v>
      </c>
      <c r="B15" s="211" t="s">
        <v>410</v>
      </c>
      <c r="C15" s="235">
        <v>7.4852896326681809E-2</v>
      </c>
      <c r="D15" s="948">
        <f>C15*'5. RWA'!$C$13</f>
        <v>41817124.397602767</v>
      </c>
    </row>
    <row r="16" spans="1:4" s="215" customFormat="1">
      <c r="A16" s="223" t="s">
        <v>368</v>
      </c>
      <c r="B16" s="211" t="s">
        <v>370</v>
      </c>
      <c r="C16" s="235">
        <v>9.5715710337365936E-2</v>
      </c>
      <c r="D16" s="948">
        <f>C16*'5. RWA'!$C$13</f>
        <v>53472289.816470429</v>
      </c>
    </row>
    <row r="17" spans="1:6" s="215" customFormat="1">
      <c r="A17" s="223" t="s">
        <v>369</v>
      </c>
      <c r="B17" s="211" t="s">
        <v>407</v>
      </c>
      <c r="C17" s="235">
        <v>0.12316678140405558</v>
      </c>
      <c r="D17" s="948">
        <f>C17*'5. RWA'!$C$13</f>
        <v>68808033.788664728</v>
      </c>
    </row>
    <row r="18" spans="1:6" s="214" customFormat="1">
      <c r="A18" s="623" t="s">
        <v>408</v>
      </c>
      <c r="B18" s="624"/>
      <c r="C18" s="237" t="s">
        <v>348</v>
      </c>
      <c r="D18" s="949" t="s">
        <v>349</v>
      </c>
    </row>
    <row r="19" spans="1:6" s="215" customFormat="1">
      <c r="A19" s="212">
        <v>4</v>
      </c>
      <c r="B19" s="211" t="s">
        <v>22</v>
      </c>
      <c r="C19" s="235">
        <f>C7+C11+C12+C13+C15</f>
        <v>0.14985289632668181</v>
      </c>
      <c r="D19" s="946">
        <f>C19*'5. RWA'!$C$13</f>
        <v>83716429.350780085</v>
      </c>
    </row>
    <row r="20" spans="1:6" s="215" customFormat="1">
      <c r="A20" s="212">
        <v>5</v>
      </c>
      <c r="B20" s="211" t="s">
        <v>75</v>
      </c>
      <c r="C20" s="235">
        <f>C8+C11+C12+C13+C16</f>
        <v>0.18571571033736595</v>
      </c>
      <c r="D20" s="946">
        <f>C20*'5. RWA'!$C$13</f>
        <v>103751455.76028322</v>
      </c>
    </row>
    <row r="21" spans="1:6" s="215" customFormat="1" ht="13.5" thickBot="1">
      <c r="A21" s="217" t="s">
        <v>365</v>
      </c>
      <c r="B21" s="218" t="s">
        <v>74</v>
      </c>
      <c r="C21" s="238">
        <f>C9+C11+C12+C13+C17</f>
        <v>0.23316678140405561</v>
      </c>
      <c r="D21" s="950">
        <f>C21*'5. RWA'!$C$13</f>
        <v>130260347.71999148</v>
      </c>
    </row>
    <row r="22" spans="1:6">
      <c r="F22" s="184"/>
    </row>
    <row r="23" spans="1:6">
      <c r="B23" s="23"/>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27"/>
  <sheetViews>
    <sheetView showGridLines="0" zoomScaleNormal="100" workbookViewId="0">
      <selection activeCell="A5" sqref="A5"/>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514" t="s">
        <v>97</v>
      </c>
      <c r="B1" s="783" t="str">
        <f>Info!C2</f>
        <v>სს იშბანკი საქართველო</v>
      </c>
    </row>
    <row r="2" spans="1:2">
      <c r="A2" s="515" t="s">
        <v>98</v>
      </c>
      <c r="B2" s="784">
        <f>'1. key ratios'!B2</f>
        <v>45747</v>
      </c>
    </row>
    <row r="3" spans="1:2">
      <c r="A3" s="516" t="s">
        <v>948</v>
      </c>
      <c r="B3" s="510" t="s">
        <v>919</v>
      </c>
    </row>
    <row r="4" spans="1:2" ht="15.75" thickBot="1"/>
    <row r="5" spans="1:2">
      <c r="A5" s="521"/>
      <c r="B5" s="522" t="s">
        <v>920</v>
      </c>
    </row>
    <row r="6" spans="1:2">
      <c r="A6" s="517" t="s">
        <v>921</v>
      </c>
      <c r="B6" s="523">
        <f>SUM(B7,B11)</f>
        <v>147115694.66173756</v>
      </c>
    </row>
    <row r="7" spans="1:2">
      <c r="A7" s="517" t="s">
        <v>954</v>
      </c>
      <c r="B7" s="523">
        <f>SUM(B8:B10)</f>
        <v>147115694.66173756</v>
      </c>
    </row>
    <row r="8" spans="1:2">
      <c r="A8" s="518" t="s">
        <v>922</v>
      </c>
      <c r="B8" s="524">
        <f>'9. Capital'!C29</f>
        <v>147115694.66173756</v>
      </c>
    </row>
    <row r="9" spans="1:2">
      <c r="A9" s="518" t="s">
        <v>923</v>
      </c>
      <c r="B9" s="524">
        <f>'9. Capital'!C42</f>
        <v>0</v>
      </c>
    </row>
    <row r="10" spans="1:2">
      <c r="A10" s="518" t="s">
        <v>924</v>
      </c>
      <c r="B10" s="524">
        <f>'9. Capital'!C53</f>
        <v>0</v>
      </c>
    </row>
    <row r="11" spans="1:2">
      <c r="A11" s="517" t="s">
        <v>925</v>
      </c>
      <c r="B11" s="523">
        <f>SUM(B12:B13)</f>
        <v>0</v>
      </c>
    </row>
    <row r="12" spans="1:2">
      <c r="A12" s="518" t="s">
        <v>955</v>
      </c>
      <c r="B12" s="524"/>
    </row>
    <row r="13" spans="1:2">
      <c r="A13" s="518" t="s">
        <v>956</v>
      </c>
      <c r="B13" s="524"/>
    </row>
    <row r="14" spans="1:2">
      <c r="A14" s="517" t="s">
        <v>926</v>
      </c>
      <c r="B14" s="523">
        <f>SUM(B15:B16)</f>
        <v>147115694.66173756</v>
      </c>
    </row>
    <row r="15" spans="1:2">
      <c r="A15" s="519" t="s">
        <v>927</v>
      </c>
      <c r="B15" s="524"/>
    </row>
    <row r="16" spans="1:2">
      <c r="A16" s="519" t="s">
        <v>74</v>
      </c>
      <c r="B16" s="524">
        <f>B7</f>
        <v>147115694.66173756</v>
      </c>
    </row>
    <row r="17" spans="1:5">
      <c r="A17" s="517" t="s">
        <v>928</v>
      </c>
      <c r="B17" s="523"/>
    </row>
    <row r="18" spans="1:5">
      <c r="A18" s="519" t="s">
        <v>929</v>
      </c>
      <c r="B18" s="524">
        <f>'5. RWA'!C13</f>
        <v>558657399.37569761</v>
      </c>
    </row>
    <row r="19" spans="1:5">
      <c r="A19" s="519" t="s">
        <v>930</v>
      </c>
      <c r="B19" s="524">
        <f>'15.1. LR'!C36</f>
        <v>0</v>
      </c>
    </row>
    <row r="20" spans="1:5">
      <c r="A20" s="517" t="s">
        <v>931</v>
      </c>
      <c r="B20" s="523"/>
    </row>
    <row r="21" spans="1:5">
      <c r="A21" s="520" t="s">
        <v>932</v>
      </c>
      <c r="B21" s="525">
        <f>IFERROR(B6/B18,0)</f>
        <v>0.2633379506404821</v>
      </c>
    </row>
    <row r="22" spans="1:5">
      <c r="A22" s="520" t="s">
        <v>933</v>
      </c>
      <c r="B22" s="525">
        <f>IFERROR(B6/B19,0)</f>
        <v>0</v>
      </c>
    </row>
    <row r="23" spans="1:5" ht="15.75" thickBot="1">
      <c r="A23" s="526" t="s">
        <v>934</v>
      </c>
      <c r="B23" s="527">
        <f>IFERROR(B6/B14,0)</f>
        <v>1</v>
      </c>
    </row>
    <row r="24" spans="1:5" ht="16.5" customHeight="1">
      <c r="A24" s="513" t="s">
        <v>957</v>
      </c>
      <c r="B24" s="511"/>
      <c r="C24" s="511"/>
      <c r="D24" s="511"/>
      <c r="E24" s="511"/>
    </row>
    <row r="25" spans="1:5" ht="25.5" customHeight="1">
      <c r="A25" s="513" t="s">
        <v>958</v>
      </c>
    </row>
    <row r="26" spans="1:5" ht="57" customHeight="1">
      <c r="A26" s="513" t="s">
        <v>959</v>
      </c>
    </row>
    <row r="27" spans="1:5">
      <c r="A27" s="512"/>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Normal="100" workbookViewId="0">
      <selection activeCell="A7" sqref="A7:A8"/>
    </sheetView>
  </sheetViews>
  <sheetFormatPr defaultRowHeight="15"/>
  <cols>
    <col min="1" max="1" width="82" customWidth="1"/>
    <col min="2" max="2" width="28.140625" bestFit="1" customWidth="1"/>
    <col min="3" max="6" width="28.140625" customWidth="1"/>
  </cols>
  <sheetData>
    <row r="1" spans="1:6">
      <c r="A1" s="514" t="s">
        <v>97</v>
      </c>
      <c r="B1" s="783" t="str">
        <f>Info!C2</f>
        <v>სს იშბანკი საქართველო</v>
      </c>
      <c r="C1" s="183"/>
    </row>
    <row r="2" spans="1:6">
      <c r="A2" s="515" t="s">
        <v>98</v>
      </c>
      <c r="B2" s="784">
        <f>'1. key ratios'!B2</f>
        <v>45747</v>
      </c>
      <c r="C2" s="183"/>
    </row>
    <row r="3" spans="1:6">
      <c r="A3" s="516" t="s">
        <v>949</v>
      </c>
      <c r="B3" s="510" t="s">
        <v>919</v>
      </c>
      <c r="C3" s="183"/>
    </row>
    <row r="5" spans="1:6">
      <c r="A5" s="512"/>
    </row>
    <row r="6" spans="1:6" ht="15.75" thickBot="1">
      <c r="A6" s="528"/>
      <c r="B6" s="528"/>
      <c r="C6" s="528"/>
      <c r="D6" s="528"/>
      <c r="E6" s="528"/>
      <c r="F6" s="528"/>
    </row>
    <row r="7" spans="1:6">
      <c r="A7" s="625"/>
      <c r="B7" s="627" t="s">
        <v>935</v>
      </c>
      <c r="C7" s="627"/>
      <c r="D7" s="627"/>
      <c r="E7" s="627"/>
      <c r="F7" s="628" t="s">
        <v>936</v>
      </c>
    </row>
    <row r="8" spans="1:6" ht="25.5">
      <c r="A8" s="626"/>
      <c r="B8" s="529" t="s">
        <v>937</v>
      </c>
      <c r="C8" s="529" t="s">
        <v>938</v>
      </c>
      <c r="D8" s="529" t="s">
        <v>939</v>
      </c>
      <c r="E8" s="529" t="s">
        <v>940</v>
      </c>
      <c r="F8" s="629"/>
    </row>
    <row r="9" spans="1:6">
      <c r="A9" s="530" t="s">
        <v>941</v>
      </c>
      <c r="B9" s="531">
        <f>B13+B17</f>
        <v>0</v>
      </c>
      <c r="C9" s="531">
        <f t="shared" ref="C9:E9" si="0">C13+C17</f>
        <v>0</v>
      </c>
      <c r="D9" s="531">
        <f t="shared" si="0"/>
        <v>0</v>
      </c>
      <c r="E9" s="531">
        <f t="shared" si="0"/>
        <v>0</v>
      </c>
      <c r="F9" s="532">
        <f>F13+F17</f>
        <v>0</v>
      </c>
    </row>
    <row r="10" spans="1:6">
      <c r="A10" s="533" t="s">
        <v>942</v>
      </c>
      <c r="B10" s="534">
        <f t="shared" ref="B10:E12" si="1">B14+B18</f>
        <v>0</v>
      </c>
      <c r="C10" s="534">
        <f t="shared" si="1"/>
        <v>0</v>
      </c>
      <c r="D10" s="534">
        <f t="shared" si="1"/>
        <v>0</v>
      </c>
      <c r="E10" s="534">
        <f t="shared" si="1"/>
        <v>0</v>
      </c>
      <c r="F10" s="532">
        <f>SUM(B10:E10)</f>
        <v>0</v>
      </c>
    </row>
    <row r="11" spans="1:6">
      <c r="A11" s="533" t="s">
        <v>943</v>
      </c>
      <c r="B11" s="534">
        <f t="shared" si="1"/>
        <v>0</v>
      </c>
      <c r="C11" s="534">
        <f t="shared" si="1"/>
        <v>0</v>
      </c>
      <c r="D11" s="534">
        <f t="shared" si="1"/>
        <v>0</v>
      </c>
      <c r="E11" s="534">
        <f t="shared" si="1"/>
        <v>0</v>
      </c>
      <c r="F11" s="532">
        <f t="shared" ref="F11:F12" si="2">SUM(B11:E11)</f>
        <v>0</v>
      </c>
    </row>
    <row r="12" spans="1:6">
      <c r="A12" s="535" t="s">
        <v>944</v>
      </c>
      <c r="B12" s="534">
        <f t="shared" si="1"/>
        <v>0</v>
      </c>
      <c r="C12" s="534">
        <f t="shared" si="1"/>
        <v>0</v>
      </c>
      <c r="D12" s="534">
        <f t="shared" si="1"/>
        <v>0</v>
      </c>
      <c r="E12" s="534">
        <f t="shared" si="1"/>
        <v>0</v>
      </c>
      <c r="F12" s="532">
        <f t="shared" si="2"/>
        <v>0</v>
      </c>
    </row>
    <row r="13" spans="1:6">
      <c r="A13" s="536" t="s">
        <v>945</v>
      </c>
      <c r="B13" s="537"/>
      <c r="C13" s="537"/>
      <c r="D13" s="537"/>
      <c r="E13" s="537"/>
      <c r="F13" s="538"/>
    </row>
    <row r="14" spans="1:6">
      <c r="A14" s="533" t="s">
        <v>942</v>
      </c>
      <c r="B14" s="539"/>
      <c r="C14" s="539"/>
      <c r="D14" s="539"/>
      <c r="E14" s="539"/>
      <c r="F14" s="540"/>
    </row>
    <row r="15" spans="1:6">
      <c r="A15" s="533" t="s">
        <v>943</v>
      </c>
      <c r="B15" s="539"/>
      <c r="C15" s="539"/>
      <c r="D15" s="539"/>
      <c r="E15" s="539"/>
      <c r="F15" s="540"/>
    </row>
    <row r="16" spans="1:6">
      <c r="A16" s="535" t="s">
        <v>944</v>
      </c>
      <c r="B16" s="539"/>
      <c r="C16" s="539"/>
      <c r="D16" s="539"/>
      <c r="E16" s="539"/>
      <c r="F16" s="540"/>
    </row>
    <row r="17" spans="1:6">
      <c r="A17" s="536" t="s">
        <v>925</v>
      </c>
      <c r="B17" s="537"/>
      <c r="C17" s="537"/>
      <c r="D17" s="537"/>
      <c r="E17" s="537"/>
      <c r="F17" s="540"/>
    </row>
    <row r="18" spans="1:6">
      <c r="A18" s="533" t="s">
        <v>942</v>
      </c>
      <c r="B18" s="539"/>
      <c r="C18" s="539"/>
      <c r="D18" s="539"/>
      <c r="E18" s="539"/>
      <c r="F18" s="540"/>
    </row>
    <row r="19" spans="1:6">
      <c r="A19" s="533" t="s">
        <v>943</v>
      </c>
      <c r="B19" s="539"/>
      <c r="C19" s="539"/>
      <c r="D19" s="539"/>
      <c r="E19" s="539"/>
      <c r="F19" s="540"/>
    </row>
    <row r="20" spans="1:6" ht="15.75" thickBot="1">
      <c r="A20" s="541" t="s">
        <v>944</v>
      </c>
      <c r="B20" s="542"/>
      <c r="C20" s="542"/>
      <c r="D20" s="542"/>
      <c r="E20" s="542"/>
      <c r="F20" s="543"/>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showGridLines="0" zoomScale="80" zoomScaleNormal="80" workbookViewId="0">
      <pane xSplit="1" ySplit="5" topLeftCell="B6" activePane="bottomRight" state="frozen"/>
      <selection pane="topRight" activeCell="B1" sqref="B1"/>
      <selection pane="bottomLeft" activeCell="A5" sqref="A5"/>
      <selection pane="bottomRight" activeCell="B4" sqref="B4"/>
    </sheetView>
  </sheetViews>
  <sheetFormatPr defaultRowHeight="15.75"/>
  <cols>
    <col min="1" max="1" width="10.85546875" style="38" customWidth="1"/>
    <col min="2" max="2" width="91.85546875" style="38" customWidth="1"/>
    <col min="3" max="3" width="53.140625" style="38" customWidth="1"/>
    <col min="4" max="4" width="32.140625" style="38" customWidth="1"/>
    <col min="5" max="5" width="9.42578125" customWidth="1"/>
  </cols>
  <sheetData>
    <row r="1" spans="1:6">
      <c r="A1" s="17" t="s">
        <v>97</v>
      </c>
      <c r="B1" s="783" t="str">
        <f>Info!C2</f>
        <v>სს იშბანკი საქართველო</v>
      </c>
      <c r="E1" s="2"/>
      <c r="F1" s="2"/>
    </row>
    <row r="2" spans="1:6" s="21" customFormat="1" ht="15.75" customHeight="1">
      <c r="A2" s="21" t="s">
        <v>98</v>
      </c>
      <c r="B2" s="784">
        <f>'1. key ratios'!B2</f>
        <v>45747</v>
      </c>
    </row>
    <row r="3" spans="1:6" s="21" customFormat="1" ht="15.75" customHeight="1">
      <c r="A3" s="25"/>
    </row>
    <row r="4" spans="1:6" s="21" customFormat="1" ht="15.75" customHeight="1" thickBot="1">
      <c r="A4" s="21" t="s">
        <v>247</v>
      </c>
      <c r="B4" s="122" t="s">
        <v>161</v>
      </c>
      <c r="D4" s="124" t="s">
        <v>76</v>
      </c>
    </row>
    <row r="5" spans="1:6" ht="25.5">
      <c r="A5" s="86" t="s">
        <v>25</v>
      </c>
      <c r="B5" s="87" t="s">
        <v>133</v>
      </c>
      <c r="C5" s="602" t="s">
        <v>826</v>
      </c>
      <c r="D5" s="123" t="s">
        <v>162</v>
      </c>
    </row>
    <row r="6" spans="1:6">
      <c r="A6" s="859">
        <v>1</v>
      </c>
      <c r="B6" s="860" t="s">
        <v>811</v>
      </c>
      <c r="C6" s="951">
        <f>SUM(C7:C9)</f>
        <v>86249860.759325922</v>
      </c>
      <c r="D6" s="969"/>
      <c r="E6" s="7"/>
    </row>
    <row r="7" spans="1:6">
      <c r="A7" s="859">
        <v>1.1000000000000001</v>
      </c>
      <c r="B7" s="861" t="s">
        <v>85</v>
      </c>
      <c r="C7" s="952">
        <f>'7. LI1'!C9</f>
        <v>818773.49450000003</v>
      </c>
      <c r="D7" s="82"/>
      <c r="E7" s="7"/>
    </row>
    <row r="8" spans="1:6">
      <c r="A8" s="859">
        <v>1.2</v>
      </c>
      <c r="B8" s="861" t="s">
        <v>86</v>
      </c>
      <c r="C8" s="952">
        <f>'7. LI1'!C10</f>
        <v>52068101.494819775</v>
      </c>
      <c r="D8" s="82"/>
      <c r="E8" s="7"/>
    </row>
    <row r="9" spans="1:6">
      <c r="A9" s="859">
        <v>1.3</v>
      </c>
      <c r="B9" s="861" t="s">
        <v>87</v>
      </c>
      <c r="C9" s="953">
        <f>'7. LI1'!C11</f>
        <v>33362985.770006157</v>
      </c>
      <c r="D9" s="82"/>
      <c r="E9" s="7"/>
    </row>
    <row r="10" spans="1:6">
      <c r="A10" s="859">
        <v>2</v>
      </c>
      <c r="B10" s="862" t="s">
        <v>698</v>
      </c>
      <c r="C10" s="953">
        <f>'7. LI1'!C12</f>
        <v>0</v>
      </c>
      <c r="D10" s="82"/>
      <c r="E10" s="7"/>
    </row>
    <row r="11" spans="1:6">
      <c r="A11" s="859">
        <v>2.1</v>
      </c>
      <c r="B11" s="863" t="s">
        <v>699</v>
      </c>
      <c r="C11" s="954">
        <f>'7. LI1'!C13</f>
        <v>0</v>
      </c>
      <c r="D11" s="83"/>
      <c r="E11" s="8"/>
    </row>
    <row r="12" spans="1:6" ht="23.45" customHeight="1">
      <c r="A12" s="859">
        <v>3</v>
      </c>
      <c r="B12" s="328" t="s">
        <v>700</v>
      </c>
      <c r="C12" s="955">
        <f>'7. LI1'!C14</f>
        <v>0</v>
      </c>
      <c r="D12" s="83"/>
      <c r="E12" s="8"/>
    </row>
    <row r="13" spans="1:6" ht="23.1" customHeight="1">
      <c r="A13" s="859">
        <v>4</v>
      </c>
      <c r="B13" s="329" t="s">
        <v>701</v>
      </c>
      <c r="C13" s="955">
        <f>'7. LI1'!C15</f>
        <v>0</v>
      </c>
      <c r="D13" s="83"/>
      <c r="E13" s="8"/>
    </row>
    <row r="14" spans="1:6">
      <c r="A14" s="859">
        <v>5</v>
      </c>
      <c r="B14" s="329" t="s">
        <v>702</v>
      </c>
      <c r="C14" s="955">
        <f>SUM(C15:C17)</f>
        <v>0</v>
      </c>
      <c r="D14" s="83"/>
      <c r="E14" s="8"/>
    </row>
    <row r="15" spans="1:6">
      <c r="A15" s="859">
        <v>5.0999999999999996</v>
      </c>
      <c r="B15" s="330" t="s">
        <v>703</v>
      </c>
      <c r="C15" s="953">
        <f>'7. LI1'!C17</f>
        <v>0</v>
      </c>
      <c r="D15" s="83"/>
      <c r="E15" s="7"/>
    </row>
    <row r="16" spans="1:6">
      <c r="A16" s="859">
        <v>5.2</v>
      </c>
      <c r="B16" s="330" t="s">
        <v>538</v>
      </c>
      <c r="C16" s="953">
        <f>'7. LI1'!C18</f>
        <v>0</v>
      </c>
      <c r="D16" s="82"/>
      <c r="E16" s="7"/>
    </row>
    <row r="17" spans="1:5">
      <c r="A17" s="859">
        <v>5.3</v>
      </c>
      <c r="B17" s="330" t="s">
        <v>704</v>
      </c>
      <c r="C17" s="953">
        <f>'7. LI1'!C19</f>
        <v>0</v>
      </c>
      <c r="D17" s="82"/>
      <c r="E17" s="7"/>
    </row>
    <row r="18" spans="1:5">
      <c r="A18" s="859">
        <v>6</v>
      </c>
      <c r="B18" s="328" t="s">
        <v>705</v>
      </c>
      <c r="C18" s="956">
        <f>SUM(C19:C20)</f>
        <v>367947959.46700925</v>
      </c>
      <c r="D18" s="82"/>
      <c r="E18" s="7"/>
    </row>
    <row r="19" spans="1:5">
      <c r="A19" s="859">
        <v>6.1</v>
      </c>
      <c r="B19" s="330" t="s">
        <v>538</v>
      </c>
      <c r="C19" s="957">
        <f>'7. LI1'!C21</f>
        <v>47407441.048140004</v>
      </c>
      <c r="D19" s="82"/>
      <c r="E19" s="7"/>
    </row>
    <row r="20" spans="1:5">
      <c r="A20" s="859">
        <v>6.2</v>
      </c>
      <c r="B20" s="330" t="s">
        <v>704</v>
      </c>
      <c r="C20" s="957">
        <f>'7. LI1'!C22</f>
        <v>320540518.41886926</v>
      </c>
      <c r="D20" s="82"/>
      <c r="E20" s="7"/>
    </row>
    <row r="21" spans="1:5">
      <c r="A21" s="859">
        <v>7</v>
      </c>
      <c r="B21" s="331" t="s">
        <v>706</v>
      </c>
      <c r="C21" s="956">
        <f>'7. LI1'!C23</f>
        <v>0</v>
      </c>
      <c r="D21" s="82"/>
      <c r="E21" s="7"/>
    </row>
    <row r="22" spans="1:5">
      <c r="A22" s="859">
        <v>8</v>
      </c>
      <c r="B22" s="332" t="s">
        <v>707</v>
      </c>
      <c r="C22" s="956">
        <f>'7. LI1'!C24</f>
        <v>0</v>
      </c>
      <c r="D22" s="82"/>
      <c r="E22" s="7"/>
    </row>
    <row r="23" spans="1:5">
      <c r="A23" s="859">
        <v>9</v>
      </c>
      <c r="B23" s="329" t="s">
        <v>708</v>
      </c>
      <c r="C23" s="956">
        <f>SUM(C24:C25)</f>
        <v>6517159.959999999</v>
      </c>
      <c r="D23" s="358"/>
      <c r="E23" s="7"/>
    </row>
    <row r="24" spans="1:5">
      <c r="A24" s="859">
        <v>9.1</v>
      </c>
      <c r="B24" s="333" t="s">
        <v>709</v>
      </c>
      <c r="C24" s="958">
        <f>'7. LI1'!C26</f>
        <v>6517159.959999999</v>
      </c>
      <c r="D24" s="84"/>
      <c r="E24" s="7"/>
    </row>
    <row r="25" spans="1:5">
      <c r="A25" s="859">
        <v>9.1999999999999993</v>
      </c>
      <c r="B25" s="333" t="s">
        <v>710</v>
      </c>
      <c r="C25" s="958">
        <f>'7. LI1'!C27</f>
        <v>0</v>
      </c>
      <c r="D25" s="357"/>
      <c r="E25" s="6"/>
    </row>
    <row r="26" spans="1:5">
      <c r="A26" s="859">
        <v>10</v>
      </c>
      <c r="B26" s="329" t="s">
        <v>36</v>
      </c>
      <c r="C26" s="959">
        <f>SUM(C27:C28)</f>
        <v>2674939.83</v>
      </c>
      <c r="D26" s="507" t="s">
        <v>903</v>
      </c>
      <c r="E26" s="7"/>
    </row>
    <row r="27" spans="1:5">
      <c r="A27" s="859">
        <v>10.1</v>
      </c>
      <c r="B27" s="333" t="s">
        <v>711</v>
      </c>
      <c r="C27" s="958">
        <f>'7. LI1'!C29</f>
        <v>0</v>
      </c>
      <c r="D27" s="82"/>
      <c r="E27" s="7"/>
    </row>
    <row r="28" spans="1:5">
      <c r="A28" s="859">
        <v>10.199999999999999</v>
      </c>
      <c r="B28" s="333" t="s">
        <v>712</v>
      </c>
      <c r="C28" s="958">
        <f>'7. LI1'!C30</f>
        <v>2674939.83</v>
      </c>
      <c r="D28" s="82"/>
      <c r="E28" s="7"/>
    </row>
    <row r="29" spans="1:5">
      <c r="A29" s="859">
        <v>11</v>
      </c>
      <c r="B29" s="329" t="s">
        <v>713</v>
      </c>
      <c r="C29" s="960">
        <f>SUM(C30:C31)</f>
        <v>3805017.28</v>
      </c>
      <c r="D29" s="82"/>
      <c r="E29" s="7"/>
    </row>
    <row r="30" spans="1:5">
      <c r="A30" s="859">
        <v>11.1</v>
      </c>
      <c r="B30" s="333" t="s">
        <v>714</v>
      </c>
      <c r="C30" s="958">
        <f>'7. LI1'!C32</f>
        <v>3805017.28</v>
      </c>
      <c r="D30" s="82"/>
      <c r="E30" s="7"/>
    </row>
    <row r="31" spans="1:5">
      <c r="A31" s="859">
        <v>11.2</v>
      </c>
      <c r="B31" s="333" t="s">
        <v>715</v>
      </c>
      <c r="C31" s="958">
        <f>'7. LI1'!C33</f>
        <v>0</v>
      </c>
      <c r="D31" s="82"/>
      <c r="E31" s="7"/>
    </row>
    <row r="32" spans="1:5">
      <c r="A32" s="859">
        <v>13</v>
      </c>
      <c r="B32" s="329" t="s">
        <v>88</v>
      </c>
      <c r="C32" s="960">
        <f>'7. LI1'!C34</f>
        <v>4485046.6767859999</v>
      </c>
      <c r="D32" s="82"/>
      <c r="E32" s="7"/>
    </row>
    <row r="33" spans="1:5">
      <c r="A33" s="859">
        <v>13.1</v>
      </c>
      <c r="B33" s="864" t="s">
        <v>716</v>
      </c>
      <c r="C33" s="952">
        <f>'7. LI1'!C35</f>
        <v>1349093.18</v>
      </c>
      <c r="D33" s="82"/>
      <c r="E33" s="7"/>
    </row>
    <row r="34" spans="1:5">
      <c r="A34" s="859">
        <v>13.2</v>
      </c>
      <c r="B34" s="864" t="s">
        <v>717</v>
      </c>
      <c r="C34" s="961"/>
      <c r="D34" s="84"/>
      <c r="E34" s="7"/>
    </row>
    <row r="35" spans="1:5">
      <c r="A35" s="859">
        <v>14</v>
      </c>
      <c r="B35" s="550" t="s">
        <v>718</v>
      </c>
      <c r="C35" s="962">
        <f>SUM(C6,C10,C12,C13,C14,C18,C21,C22,C23,C26,C29,C32)</f>
        <v>471679983.97312111</v>
      </c>
      <c r="D35" s="84"/>
      <c r="E35" s="7"/>
    </row>
    <row r="36" spans="1:5">
      <c r="A36" s="859"/>
      <c r="B36" s="865" t="s">
        <v>93</v>
      </c>
      <c r="C36" s="963"/>
      <c r="D36" s="85"/>
      <c r="E36" s="7"/>
    </row>
    <row r="37" spans="1:5">
      <c r="A37" s="859">
        <v>15</v>
      </c>
      <c r="B37" s="335" t="s">
        <v>719</v>
      </c>
      <c r="C37" s="964">
        <f>'2. SOFP'!E38</f>
        <v>0</v>
      </c>
      <c r="D37" s="357"/>
      <c r="E37" s="6"/>
    </row>
    <row r="38" spans="1:5">
      <c r="A38" s="859">
        <v>15.1</v>
      </c>
      <c r="B38" s="863" t="s">
        <v>699</v>
      </c>
      <c r="C38" s="952">
        <f>'2. SOFP'!E39</f>
        <v>0</v>
      </c>
      <c r="D38" s="82"/>
      <c r="E38" s="7"/>
    </row>
    <row r="39" spans="1:5" ht="21">
      <c r="A39" s="859">
        <v>16</v>
      </c>
      <c r="B39" s="331" t="s">
        <v>720</v>
      </c>
      <c r="C39" s="960">
        <f>'2. SOFP'!E40</f>
        <v>0</v>
      </c>
      <c r="D39" s="82"/>
      <c r="E39" s="7"/>
    </row>
    <row r="40" spans="1:5">
      <c r="A40" s="859">
        <v>17</v>
      </c>
      <c r="B40" s="331" t="s">
        <v>721</v>
      </c>
      <c r="C40" s="960">
        <f>SUM(C41:C44)</f>
        <v>315253094.88751048</v>
      </c>
      <c r="D40" s="82"/>
      <c r="E40" s="7"/>
    </row>
    <row r="41" spans="1:5">
      <c r="A41" s="859">
        <v>17.100000000000001</v>
      </c>
      <c r="B41" s="336" t="s">
        <v>722</v>
      </c>
      <c r="C41" s="952">
        <f>'2. SOFP'!E42</f>
        <v>224901212.04354304</v>
      </c>
      <c r="D41" s="82"/>
      <c r="E41" s="7"/>
    </row>
    <row r="42" spans="1:5">
      <c r="A42" s="970">
        <v>17.2</v>
      </c>
      <c r="B42" s="971" t="s">
        <v>89</v>
      </c>
      <c r="C42" s="952">
        <f>'2. SOFP'!E43</f>
        <v>86223563.518964395</v>
      </c>
      <c r="D42" s="84"/>
      <c r="E42" s="7"/>
    </row>
    <row r="43" spans="1:5">
      <c r="A43" s="859">
        <v>17.3</v>
      </c>
      <c r="B43" s="972" t="s">
        <v>723</v>
      </c>
      <c r="C43" s="952">
        <f>'2. SOFP'!E44</f>
        <v>0</v>
      </c>
      <c r="D43" s="973"/>
      <c r="E43" s="7"/>
    </row>
    <row r="44" spans="1:5">
      <c r="A44" s="859">
        <v>17.399999999999999</v>
      </c>
      <c r="B44" s="972" t="s">
        <v>724</v>
      </c>
      <c r="C44" s="952">
        <f>'2. SOFP'!E45</f>
        <v>4128319.325003</v>
      </c>
      <c r="D44" s="973"/>
      <c r="E44" s="7"/>
    </row>
    <row r="45" spans="1:5">
      <c r="A45" s="859">
        <v>18</v>
      </c>
      <c r="B45" s="974" t="s">
        <v>725</v>
      </c>
      <c r="C45" s="960">
        <f>'2. SOFP'!E46</f>
        <v>392175.46477682044</v>
      </c>
      <c r="D45" s="975"/>
      <c r="E45" s="6"/>
    </row>
    <row r="46" spans="1:5">
      <c r="A46" s="859">
        <v>19</v>
      </c>
      <c r="B46" s="974" t="s">
        <v>726</v>
      </c>
      <c r="C46" s="960">
        <f>SUM(C47:C48)</f>
        <v>906494.23622952309</v>
      </c>
      <c r="D46" s="976"/>
    </row>
    <row r="47" spans="1:5">
      <c r="A47" s="859">
        <v>19.100000000000001</v>
      </c>
      <c r="B47" s="977" t="s">
        <v>727</v>
      </c>
      <c r="C47" s="952">
        <f>'2. SOFP'!E48</f>
        <v>906494.23622952309</v>
      </c>
      <c r="D47" s="976"/>
    </row>
    <row r="48" spans="1:5">
      <c r="A48" s="859">
        <v>19.2</v>
      </c>
      <c r="B48" s="977" t="s">
        <v>728</v>
      </c>
      <c r="C48" s="952">
        <f>'2. SOFP'!E49</f>
        <v>0</v>
      </c>
      <c r="D48" s="976"/>
    </row>
    <row r="49" spans="1:4">
      <c r="A49" s="859">
        <v>20</v>
      </c>
      <c r="B49" s="550" t="s">
        <v>90</v>
      </c>
      <c r="C49" s="960">
        <f>'2. SOFP'!E50</f>
        <v>0</v>
      </c>
      <c r="D49" s="976"/>
    </row>
    <row r="50" spans="1:4">
      <c r="A50" s="859">
        <v>21</v>
      </c>
      <c r="B50" s="862" t="s">
        <v>78</v>
      </c>
      <c r="C50" s="960">
        <f>'2. SOFP'!E51</f>
        <v>5337584.8928669374</v>
      </c>
      <c r="D50" s="976"/>
    </row>
    <row r="51" spans="1:4">
      <c r="A51" s="859">
        <v>21.1</v>
      </c>
      <c r="B51" s="861" t="s">
        <v>729</v>
      </c>
      <c r="C51" s="952">
        <f>'2. SOFP'!E52</f>
        <v>0</v>
      </c>
      <c r="D51" s="976"/>
    </row>
    <row r="52" spans="1:4">
      <c r="A52" s="859">
        <v>22</v>
      </c>
      <c r="B52" s="550" t="s">
        <v>730</v>
      </c>
      <c r="C52" s="960">
        <f>SUM(C37,C39,C40,C45,C46,C49,C50)</f>
        <v>321889349.48138374</v>
      </c>
      <c r="D52" s="976"/>
    </row>
    <row r="53" spans="1:4">
      <c r="A53" s="859"/>
      <c r="B53" s="865" t="s">
        <v>731</v>
      </c>
      <c r="C53" s="965"/>
      <c r="D53" s="976"/>
    </row>
    <row r="54" spans="1:4">
      <c r="A54" s="859">
        <v>23</v>
      </c>
      <c r="B54" s="550" t="s">
        <v>94</v>
      </c>
      <c r="C54" s="960">
        <f>'2. SOFP'!E55</f>
        <v>69161600</v>
      </c>
      <c r="D54" s="507" t="s">
        <v>1023</v>
      </c>
    </row>
    <row r="55" spans="1:4">
      <c r="A55" s="859">
        <v>24</v>
      </c>
      <c r="B55" s="550" t="s">
        <v>732</v>
      </c>
      <c r="C55" s="960">
        <f>'2. SOFP'!E56</f>
        <v>0</v>
      </c>
      <c r="D55" s="976"/>
    </row>
    <row r="56" spans="1:4">
      <c r="A56" s="859">
        <v>25</v>
      </c>
      <c r="B56" s="866" t="s">
        <v>91</v>
      </c>
      <c r="C56" s="960">
        <f>'2. SOFP'!E57</f>
        <v>0</v>
      </c>
      <c r="D56" s="976"/>
    </row>
    <row r="57" spans="1:4">
      <c r="A57" s="859">
        <v>26</v>
      </c>
      <c r="B57" s="974" t="s">
        <v>733</v>
      </c>
      <c r="C57" s="960">
        <f>'2. SOFP'!E58</f>
        <v>0</v>
      </c>
      <c r="D57" s="976"/>
    </row>
    <row r="58" spans="1:4">
      <c r="A58" s="859">
        <v>27</v>
      </c>
      <c r="B58" s="974" t="s">
        <v>734</v>
      </c>
      <c r="C58" s="966">
        <f>SUM(C59:C60)</f>
        <v>0</v>
      </c>
      <c r="D58" s="976"/>
    </row>
    <row r="59" spans="1:4">
      <c r="A59" s="859">
        <v>27.1</v>
      </c>
      <c r="B59" s="978" t="s">
        <v>735</v>
      </c>
      <c r="C59" s="967">
        <f>'2. SOFP'!E60</f>
        <v>0</v>
      </c>
      <c r="D59" s="976"/>
    </row>
    <row r="60" spans="1:4">
      <c r="A60" s="859">
        <v>27.2</v>
      </c>
      <c r="B60" s="972" t="s">
        <v>736</v>
      </c>
      <c r="C60" s="967">
        <f>'2. SOFP'!E61</f>
        <v>0</v>
      </c>
      <c r="D60" s="976"/>
    </row>
    <row r="61" spans="1:4">
      <c r="A61" s="859">
        <v>28</v>
      </c>
      <c r="B61" s="862" t="s">
        <v>737</v>
      </c>
      <c r="C61" s="966">
        <f>'2. SOFP'!E62</f>
        <v>0</v>
      </c>
      <c r="D61" s="976"/>
    </row>
    <row r="62" spans="1:4">
      <c r="A62" s="859">
        <v>29</v>
      </c>
      <c r="B62" s="974" t="s">
        <v>738</v>
      </c>
      <c r="C62" s="966">
        <f>SUM(C63:C65)</f>
        <v>0</v>
      </c>
      <c r="D62" s="976"/>
    </row>
    <row r="63" spans="1:4">
      <c r="A63" s="859">
        <v>29.1</v>
      </c>
      <c r="B63" s="979" t="s">
        <v>739</v>
      </c>
      <c r="C63" s="967">
        <f>'2. SOFP'!E64</f>
        <v>0</v>
      </c>
      <c r="D63" s="976"/>
    </row>
    <row r="64" spans="1:4" ht="24" customHeight="1">
      <c r="A64" s="859">
        <v>29.2</v>
      </c>
      <c r="B64" s="978" t="s">
        <v>740</v>
      </c>
      <c r="C64" s="967">
        <f>'2. SOFP'!E65</f>
        <v>0</v>
      </c>
      <c r="D64" s="976"/>
    </row>
    <row r="65" spans="1:4" ht="21.95" customHeight="1">
      <c r="A65" s="859">
        <v>29.3</v>
      </c>
      <c r="B65" s="980" t="s">
        <v>741</v>
      </c>
      <c r="C65" s="967">
        <f>'2. SOFP'!E66</f>
        <v>0</v>
      </c>
      <c r="D65" s="976"/>
    </row>
    <row r="66" spans="1:4">
      <c r="A66" s="859">
        <v>30</v>
      </c>
      <c r="B66" s="981" t="s">
        <v>92</v>
      </c>
      <c r="C66" s="960">
        <f>'2. SOFP'!E67</f>
        <v>80629034.491737574</v>
      </c>
      <c r="D66" s="507" t="s">
        <v>1024</v>
      </c>
    </row>
    <row r="67" spans="1:4">
      <c r="A67" s="859">
        <v>31</v>
      </c>
      <c r="B67" s="867" t="s">
        <v>742</v>
      </c>
      <c r="C67" s="960">
        <f>SUM(C54,C55,C56,C57,C58,C61,C62,C66)</f>
        <v>149790634.49173757</v>
      </c>
      <c r="D67" s="976"/>
    </row>
    <row r="68" spans="1:4" ht="16.5" thickBot="1">
      <c r="A68" s="868">
        <v>32</v>
      </c>
      <c r="B68" s="869" t="s">
        <v>743</v>
      </c>
      <c r="C68" s="968">
        <f>SUM(C52,C67)</f>
        <v>471679983.97312129</v>
      </c>
      <c r="D68" s="982"/>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zoomScale="80" zoomScaleNormal="80" workbookViewId="0">
      <pane xSplit="2" ySplit="7" topLeftCell="C8" activePane="bottomRight" state="frozen"/>
      <selection pane="topRight" activeCell="C1" sqref="C1"/>
      <selection pane="bottomLeft" activeCell="A8" sqref="A8"/>
      <selection pane="bottomRight" activeCell="B4" sqref="B4"/>
    </sheetView>
  </sheetViews>
  <sheetFormatPr defaultColWidth="9.140625" defaultRowHeight="12.75"/>
  <cols>
    <col min="1" max="1" width="10.5703125" style="2" bestFit="1" customWidth="1"/>
    <col min="2" max="2" width="97" style="2" bestFit="1" customWidth="1"/>
    <col min="3" max="3" width="10.28515625" style="2" bestFit="1" customWidth="1"/>
    <col min="4" max="4" width="14.28515625" style="2" bestFit="1" customWidth="1"/>
    <col min="5" max="5" width="11.42578125" style="2" bestFit="1" customWidth="1"/>
    <col min="6" max="6" width="14.28515625" style="2" bestFit="1" customWidth="1"/>
    <col min="7" max="7" width="10.140625" style="2" bestFit="1" customWidth="1"/>
    <col min="8" max="8" width="14.28515625" style="2" bestFit="1" customWidth="1"/>
    <col min="9" max="9" width="11.42578125" style="2" bestFit="1" customWidth="1"/>
    <col min="10" max="10" width="14.28515625" style="2" bestFit="1" customWidth="1"/>
    <col min="11" max="11" width="10.140625" style="2" bestFit="1" customWidth="1"/>
    <col min="12" max="12" width="14.28515625" style="2" bestFit="1" customWidth="1"/>
    <col min="13" max="13" width="12.42578125" style="2" bestFit="1" customWidth="1"/>
    <col min="14" max="14" width="14.28515625" style="2" bestFit="1" customWidth="1"/>
    <col min="15" max="15" width="10.140625" style="2" bestFit="1" customWidth="1"/>
    <col min="16" max="16" width="14.28515625" style="2" bestFit="1" customWidth="1"/>
    <col min="17" max="17" width="10.140625" style="2" bestFit="1" customWidth="1"/>
    <col min="18" max="18" width="14.28515625" style="2" bestFit="1" customWidth="1"/>
    <col min="19" max="19" width="36.7109375" style="2" bestFit="1" customWidth="1"/>
    <col min="20" max="16384" width="9.140625" style="12"/>
  </cols>
  <sheetData>
    <row r="1" spans="1:19">
      <c r="A1" s="2" t="s">
        <v>97</v>
      </c>
      <c r="B1" s="783" t="str">
        <f>Info!C2</f>
        <v>სს იშბანკი საქართველო</v>
      </c>
    </row>
    <row r="2" spans="1:19">
      <c r="A2" s="2" t="s">
        <v>98</v>
      </c>
      <c r="B2" s="784">
        <f>'1. key ratios'!B2</f>
        <v>45747</v>
      </c>
    </row>
    <row r="4" spans="1:19" ht="26.25" thickBot="1">
      <c r="A4" s="37" t="s">
        <v>248</v>
      </c>
      <c r="B4" s="157" t="s">
        <v>282</v>
      </c>
    </row>
    <row r="5" spans="1:19">
      <c r="A5" s="72"/>
      <c r="B5" s="74"/>
      <c r="C5" s="66" t="s">
        <v>0</v>
      </c>
      <c r="D5" s="66" t="s">
        <v>1</v>
      </c>
      <c r="E5" s="66" t="s">
        <v>2</v>
      </c>
      <c r="F5" s="66" t="s">
        <v>3</v>
      </c>
      <c r="G5" s="66" t="s">
        <v>4</v>
      </c>
      <c r="H5" s="66" t="s">
        <v>5</v>
      </c>
      <c r="I5" s="66" t="s">
        <v>134</v>
      </c>
      <c r="J5" s="66" t="s">
        <v>135</v>
      </c>
      <c r="K5" s="66" t="s">
        <v>136</v>
      </c>
      <c r="L5" s="66" t="s">
        <v>137</v>
      </c>
      <c r="M5" s="66" t="s">
        <v>138</v>
      </c>
      <c r="N5" s="66" t="s">
        <v>139</v>
      </c>
      <c r="O5" s="66" t="s">
        <v>269</v>
      </c>
      <c r="P5" s="66" t="s">
        <v>270</v>
      </c>
      <c r="Q5" s="66" t="s">
        <v>271</v>
      </c>
      <c r="R5" s="152" t="s">
        <v>272</v>
      </c>
      <c r="S5" s="67" t="s">
        <v>273</v>
      </c>
    </row>
    <row r="6" spans="1:19" ht="46.5" customHeight="1">
      <c r="A6" s="89"/>
      <c r="B6" s="634" t="s">
        <v>274</v>
      </c>
      <c r="C6" s="632">
        <v>0</v>
      </c>
      <c r="D6" s="633"/>
      <c r="E6" s="632">
        <v>0.2</v>
      </c>
      <c r="F6" s="633"/>
      <c r="G6" s="632">
        <v>0.35</v>
      </c>
      <c r="H6" s="633"/>
      <c r="I6" s="632">
        <v>0.5</v>
      </c>
      <c r="J6" s="633"/>
      <c r="K6" s="632">
        <v>0.75</v>
      </c>
      <c r="L6" s="633"/>
      <c r="M6" s="632">
        <v>1</v>
      </c>
      <c r="N6" s="633"/>
      <c r="O6" s="632">
        <v>1.5</v>
      </c>
      <c r="P6" s="633"/>
      <c r="Q6" s="632">
        <v>2.5</v>
      </c>
      <c r="R6" s="633"/>
      <c r="S6" s="630" t="s">
        <v>145</v>
      </c>
    </row>
    <row r="7" spans="1:19">
      <c r="A7" s="89"/>
      <c r="B7" s="635"/>
      <c r="C7" s="156" t="s">
        <v>267</v>
      </c>
      <c r="D7" s="156" t="s">
        <v>268</v>
      </c>
      <c r="E7" s="156" t="s">
        <v>267</v>
      </c>
      <c r="F7" s="156" t="s">
        <v>268</v>
      </c>
      <c r="G7" s="156" t="s">
        <v>267</v>
      </c>
      <c r="H7" s="156" t="s">
        <v>268</v>
      </c>
      <c r="I7" s="156" t="s">
        <v>267</v>
      </c>
      <c r="J7" s="156" t="s">
        <v>268</v>
      </c>
      <c r="K7" s="156" t="s">
        <v>267</v>
      </c>
      <c r="L7" s="156" t="s">
        <v>268</v>
      </c>
      <c r="M7" s="156" t="s">
        <v>267</v>
      </c>
      <c r="N7" s="156" t="s">
        <v>268</v>
      </c>
      <c r="O7" s="156" t="s">
        <v>267</v>
      </c>
      <c r="P7" s="156" t="s">
        <v>268</v>
      </c>
      <c r="Q7" s="156" t="s">
        <v>267</v>
      </c>
      <c r="R7" s="156" t="s">
        <v>268</v>
      </c>
      <c r="S7" s="631"/>
    </row>
    <row r="8" spans="1:19" s="92" customFormat="1">
      <c r="A8" s="70">
        <v>1</v>
      </c>
      <c r="B8" s="98" t="s">
        <v>123</v>
      </c>
      <c r="C8" s="983">
        <v>2075995.6894999896</v>
      </c>
      <c r="D8" s="983"/>
      <c r="E8" s="983"/>
      <c r="F8" s="983"/>
      <c r="G8" s="983"/>
      <c r="H8" s="983"/>
      <c r="I8" s="983"/>
      <c r="J8" s="983"/>
      <c r="K8" s="983"/>
      <c r="L8" s="983"/>
      <c r="M8" s="983">
        <v>49992105.805319794</v>
      </c>
      <c r="N8" s="983"/>
      <c r="O8" s="983"/>
      <c r="P8" s="983"/>
      <c r="Q8" s="983"/>
      <c r="R8" s="983"/>
      <c r="S8" s="984">
        <f>$C$6*SUM(C8:D8)+$E$6*SUM(E8:F8)+$G$6*SUM(G8:H8)+$I$6*SUM(I8:J8)+$K$6*SUM(K8:L8)+$M$6*SUM(M8:N8)+$O$6*SUM(O8:P8)+$Q$6*SUM(Q8:R8)</f>
        <v>49992105.805319794</v>
      </c>
    </row>
    <row r="9" spans="1:19" s="92" customFormat="1">
      <c r="A9" s="70">
        <v>2</v>
      </c>
      <c r="B9" s="98" t="s">
        <v>124</v>
      </c>
      <c r="C9" s="985"/>
      <c r="D9" s="985"/>
      <c r="E9" s="985"/>
      <c r="F9" s="985"/>
      <c r="G9" s="985"/>
      <c r="H9" s="985"/>
      <c r="I9" s="985"/>
      <c r="J9" s="985"/>
      <c r="K9" s="985"/>
      <c r="L9" s="985"/>
      <c r="M9" s="985"/>
      <c r="N9" s="985"/>
      <c r="O9" s="985"/>
      <c r="P9" s="985"/>
      <c r="Q9" s="985"/>
      <c r="R9" s="985"/>
      <c r="S9" s="986">
        <f t="shared" ref="S9:S21" si="0">$C$6*SUM(C9:D9)+$E$6*SUM(E9:F9)+$G$6*SUM(G9:H9)+$I$6*SUM(I9:J9)+$K$6*SUM(K9:L9)+$M$6*SUM(M9:N9)+$O$6*SUM(O9:P9)+$Q$6*SUM(Q9:R9)</f>
        <v>0</v>
      </c>
    </row>
    <row r="10" spans="1:19" s="92" customFormat="1">
      <c r="A10" s="70">
        <v>3</v>
      </c>
      <c r="B10" s="98" t="s">
        <v>125</v>
      </c>
      <c r="C10" s="985"/>
      <c r="D10" s="985"/>
      <c r="E10" s="985"/>
      <c r="F10" s="985"/>
      <c r="G10" s="985"/>
      <c r="H10" s="985"/>
      <c r="I10" s="985"/>
      <c r="J10" s="985"/>
      <c r="K10" s="985"/>
      <c r="L10" s="985"/>
      <c r="M10" s="985"/>
      <c r="N10" s="985"/>
      <c r="O10" s="985"/>
      <c r="P10" s="985"/>
      <c r="Q10" s="985"/>
      <c r="R10" s="985"/>
      <c r="S10" s="986">
        <f t="shared" si="0"/>
        <v>0</v>
      </c>
    </row>
    <row r="11" spans="1:19" s="92" customFormat="1">
      <c r="A11" s="70">
        <v>4</v>
      </c>
      <c r="B11" s="98" t="s">
        <v>126</v>
      </c>
      <c r="C11" s="985"/>
      <c r="D11" s="985"/>
      <c r="E11" s="985"/>
      <c r="F11" s="985"/>
      <c r="G11" s="985"/>
      <c r="H11" s="985"/>
      <c r="I11" s="985"/>
      <c r="J11" s="985"/>
      <c r="K11" s="985"/>
      <c r="L11" s="985"/>
      <c r="M11" s="985"/>
      <c r="N11" s="985"/>
      <c r="O11" s="985"/>
      <c r="P11" s="985"/>
      <c r="Q11" s="985"/>
      <c r="R11" s="985"/>
      <c r="S11" s="986">
        <f t="shared" si="0"/>
        <v>0</v>
      </c>
    </row>
    <row r="12" spans="1:19" s="92" customFormat="1">
      <c r="A12" s="70">
        <v>5</v>
      </c>
      <c r="B12" s="98" t="s">
        <v>912</v>
      </c>
      <c r="C12" s="985"/>
      <c r="D12" s="985"/>
      <c r="E12" s="985"/>
      <c r="F12" s="985"/>
      <c r="G12" s="985"/>
      <c r="H12" s="985"/>
      <c r="I12" s="985"/>
      <c r="J12" s="985"/>
      <c r="K12" s="985"/>
      <c r="L12" s="985"/>
      <c r="M12" s="985"/>
      <c r="N12" s="985"/>
      <c r="O12" s="985"/>
      <c r="P12" s="985"/>
      <c r="Q12" s="985"/>
      <c r="R12" s="985"/>
      <c r="S12" s="986">
        <f t="shared" si="0"/>
        <v>0</v>
      </c>
    </row>
    <row r="13" spans="1:19" s="92" customFormat="1">
      <c r="A13" s="70">
        <v>6</v>
      </c>
      <c r="B13" s="98" t="s">
        <v>127</v>
      </c>
      <c r="C13" s="985"/>
      <c r="D13" s="985"/>
      <c r="E13" s="985">
        <v>14958478.18191641</v>
      </c>
      <c r="F13" s="985">
        <v>3072191.3330560667</v>
      </c>
      <c r="G13" s="985"/>
      <c r="H13" s="985"/>
      <c r="I13" s="985">
        <v>18388955.777165078</v>
      </c>
      <c r="J13" s="985">
        <v>20091266.910961956</v>
      </c>
      <c r="K13" s="985"/>
      <c r="L13" s="985"/>
      <c r="M13" s="985">
        <v>2810752.8049153863</v>
      </c>
      <c r="N13" s="985">
        <v>42126949.332708091</v>
      </c>
      <c r="O13" s="985"/>
      <c r="P13" s="985"/>
      <c r="Q13" s="985"/>
      <c r="R13" s="985"/>
      <c r="S13" s="986">
        <f t="shared" si="0"/>
        <v>67783947.384681493</v>
      </c>
    </row>
    <row r="14" spans="1:19" s="92" customFormat="1">
      <c r="A14" s="70">
        <v>7</v>
      </c>
      <c r="B14" s="98" t="s">
        <v>71</v>
      </c>
      <c r="C14" s="985"/>
      <c r="D14" s="985"/>
      <c r="E14" s="985"/>
      <c r="F14" s="985"/>
      <c r="G14" s="985"/>
      <c r="H14" s="985"/>
      <c r="I14" s="985"/>
      <c r="J14" s="985"/>
      <c r="K14" s="985"/>
      <c r="L14" s="985"/>
      <c r="M14" s="985">
        <v>359862053.79936951</v>
      </c>
      <c r="N14" s="985">
        <v>12691555.739211263</v>
      </c>
      <c r="O14" s="985"/>
      <c r="P14" s="985"/>
      <c r="Q14" s="985"/>
      <c r="R14" s="985"/>
      <c r="S14" s="986">
        <f t="shared" si="0"/>
        <v>372553609.53858078</v>
      </c>
    </row>
    <row r="15" spans="1:19" s="92" customFormat="1">
      <c r="A15" s="70">
        <v>8</v>
      </c>
      <c r="B15" s="98" t="s">
        <v>72</v>
      </c>
      <c r="C15" s="985"/>
      <c r="D15" s="985"/>
      <c r="E15" s="985"/>
      <c r="F15" s="985"/>
      <c r="G15" s="985"/>
      <c r="H15" s="985"/>
      <c r="I15" s="985"/>
      <c r="J15" s="985"/>
      <c r="K15" s="985"/>
      <c r="L15" s="985"/>
      <c r="M15" s="985"/>
      <c r="N15" s="985">
        <v>0</v>
      </c>
      <c r="O15" s="985"/>
      <c r="P15" s="985"/>
      <c r="Q15" s="985"/>
      <c r="R15" s="985"/>
      <c r="S15" s="986">
        <f t="shared" si="0"/>
        <v>0</v>
      </c>
    </row>
    <row r="16" spans="1:19" s="92" customFormat="1">
      <c r="A16" s="70">
        <v>9</v>
      </c>
      <c r="B16" s="98" t="s">
        <v>913</v>
      </c>
      <c r="C16" s="985"/>
      <c r="D16" s="985"/>
      <c r="E16" s="985"/>
      <c r="F16" s="985"/>
      <c r="G16" s="985"/>
      <c r="H16" s="985"/>
      <c r="I16" s="985"/>
      <c r="J16" s="985"/>
      <c r="K16" s="985"/>
      <c r="L16" s="985"/>
      <c r="M16" s="985"/>
      <c r="N16" s="985"/>
      <c r="O16" s="985"/>
      <c r="P16" s="985"/>
      <c r="Q16" s="985"/>
      <c r="R16" s="985"/>
      <c r="S16" s="986">
        <f t="shared" si="0"/>
        <v>0</v>
      </c>
    </row>
    <row r="17" spans="1:19" s="92" customFormat="1">
      <c r="A17" s="70">
        <v>10</v>
      </c>
      <c r="B17" s="98" t="s">
        <v>67</v>
      </c>
      <c r="C17" s="985"/>
      <c r="D17" s="985"/>
      <c r="E17" s="985"/>
      <c r="F17" s="985"/>
      <c r="G17" s="985"/>
      <c r="H17" s="985"/>
      <c r="I17" s="985"/>
      <c r="J17" s="985"/>
      <c r="K17" s="985"/>
      <c r="L17" s="985"/>
      <c r="M17" s="985">
        <v>559929.83028272679</v>
      </c>
      <c r="N17" s="985"/>
      <c r="O17" s="985"/>
      <c r="P17" s="985"/>
      <c r="Q17" s="985"/>
      <c r="R17" s="985"/>
      <c r="S17" s="986">
        <f t="shared" si="0"/>
        <v>559929.83028272679</v>
      </c>
    </row>
    <row r="18" spans="1:19" s="92" customFormat="1">
      <c r="A18" s="70">
        <v>11</v>
      </c>
      <c r="B18" s="98" t="s">
        <v>68</v>
      </c>
      <c r="C18" s="985"/>
      <c r="D18" s="985"/>
      <c r="E18" s="985"/>
      <c r="F18" s="985"/>
      <c r="G18" s="985"/>
      <c r="H18" s="985"/>
      <c r="I18" s="985"/>
      <c r="J18" s="985"/>
      <c r="K18" s="985"/>
      <c r="L18" s="985"/>
      <c r="M18" s="985"/>
      <c r="N18" s="985"/>
      <c r="O18" s="985"/>
      <c r="P18" s="985"/>
      <c r="Q18" s="985"/>
      <c r="R18" s="985"/>
      <c r="S18" s="986">
        <f t="shared" si="0"/>
        <v>0</v>
      </c>
    </row>
    <row r="19" spans="1:19" s="92" customFormat="1">
      <c r="A19" s="70">
        <v>12</v>
      </c>
      <c r="B19" s="98" t="s">
        <v>69</v>
      </c>
      <c r="C19" s="985"/>
      <c r="D19" s="985"/>
      <c r="E19" s="985"/>
      <c r="F19" s="985"/>
      <c r="G19" s="985"/>
      <c r="H19" s="985"/>
      <c r="I19" s="985"/>
      <c r="J19" s="985"/>
      <c r="K19" s="985"/>
      <c r="L19" s="985"/>
      <c r="M19" s="985"/>
      <c r="N19" s="985"/>
      <c r="O19" s="985"/>
      <c r="P19" s="985"/>
      <c r="Q19" s="985"/>
      <c r="R19" s="985"/>
      <c r="S19" s="986">
        <f t="shared" si="0"/>
        <v>0</v>
      </c>
    </row>
    <row r="20" spans="1:19" s="92" customFormat="1">
      <c r="A20" s="70">
        <v>13</v>
      </c>
      <c r="B20" s="98" t="s">
        <v>70</v>
      </c>
      <c r="C20" s="985"/>
      <c r="D20" s="985"/>
      <c r="E20" s="985"/>
      <c r="F20" s="985"/>
      <c r="G20" s="985"/>
      <c r="H20" s="985"/>
      <c r="I20" s="985"/>
      <c r="J20" s="985"/>
      <c r="K20" s="985"/>
      <c r="L20" s="985"/>
      <c r="M20" s="985"/>
      <c r="N20" s="985"/>
      <c r="O20" s="985"/>
      <c r="P20" s="985"/>
      <c r="Q20" s="985"/>
      <c r="R20" s="985"/>
      <c r="S20" s="986">
        <f t="shared" si="0"/>
        <v>0</v>
      </c>
    </row>
    <row r="21" spans="1:19" s="92" customFormat="1" ht="13.5" thickBot="1">
      <c r="A21" s="70">
        <v>14</v>
      </c>
      <c r="B21" s="98" t="s">
        <v>143</v>
      </c>
      <c r="C21" s="987">
        <v>818773.49450000003</v>
      </c>
      <c r="D21" s="987"/>
      <c r="E21" s="987"/>
      <c r="F21" s="987"/>
      <c r="G21" s="987"/>
      <c r="H21" s="987"/>
      <c r="I21" s="987"/>
      <c r="J21" s="987"/>
      <c r="K21" s="987"/>
      <c r="L21" s="987"/>
      <c r="M21" s="987">
        <v>19537998.760152381</v>
      </c>
      <c r="N21" s="987"/>
      <c r="O21" s="987"/>
      <c r="P21" s="987"/>
      <c r="Q21" s="987"/>
      <c r="R21" s="987"/>
      <c r="S21" s="988">
        <f t="shared" si="0"/>
        <v>19537998.760152381</v>
      </c>
    </row>
    <row r="22" spans="1:19" ht="13.5" thickBot="1">
      <c r="A22" s="63"/>
      <c r="B22" s="94" t="s">
        <v>66</v>
      </c>
      <c r="C22" s="989">
        <f>SUM(C8:C21)</f>
        <v>2894769.1839999896</v>
      </c>
      <c r="D22" s="989">
        <f t="shared" ref="D22:S22" si="1">SUM(D8:D21)</f>
        <v>0</v>
      </c>
      <c r="E22" s="989">
        <f t="shared" si="1"/>
        <v>14958478.18191641</v>
      </c>
      <c r="F22" s="989">
        <f t="shared" si="1"/>
        <v>3072191.3330560667</v>
      </c>
      <c r="G22" s="989">
        <f t="shared" si="1"/>
        <v>0</v>
      </c>
      <c r="H22" s="989">
        <f t="shared" si="1"/>
        <v>0</v>
      </c>
      <c r="I22" s="989">
        <f t="shared" si="1"/>
        <v>18388955.777165078</v>
      </c>
      <c r="J22" s="989">
        <f t="shared" si="1"/>
        <v>20091266.910961956</v>
      </c>
      <c r="K22" s="989">
        <f t="shared" si="1"/>
        <v>0</v>
      </c>
      <c r="L22" s="989">
        <f t="shared" si="1"/>
        <v>0</v>
      </c>
      <c r="M22" s="989">
        <f t="shared" si="1"/>
        <v>432762841.00003982</v>
      </c>
      <c r="N22" s="989">
        <f t="shared" si="1"/>
        <v>54818505.071919352</v>
      </c>
      <c r="O22" s="989">
        <f t="shared" si="1"/>
        <v>0</v>
      </c>
      <c r="P22" s="989">
        <f t="shared" si="1"/>
        <v>0</v>
      </c>
      <c r="Q22" s="989">
        <f t="shared" si="1"/>
        <v>0</v>
      </c>
      <c r="R22" s="989">
        <f t="shared" si="1"/>
        <v>0</v>
      </c>
      <c r="S22" s="990">
        <f t="shared" si="1"/>
        <v>510427591.31901717</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zoomScale="80" zoomScaleNormal="8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85546875" style="2" customWidth="1"/>
    <col min="10" max="10" width="21.5703125" style="2" customWidth="1"/>
    <col min="11" max="11" width="15.85546875" style="2" customWidth="1"/>
    <col min="12" max="12" width="13.140625" style="2" customWidth="1"/>
    <col min="13" max="13" width="20.85546875" style="2" customWidth="1"/>
    <col min="14" max="14" width="19.140625" style="2" customWidth="1"/>
    <col min="15" max="15" width="18.42578125" style="2" customWidth="1"/>
    <col min="16" max="16" width="19" style="2" customWidth="1"/>
    <col min="17" max="17" width="20.140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97</v>
      </c>
      <c r="B1" s="783" t="str">
        <f>Info!C2</f>
        <v>სს იშბანკი საქართველო</v>
      </c>
    </row>
    <row r="2" spans="1:22">
      <c r="A2" s="2" t="s">
        <v>98</v>
      </c>
      <c r="B2" s="784">
        <f>'1. key ratios'!B2</f>
        <v>45747</v>
      </c>
    </row>
    <row r="4" spans="1:22" ht="27.75" thickBot="1">
      <c r="A4" s="2" t="s">
        <v>249</v>
      </c>
      <c r="B4" s="158" t="s">
        <v>283</v>
      </c>
      <c r="V4" s="124" t="s">
        <v>76</v>
      </c>
    </row>
    <row r="5" spans="1:22">
      <c r="A5" s="61"/>
      <c r="B5" s="62"/>
      <c r="C5" s="636" t="s">
        <v>105</v>
      </c>
      <c r="D5" s="637"/>
      <c r="E5" s="637"/>
      <c r="F5" s="637"/>
      <c r="G5" s="637"/>
      <c r="H5" s="637"/>
      <c r="I5" s="637"/>
      <c r="J5" s="637"/>
      <c r="K5" s="637"/>
      <c r="L5" s="638"/>
      <c r="M5" s="636" t="s">
        <v>106</v>
      </c>
      <c r="N5" s="637"/>
      <c r="O5" s="637"/>
      <c r="P5" s="637"/>
      <c r="Q5" s="637"/>
      <c r="R5" s="637"/>
      <c r="S5" s="638"/>
      <c r="T5" s="641" t="s">
        <v>281</v>
      </c>
      <c r="U5" s="641" t="s">
        <v>280</v>
      </c>
      <c r="V5" s="639" t="s">
        <v>107</v>
      </c>
    </row>
    <row r="6" spans="1:22" s="37" customFormat="1" ht="127.5">
      <c r="A6" s="68"/>
      <c r="B6" s="100"/>
      <c r="C6" s="59" t="s">
        <v>108</v>
      </c>
      <c r="D6" s="58" t="s">
        <v>109</v>
      </c>
      <c r="E6" s="55" t="s">
        <v>110</v>
      </c>
      <c r="F6" s="159" t="s">
        <v>275</v>
      </c>
      <c r="G6" s="58" t="s">
        <v>111</v>
      </c>
      <c r="H6" s="58" t="s">
        <v>112</v>
      </c>
      <c r="I6" s="58" t="s">
        <v>113</v>
      </c>
      <c r="J6" s="58" t="s">
        <v>142</v>
      </c>
      <c r="K6" s="58" t="s">
        <v>114</v>
      </c>
      <c r="L6" s="60" t="s">
        <v>115</v>
      </c>
      <c r="M6" s="59" t="s">
        <v>116</v>
      </c>
      <c r="N6" s="58" t="s">
        <v>117</v>
      </c>
      <c r="O6" s="58" t="s">
        <v>118</v>
      </c>
      <c r="P6" s="58" t="s">
        <v>119</v>
      </c>
      <c r="Q6" s="58" t="s">
        <v>120</v>
      </c>
      <c r="R6" s="58" t="s">
        <v>121</v>
      </c>
      <c r="S6" s="60" t="s">
        <v>122</v>
      </c>
      <c r="T6" s="642"/>
      <c r="U6" s="642"/>
      <c r="V6" s="640"/>
    </row>
    <row r="7" spans="1:22" s="92" customFormat="1">
      <c r="A7" s="93">
        <v>1</v>
      </c>
      <c r="B7" s="98" t="s">
        <v>123</v>
      </c>
      <c r="C7" s="991"/>
      <c r="D7" s="985"/>
      <c r="E7" s="985"/>
      <c r="F7" s="985"/>
      <c r="G7" s="985"/>
      <c r="H7" s="985"/>
      <c r="I7" s="985"/>
      <c r="J7" s="985"/>
      <c r="K7" s="985"/>
      <c r="L7" s="935"/>
      <c r="M7" s="991"/>
      <c r="N7" s="985"/>
      <c r="O7" s="985"/>
      <c r="P7" s="985"/>
      <c r="Q7" s="985"/>
      <c r="R7" s="985"/>
      <c r="S7" s="935"/>
      <c r="T7" s="992"/>
      <c r="U7" s="992"/>
      <c r="V7" s="993">
        <f>SUM(C7:S7)</f>
        <v>0</v>
      </c>
    </row>
    <row r="8" spans="1:22" s="92" customFormat="1">
      <c r="A8" s="93">
        <v>2</v>
      </c>
      <c r="B8" s="98" t="s">
        <v>124</v>
      </c>
      <c r="C8" s="991"/>
      <c r="D8" s="985"/>
      <c r="E8" s="985"/>
      <c r="F8" s="985"/>
      <c r="G8" s="985"/>
      <c r="H8" s="985"/>
      <c r="I8" s="985"/>
      <c r="J8" s="985"/>
      <c r="K8" s="985"/>
      <c r="L8" s="935"/>
      <c r="M8" s="991"/>
      <c r="N8" s="985"/>
      <c r="O8" s="985"/>
      <c r="P8" s="985"/>
      <c r="Q8" s="985"/>
      <c r="R8" s="985"/>
      <c r="S8" s="935"/>
      <c r="T8" s="992"/>
      <c r="U8" s="992"/>
      <c r="V8" s="993">
        <f t="shared" ref="V8:V20" si="0">SUM(C8:S8)</f>
        <v>0</v>
      </c>
    </row>
    <row r="9" spans="1:22" s="92" customFormat="1">
      <c r="A9" s="93">
        <v>3</v>
      </c>
      <c r="B9" s="98" t="s">
        <v>125</v>
      </c>
      <c r="C9" s="991"/>
      <c r="D9" s="985"/>
      <c r="E9" s="985"/>
      <c r="F9" s="985"/>
      <c r="G9" s="985"/>
      <c r="H9" s="985"/>
      <c r="I9" s="985"/>
      <c r="J9" s="985"/>
      <c r="K9" s="985"/>
      <c r="L9" s="935"/>
      <c r="M9" s="991"/>
      <c r="N9" s="985"/>
      <c r="O9" s="985"/>
      <c r="P9" s="985"/>
      <c r="Q9" s="985"/>
      <c r="R9" s="985"/>
      <c r="S9" s="935"/>
      <c r="T9" s="992"/>
      <c r="U9" s="992"/>
      <c r="V9" s="993">
        <f t="shared" si="0"/>
        <v>0</v>
      </c>
    </row>
    <row r="10" spans="1:22" s="92" customFormat="1">
      <c r="A10" s="93">
        <v>4</v>
      </c>
      <c r="B10" s="98" t="s">
        <v>126</v>
      </c>
      <c r="C10" s="991"/>
      <c r="D10" s="985"/>
      <c r="E10" s="985"/>
      <c r="F10" s="985"/>
      <c r="G10" s="985"/>
      <c r="H10" s="985"/>
      <c r="I10" s="985"/>
      <c r="J10" s="985"/>
      <c r="K10" s="985"/>
      <c r="L10" s="935"/>
      <c r="M10" s="991"/>
      <c r="N10" s="985"/>
      <c r="O10" s="985"/>
      <c r="P10" s="985"/>
      <c r="Q10" s="985"/>
      <c r="R10" s="985"/>
      <c r="S10" s="935"/>
      <c r="T10" s="992"/>
      <c r="U10" s="992"/>
      <c r="V10" s="993">
        <f t="shared" si="0"/>
        <v>0</v>
      </c>
    </row>
    <row r="11" spans="1:22" s="92" customFormat="1">
      <c r="A11" s="93">
        <v>5</v>
      </c>
      <c r="B11" s="98" t="s">
        <v>912</v>
      </c>
      <c r="C11" s="991"/>
      <c r="D11" s="985"/>
      <c r="E11" s="985"/>
      <c r="F11" s="985"/>
      <c r="G11" s="985"/>
      <c r="H11" s="985"/>
      <c r="I11" s="985"/>
      <c r="J11" s="985"/>
      <c r="K11" s="985"/>
      <c r="L11" s="935"/>
      <c r="M11" s="991"/>
      <c r="N11" s="985"/>
      <c r="O11" s="985"/>
      <c r="P11" s="985"/>
      <c r="Q11" s="985"/>
      <c r="R11" s="985"/>
      <c r="S11" s="935"/>
      <c r="T11" s="992"/>
      <c r="U11" s="992"/>
      <c r="V11" s="993">
        <f t="shared" si="0"/>
        <v>0</v>
      </c>
    </row>
    <row r="12" spans="1:22" s="92" customFormat="1">
      <c r="A12" s="93">
        <v>6</v>
      </c>
      <c r="B12" s="98" t="s">
        <v>127</v>
      </c>
      <c r="C12" s="991"/>
      <c r="D12" s="985"/>
      <c r="E12" s="985"/>
      <c r="F12" s="985"/>
      <c r="G12" s="985"/>
      <c r="H12" s="985"/>
      <c r="I12" s="985"/>
      <c r="J12" s="985"/>
      <c r="K12" s="985"/>
      <c r="L12" s="935"/>
      <c r="M12" s="991"/>
      <c r="N12" s="985"/>
      <c r="O12" s="985"/>
      <c r="P12" s="985"/>
      <c r="Q12" s="985"/>
      <c r="R12" s="985"/>
      <c r="S12" s="935"/>
      <c r="T12" s="992"/>
      <c r="U12" s="992"/>
      <c r="V12" s="993">
        <f t="shared" si="0"/>
        <v>0</v>
      </c>
    </row>
    <row r="13" spans="1:22" s="92" customFormat="1">
      <c r="A13" s="93">
        <v>7</v>
      </c>
      <c r="B13" s="98" t="s">
        <v>71</v>
      </c>
      <c r="C13" s="991"/>
      <c r="D13" s="985">
        <f>12618349.9999999+1636870.831325</f>
        <v>14255220.8313249</v>
      </c>
      <c r="E13" s="985"/>
      <c r="F13" s="985"/>
      <c r="G13" s="985"/>
      <c r="H13" s="985"/>
      <c r="I13" s="985"/>
      <c r="J13" s="985"/>
      <c r="K13" s="985"/>
      <c r="L13" s="935"/>
      <c r="M13" s="991"/>
      <c r="N13" s="985"/>
      <c r="O13" s="985"/>
      <c r="P13" s="985"/>
      <c r="Q13" s="985"/>
      <c r="R13" s="985"/>
      <c r="S13" s="935"/>
      <c r="T13" s="992">
        <v>12618349.999999922</v>
      </c>
      <c r="U13" s="992">
        <v>1636870.8313249999</v>
      </c>
      <c r="V13" s="993">
        <f t="shared" si="0"/>
        <v>14255220.8313249</v>
      </c>
    </row>
    <row r="14" spans="1:22" s="92" customFormat="1">
      <c r="A14" s="93">
        <v>8</v>
      </c>
      <c r="B14" s="98" t="s">
        <v>72</v>
      </c>
      <c r="C14" s="991"/>
      <c r="D14" s="985"/>
      <c r="E14" s="985"/>
      <c r="F14" s="985"/>
      <c r="G14" s="985"/>
      <c r="H14" s="985"/>
      <c r="I14" s="985"/>
      <c r="J14" s="985"/>
      <c r="K14" s="985"/>
      <c r="L14" s="935"/>
      <c r="M14" s="991"/>
      <c r="N14" s="985"/>
      <c r="O14" s="985"/>
      <c r="P14" s="985"/>
      <c r="Q14" s="985"/>
      <c r="R14" s="985"/>
      <c r="S14" s="935"/>
      <c r="T14" s="992"/>
      <c r="U14" s="992"/>
      <c r="V14" s="993">
        <f t="shared" si="0"/>
        <v>0</v>
      </c>
    </row>
    <row r="15" spans="1:22" s="92" customFormat="1">
      <c r="A15" s="93">
        <v>9</v>
      </c>
      <c r="B15" s="98" t="s">
        <v>913</v>
      </c>
      <c r="C15" s="991"/>
      <c r="D15" s="985"/>
      <c r="E15" s="985"/>
      <c r="F15" s="985"/>
      <c r="G15" s="985"/>
      <c r="H15" s="985"/>
      <c r="I15" s="985"/>
      <c r="J15" s="985"/>
      <c r="K15" s="985"/>
      <c r="L15" s="935"/>
      <c r="M15" s="991"/>
      <c r="N15" s="985"/>
      <c r="O15" s="985"/>
      <c r="P15" s="985"/>
      <c r="Q15" s="985"/>
      <c r="R15" s="985"/>
      <c r="S15" s="935"/>
      <c r="T15" s="992"/>
      <c r="U15" s="992"/>
      <c r="V15" s="993">
        <f t="shared" si="0"/>
        <v>0</v>
      </c>
    </row>
    <row r="16" spans="1:22" s="92" customFormat="1">
      <c r="A16" s="93">
        <v>10</v>
      </c>
      <c r="B16" s="98" t="s">
        <v>67</v>
      </c>
      <c r="C16" s="991"/>
      <c r="D16" s="985"/>
      <c r="E16" s="985"/>
      <c r="F16" s="985"/>
      <c r="G16" s="985"/>
      <c r="H16" s="985"/>
      <c r="I16" s="985"/>
      <c r="J16" s="985"/>
      <c r="K16" s="985"/>
      <c r="L16" s="935"/>
      <c r="M16" s="991"/>
      <c r="N16" s="985"/>
      <c r="O16" s="985"/>
      <c r="P16" s="985"/>
      <c r="Q16" s="985"/>
      <c r="R16" s="985"/>
      <c r="S16" s="935"/>
      <c r="T16" s="992"/>
      <c r="U16" s="992"/>
      <c r="V16" s="993">
        <f t="shared" si="0"/>
        <v>0</v>
      </c>
    </row>
    <row r="17" spans="1:22" s="92" customFormat="1">
      <c r="A17" s="93">
        <v>11</v>
      </c>
      <c r="B17" s="98" t="s">
        <v>68</v>
      </c>
      <c r="C17" s="991"/>
      <c r="D17" s="985"/>
      <c r="E17" s="985"/>
      <c r="F17" s="985"/>
      <c r="G17" s="985"/>
      <c r="H17" s="985"/>
      <c r="I17" s="985"/>
      <c r="J17" s="985"/>
      <c r="K17" s="985"/>
      <c r="L17" s="935"/>
      <c r="M17" s="991"/>
      <c r="N17" s="985"/>
      <c r="O17" s="985"/>
      <c r="P17" s="985"/>
      <c r="Q17" s="985"/>
      <c r="R17" s="985"/>
      <c r="S17" s="935"/>
      <c r="T17" s="992"/>
      <c r="U17" s="992"/>
      <c r="V17" s="993">
        <f t="shared" si="0"/>
        <v>0</v>
      </c>
    </row>
    <row r="18" spans="1:22" s="92" customFormat="1">
      <c r="A18" s="93">
        <v>12</v>
      </c>
      <c r="B18" s="98" t="s">
        <v>69</v>
      </c>
      <c r="C18" s="991"/>
      <c r="D18" s="985"/>
      <c r="E18" s="985"/>
      <c r="F18" s="985"/>
      <c r="G18" s="985"/>
      <c r="H18" s="985"/>
      <c r="I18" s="985"/>
      <c r="J18" s="985"/>
      <c r="K18" s="985"/>
      <c r="L18" s="935"/>
      <c r="M18" s="991"/>
      <c r="N18" s="985"/>
      <c r="O18" s="985"/>
      <c r="P18" s="985"/>
      <c r="Q18" s="985"/>
      <c r="R18" s="985"/>
      <c r="S18" s="935"/>
      <c r="T18" s="992"/>
      <c r="U18" s="992"/>
      <c r="V18" s="993">
        <f t="shared" si="0"/>
        <v>0</v>
      </c>
    </row>
    <row r="19" spans="1:22" s="92" customFormat="1">
      <c r="A19" s="93">
        <v>13</v>
      </c>
      <c r="B19" s="98" t="s">
        <v>70</v>
      </c>
      <c r="C19" s="991"/>
      <c r="D19" s="985"/>
      <c r="E19" s="985"/>
      <c r="F19" s="985"/>
      <c r="G19" s="985"/>
      <c r="H19" s="985"/>
      <c r="I19" s="985"/>
      <c r="J19" s="985"/>
      <c r="K19" s="985"/>
      <c r="L19" s="935"/>
      <c r="M19" s="991"/>
      <c r="N19" s="985"/>
      <c r="O19" s="985"/>
      <c r="P19" s="985"/>
      <c r="Q19" s="985"/>
      <c r="R19" s="985"/>
      <c r="S19" s="935"/>
      <c r="T19" s="992"/>
      <c r="U19" s="992"/>
      <c r="V19" s="993">
        <f t="shared" si="0"/>
        <v>0</v>
      </c>
    </row>
    <row r="20" spans="1:22" s="92" customFormat="1">
      <c r="A20" s="93">
        <v>14</v>
      </c>
      <c r="B20" s="98" t="s">
        <v>143</v>
      </c>
      <c r="C20" s="991"/>
      <c r="D20" s="985">
        <v>479912.64</v>
      </c>
      <c r="E20" s="985"/>
      <c r="F20" s="985"/>
      <c r="G20" s="985"/>
      <c r="H20" s="985"/>
      <c r="I20" s="985"/>
      <c r="J20" s="985"/>
      <c r="K20" s="985"/>
      <c r="L20" s="935"/>
      <c r="M20" s="991"/>
      <c r="N20" s="985"/>
      <c r="O20" s="985"/>
      <c r="P20" s="985"/>
      <c r="Q20" s="985"/>
      <c r="R20" s="985"/>
      <c r="S20" s="935"/>
      <c r="T20" s="992">
        <f>D20</f>
        <v>479912.64</v>
      </c>
      <c r="U20" s="992"/>
      <c r="V20" s="993">
        <f t="shared" si="0"/>
        <v>479912.64</v>
      </c>
    </row>
    <row r="21" spans="1:22" ht="13.5" thickBot="1">
      <c r="A21" s="63"/>
      <c r="B21" s="64" t="s">
        <v>66</v>
      </c>
      <c r="C21" s="995">
        <f>SUM(C7:C20)</f>
        <v>0</v>
      </c>
      <c r="D21" s="996">
        <f t="shared" ref="D21:V21" si="1">SUM(D7:D20)</f>
        <v>14735133.4713249</v>
      </c>
      <c r="E21" s="996">
        <f t="shared" si="1"/>
        <v>0</v>
      </c>
      <c r="F21" s="996">
        <f t="shared" si="1"/>
        <v>0</v>
      </c>
      <c r="G21" s="996">
        <f t="shared" si="1"/>
        <v>0</v>
      </c>
      <c r="H21" s="996">
        <f t="shared" si="1"/>
        <v>0</v>
      </c>
      <c r="I21" s="996">
        <f t="shared" si="1"/>
        <v>0</v>
      </c>
      <c r="J21" s="996">
        <f t="shared" si="1"/>
        <v>0</v>
      </c>
      <c r="K21" s="996">
        <f t="shared" si="1"/>
        <v>0</v>
      </c>
      <c r="L21" s="997">
        <f t="shared" si="1"/>
        <v>0</v>
      </c>
      <c r="M21" s="995">
        <f t="shared" si="1"/>
        <v>0</v>
      </c>
      <c r="N21" s="996">
        <f t="shared" si="1"/>
        <v>0</v>
      </c>
      <c r="O21" s="996">
        <f t="shared" si="1"/>
        <v>0</v>
      </c>
      <c r="P21" s="996">
        <f t="shared" si="1"/>
        <v>0</v>
      </c>
      <c r="Q21" s="996">
        <f t="shared" si="1"/>
        <v>0</v>
      </c>
      <c r="R21" s="996">
        <f t="shared" si="1"/>
        <v>0</v>
      </c>
      <c r="S21" s="997">
        <f>SUM(S7:S20)</f>
        <v>0</v>
      </c>
      <c r="T21" s="997">
        <f>SUM(T7:T20)</f>
        <v>13098262.639999922</v>
      </c>
      <c r="U21" s="997">
        <f t="shared" ref="U21" si="2">SUM(U7:U20)</f>
        <v>1636870.8313249999</v>
      </c>
      <c r="V21" s="994">
        <f t="shared" si="1"/>
        <v>14735133.4713249</v>
      </c>
    </row>
    <row r="24" spans="1:22">
      <c r="A24" s="18"/>
      <c r="B24" s="18"/>
      <c r="C24" s="40"/>
      <c r="D24" s="40"/>
      <c r="E24" s="40"/>
    </row>
    <row r="25" spans="1:22">
      <c r="A25" s="56"/>
      <c r="B25" s="56"/>
      <c r="C25" s="18"/>
      <c r="D25" s="40"/>
      <c r="E25" s="40"/>
    </row>
    <row r="26" spans="1:22">
      <c r="A26" s="56"/>
      <c r="B26" s="57"/>
      <c r="C26" s="18"/>
      <c r="D26" s="40"/>
      <c r="E26" s="40"/>
    </row>
    <row r="27" spans="1:22">
      <c r="A27" s="56"/>
      <c r="B27" s="56"/>
      <c r="C27" s="18"/>
      <c r="D27" s="40"/>
      <c r="E27" s="40"/>
    </row>
    <row r="28" spans="1:22">
      <c r="A28" s="56"/>
      <c r="B28" s="57"/>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80" zoomScaleNormal="80" workbookViewId="0">
      <pane xSplit="1" ySplit="7" topLeftCell="B8"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10.5703125" style="2" bestFit="1" customWidth="1"/>
    <col min="2" max="2" width="101.85546875" style="2" customWidth="1"/>
    <col min="3" max="3" width="13.85546875" style="2" customWidth="1"/>
    <col min="4" max="4" width="14.85546875" style="2" bestFit="1" customWidth="1"/>
    <col min="5" max="5" width="17.85546875" style="2" customWidth="1"/>
    <col min="6" max="6" width="15.85546875" style="2" customWidth="1"/>
    <col min="7" max="7" width="17.42578125" style="2" customWidth="1"/>
    <col min="8" max="8" width="15.140625" style="2" customWidth="1"/>
    <col min="9" max="16384" width="9.140625" style="12"/>
  </cols>
  <sheetData>
    <row r="1" spans="1:9">
      <c r="A1" s="2" t="s">
        <v>97</v>
      </c>
      <c r="B1" s="783" t="str">
        <f>Info!C2</f>
        <v>სს იშბანკი საქართველო</v>
      </c>
    </row>
    <row r="2" spans="1:9">
      <c r="A2" s="2" t="s">
        <v>98</v>
      </c>
      <c r="B2" s="784">
        <f>'1. key ratios'!B2</f>
        <v>45747</v>
      </c>
    </row>
    <row r="4" spans="1:9" ht="13.5" thickBot="1">
      <c r="A4" s="2" t="s">
        <v>250</v>
      </c>
      <c r="B4" s="155" t="s">
        <v>284</v>
      </c>
    </row>
    <row r="5" spans="1:9">
      <c r="A5" s="61"/>
      <c r="B5" s="90"/>
      <c r="C5" s="95" t="s">
        <v>0</v>
      </c>
      <c r="D5" s="95" t="s">
        <v>1</v>
      </c>
      <c r="E5" s="95" t="s">
        <v>2</v>
      </c>
      <c r="F5" s="95" t="s">
        <v>3</v>
      </c>
      <c r="G5" s="153" t="s">
        <v>4</v>
      </c>
      <c r="H5" s="96" t="s">
        <v>5</v>
      </c>
      <c r="I5" s="24"/>
    </row>
    <row r="6" spans="1:9" ht="15" customHeight="1">
      <c r="A6" s="89"/>
      <c r="B6" s="22"/>
      <c r="C6" s="643" t="s">
        <v>276</v>
      </c>
      <c r="D6" s="647" t="s">
        <v>297</v>
      </c>
      <c r="E6" s="648"/>
      <c r="F6" s="643" t="s">
        <v>303</v>
      </c>
      <c r="G6" s="643" t="s">
        <v>304</v>
      </c>
      <c r="H6" s="645" t="s">
        <v>278</v>
      </c>
      <c r="I6" s="24"/>
    </row>
    <row r="7" spans="1:9" ht="63.75">
      <c r="A7" s="89"/>
      <c r="B7" s="22"/>
      <c r="C7" s="644"/>
      <c r="D7" s="154" t="s">
        <v>279</v>
      </c>
      <c r="E7" s="154" t="s">
        <v>277</v>
      </c>
      <c r="F7" s="644"/>
      <c r="G7" s="644"/>
      <c r="H7" s="646"/>
      <c r="I7" s="24"/>
    </row>
    <row r="8" spans="1:9">
      <c r="A8" s="53">
        <v>1</v>
      </c>
      <c r="B8" s="98" t="s">
        <v>123</v>
      </c>
      <c r="C8" s="998">
        <f>'11. CRWA'!C8+'11. CRWA'!E8+'11. CRWA'!G8+'11. CRWA'!I8+'11. CRWA'!K8+'11. CRWA'!M8+'11. CRWA'!O8+'11. CRWA'!Q8</f>
        <v>52068101.494819783</v>
      </c>
      <c r="D8" s="999"/>
      <c r="E8" s="998"/>
      <c r="F8" s="998">
        <f>'11. CRWA'!S8</f>
        <v>49992105.805319794</v>
      </c>
      <c r="G8" s="1000">
        <f>F8-'12. CRM'!V7</f>
        <v>49992105.805319794</v>
      </c>
      <c r="H8" s="1001">
        <f>IFERROR(G8/(C8+E8),0)</f>
        <v>0.96012922250091015</v>
      </c>
    </row>
    <row r="9" spans="1:9" ht="15" customHeight="1">
      <c r="A9" s="53">
        <v>2</v>
      </c>
      <c r="B9" s="98" t="s">
        <v>124</v>
      </c>
      <c r="C9" s="998">
        <f>'11. CRWA'!C9+'11. CRWA'!E9+'11. CRWA'!G9+'11. CRWA'!I9+'11. CRWA'!K9+'11. CRWA'!M9+'11. CRWA'!O9+'11. CRWA'!Q9</f>
        <v>0</v>
      </c>
      <c r="D9" s="999"/>
      <c r="E9" s="998"/>
      <c r="F9" s="998">
        <f>'11. CRWA'!S9</f>
        <v>0</v>
      </c>
      <c r="G9" s="1000">
        <f>F9-'12. CRM'!V8</f>
        <v>0</v>
      </c>
      <c r="H9" s="1001">
        <f t="shared" ref="H9:H21" si="0">IFERROR(G9/(C9+E9),0)</f>
        <v>0</v>
      </c>
    </row>
    <row r="10" spans="1:9">
      <c r="A10" s="53">
        <v>3</v>
      </c>
      <c r="B10" s="98" t="s">
        <v>125</v>
      </c>
      <c r="C10" s="998">
        <f>'11. CRWA'!C10+'11. CRWA'!E10+'11. CRWA'!G10+'11. CRWA'!I10+'11. CRWA'!K10+'11. CRWA'!M10+'11. CRWA'!O10+'11. CRWA'!Q10</f>
        <v>0</v>
      </c>
      <c r="D10" s="999"/>
      <c r="E10" s="998"/>
      <c r="F10" s="998">
        <f>'11. CRWA'!S10</f>
        <v>0</v>
      </c>
      <c r="G10" s="1000">
        <f>F10-'12. CRM'!V9</f>
        <v>0</v>
      </c>
      <c r="H10" s="1001">
        <f t="shared" si="0"/>
        <v>0</v>
      </c>
    </row>
    <row r="11" spans="1:9">
      <c r="A11" s="53">
        <v>4</v>
      </c>
      <c r="B11" s="98" t="s">
        <v>126</v>
      </c>
      <c r="C11" s="998">
        <f>'11. CRWA'!C11+'11. CRWA'!E11+'11. CRWA'!G11+'11. CRWA'!I11+'11. CRWA'!K11+'11. CRWA'!M11+'11. CRWA'!O11+'11. CRWA'!Q11</f>
        <v>0</v>
      </c>
      <c r="D11" s="999"/>
      <c r="E11" s="998"/>
      <c r="F11" s="998">
        <f>'11. CRWA'!S11</f>
        <v>0</v>
      </c>
      <c r="G11" s="1000">
        <f>F11-'12. CRM'!V10</f>
        <v>0</v>
      </c>
      <c r="H11" s="1001">
        <f t="shared" si="0"/>
        <v>0</v>
      </c>
    </row>
    <row r="12" spans="1:9">
      <c r="A12" s="53">
        <v>5</v>
      </c>
      <c r="B12" s="98" t="s">
        <v>912</v>
      </c>
      <c r="C12" s="998">
        <f>'11. CRWA'!C12+'11. CRWA'!E12+'11. CRWA'!G12+'11. CRWA'!I12+'11. CRWA'!K12+'11. CRWA'!M12+'11. CRWA'!O12+'11. CRWA'!Q12</f>
        <v>0</v>
      </c>
      <c r="D12" s="999"/>
      <c r="E12" s="998"/>
      <c r="F12" s="998">
        <f>'11. CRWA'!S12</f>
        <v>0</v>
      </c>
      <c r="G12" s="1000">
        <f>F12-'12. CRM'!V11</f>
        <v>0</v>
      </c>
      <c r="H12" s="1001">
        <f t="shared" si="0"/>
        <v>0</v>
      </c>
    </row>
    <row r="13" spans="1:9">
      <c r="A13" s="53">
        <v>6</v>
      </c>
      <c r="B13" s="98" t="s">
        <v>127</v>
      </c>
      <c r="C13" s="998">
        <f>'11. CRWA'!C13+'11. CRWA'!E13+'11. CRWA'!G13+'11. CRWA'!I13+'11. CRWA'!K13+'11. CRWA'!M13+'11. CRWA'!O13+'11. CRWA'!Q13</f>
        <v>36158186.763996869</v>
      </c>
      <c r="D13" s="999">
        <f>'11. CRWA'!D13+'11. CRWA'!F13+'11. CRWA'!H13+'11. CRWA'!J13+'11. CRWA'!L13+'11. CRWA'!N13+'11. CRWA'!P13+'11. CRWA'!R13</f>
        <v>65290407.576726109</v>
      </c>
      <c r="E13" s="998">
        <f>'11. CRWA'!D13+'11. CRWA'!F13+'11. CRWA'!H13+'11. CRWA'!J13+'11. CRWA'!L13+'11. CRWA'!N13+'11. CRWA'!P13+'11. CRWA'!R13</f>
        <v>65290407.576726109</v>
      </c>
      <c r="F13" s="998">
        <f>'11. CRWA'!S13</f>
        <v>67783947.384681493</v>
      </c>
      <c r="G13" s="1000">
        <f>F13-'12. CRM'!V12</f>
        <v>67783947.384681493</v>
      </c>
      <c r="H13" s="1001">
        <f t="shared" si="0"/>
        <v>0.66816053810488341</v>
      </c>
    </row>
    <row r="14" spans="1:9">
      <c r="A14" s="53">
        <v>7</v>
      </c>
      <c r="B14" s="98" t="s">
        <v>71</v>
      </c>
      <c r="C14" s="998">
        <f>'11. CRWA'!C14+'11. CRWA'!E14+'11. CRWA'!G14+'11. CRWA'!I14+'11. CRWA'!K14+'11. CRWA'!M14+'11. CRWA'!O14+'11. CRWA'!Q14</f>
        <v>359862053.79936951</v>
      </c>
      <c r="D14" s="999">
        <f>'11. CRWA'!D14+'11. CRWA'!F14+'11. CRWA'!H14+'11. CRWA'!J14+'11. CRWA'!L14+'11. CRWA'!N14+'11. CRWA'!P14+'11. CRWA'!R14</f>
        <v>12691555.739211263</v>
      </c>
      <c r="E14" s="998">
        <f>'11. CRWA'!D14+'11. CRWA'!F14+'11. CRWA'!H14+'11. CRWA'!J14+'11. CRWA'!L14+'11. CRWA'!N14+'11. CRWA'!P14+'11. CRWA'!R14</f>
        <v>12691555.739211263</v>
      </c>
      <c r="F14" s="998">
        <f>'11. CRWA'!S14</f>
        <v>372553609.53858078</v>
      </c>
      <c r="G14" s="1000">
        <f>F14-'12. CRM'!V13</f>
        <v>358298388.7072559</v>
      </c>
      <c r="H14" s="1001">
        <f t="shared" si="0"/>
        <v>0.9617364576094688</v>
      </c>
    </row>
    <row r="15" spans="1:9">
      <c r="A15" s="53">
        <v>8</v>
      </c>
      <c r="B15" s="98" t="s">
        <v>72</v>
      </c>
      <c r="C15" s="998">
        <f>'11. CRWA'!C15+'11. CRWA'!E15+'11. CRWA'!G15+'11. CRWA'!I15+'11. CRWA'!K15+'11. CRWA'!M15+'11. CRWA'!O15+'11. CRWA'!Q15</f>
        <v>0</v>
      </c>
      <c r="D15" s="999"/>
      <c r="E15" s="998"/>
      <c r="F15" s="998">
        <f>'11. CRWA'!S15</f>
        <v>0</v>
      </c>
      <c r="G15" s="1000">
        <f>F15-'12. CRM'!V14</f>
        <v>0</v>
      </c>
      <c r="H15" s="1001">
        <f t="shared" si="0"/>
        <v>0</v>
      </c>
    </row>
    <row r="16" spans="1:9">
      <c r="A16" s="53">
        <v>9</v>
      </c>
      <c r="B16" s="98" t="s">
        <v>913</v>
      </c>
      <c r="C16" s="998">
        <f>'11. CRWA'!C16+'11. CRWA'!E16+'11. CRWA'!G16+'11. CRWA'!I16+'11. CRWA'!K16+'11. CRWA'!M16+'11. CRWA'!O16+'11. CRWA'!Q16</f>
        <v>0</v>
      </c>
      <c r="D16" s="999"/>
      <c r="E16" s="998"/>
      <c r="F16" s="998">
        <f>'11. CRWA'!S16</f>
        <v>0</v>
      </c>
      <c r="G16" s="1000">
        <f>F16-'12. CRM'!V15</f>
        <v>0</v>
      </c>
      <c r="H16" s="1001">
        <f t="shared" si="0"/>
        <v>0</v>
      </c>
    </row>
    <row r="17" spans="1:8">
      <c r="A17" s="53">
        <v>10</v>
      </c>
      <c r="B17" s="98" t="s">
        <v>67</v>
      </c>
      <c r="C17" s="998">
        <f>'11. CRWA'!C17+'11. CRWA'!E17+'11. CRWA'!G17+'11. CRWA'!I17+'11. CRWA'!K17+'11. CRWA'!M17+'11. CRWA'!O17+'11. CRWA'!Q17</f>
        <v>559929.83028272679</v>
      </c>
      <c r="D17" s="999"/>
      <c r="E17" s="998"/>
      <c r="F17" s="998">
        <f>'11. CRWA'!S17</f>
        <v>559929.83028272679</v>
      </c>
      <c r="G17" s="1000">
        <f>F17-'12. CRM'!V16</f>
        <v>559929.83028272679</v>
      </c>
      <c r="H17" s="1001">
        <f t="shared" si="0"/>
        <v>1</v>
      </c>
    </row>
    <row r="18" spans="1:8">
      <c r="A18" s="53">
        <v>11</v>
      </c>
      <c r="B18" s="98" t="s">
        <v>68</v>
      </c>
      <c r="C18" s="998">
        <f>'11. CRWA'!C18+'11. CRWA'!E18+'11. CRWA'!G18+'11. CRWA'!I18+'11. CRWA'!K18+'11. CRWA'!M18+'11. CRWA'!O18+'11. CRWA'!Q18</f>
        <v>0</v>
      </c>
      <c r="D18" s="999"/>
      <c r="E18" s="998"/>
      <c r="F18" s="998">
        <f>'11. CRWA'!S18</f>
        <v>0</v>
      </c>
      <c r="G18" s="1000">
        <f>F18-'12. CRM'!V17</f>
        <v>0</v>
      </c>
      <c r="H18" s="1001">
        <f t="shared" si="0"/>
        <v>0</v>
      </c>
    </row>
    <row r="19" spans="1:8">
      <c r="A19" s="53">
        <v>12</v>
      </c>
      <c r="B19" s="98" t="s">
        <v>69</v>
      </c>
      <c r="C19" s="998">
        <f>'11. CRWA'!C19+'11. CRWA'!E19+'11. CRWA'!G19+'11. CRWA'!I19+'11. CRWA'!K19+'11. CRWA'!M19+'11. CRWA'!O19+'11. CRWA'!Q19</f>
        <v>0</v>
      </c>
      <c r="D19" s="999"/>
      <c r="E19" s="998"/>
      <c r="F19" s="998">
        <f>'11. CRWA'!S19</f>
        <v>0</v>
      </c>
      <c r="G19" s="1000">
        <f>F19-'12. CRM'!V18</f>
        <v>0</v>
      </c>
      <c r="H19" s="1001">
        <f t="shared" si="0"/>
        <v>0</v>
      </c>
    </row>
    <row r="20" spans="1:8">
      <c r="A20" s="53">
        <v>13</v>
      </c>
      <c r="B20" s="98" t="s">
        <v>70</v>
      </c>
      <c r="C20" s="998">
        <f>'11. CRWA'!C20+'11. CRWA'!E20+'11. CRWA'!G20+'11. CRWA'!I20+'11. CRWA'!K20+'11. CRWA'!M20+'11. CRWA'!O20+'11. CRWA'!Q20</f>
        <v>0</v>
      </c>
      <c r="D20" s="999"/>
      <c r="E20" s="998"/>
      <c r="F20" s="998">
        <f>'11. CRWA'!S20</f>
        <v>0</v>
      </c>
      <c r="G20" s="1000">
        <f>F20-'12. CRM'!V19</f>
        <v>0</v>
      </c>
      <c r="H20" s="1001">
        <f t="shared" si="0"/>
        <v>0</v>
      </c>
    </row>
    <row r="21" spans="1:8">
      <c r="A21" s="53">
        <v>14</v>
      </c>
      <c r="B21" s="98" t="s">
        <v>143</v>
      </c>
      <c r="C21" s="998">
        <f>'11. CRWA'!C21+'11. CRWA'!E21+'11. CRWA'!G21+'11. CRWA'!I21+'11. CRWA'!K21+'11. CRWA'!M21+'11. CRWA'!O21+'11. CRWA'!Q21</f>
        <v>20356772.254652381</v>
      </c>
      <c r="D21" s="999"/>
      <c r="E21" s="998"/>
      <c r="F21" s="998">
        <f>'11. CRWA'!S21</f>
        <v>19537998.760152381</v>
      </c>
      <c r="G21" s="1000">
        <f>F21-'12. CRM'!V20</f>
        <v>19058086.12015238</v>
      </c>
      <c r="H21" s="1001">
        <f t="shared" si="0"/>
        <v>0.93620373022529657</v>
      </c>
    </row>
    <row r="22" spans="1:8" ht="13.5" thickBot="1">
      <c r="A22" s="91"/>
      <c r="B22" s="97" t="s">
        <v>66</v>
      </c>
      <c r="C22" s="1002">
        <f>SUM(C8:C21)</f>
        <v>469005044.1431213</v>
      </c>
      <c r="D22" s="1002">
        <f>SUM(D8:D21)</f>
        <v>77981963.31593737</v>
      </c>
      <c r="E22" s="1002">
        <f>SUM(E8:E21)</f>
        <v>77981963.31593737</v>
      </c>
      <c r="F22" s="1002">
        <f>SUM(F8:F21)</f>
        <v>510427591.31901717</v>
      </c>
      <c r="G22" s="1002">
        <f>SUM(G8:G21)</f>
        <v>495692457.84769231</v>
      </c>
      <c r="H22" s="1003">
        <f>G22/(C22+E22)</f>
        <v>0.90622345885390032</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80" zoomScaleNormal="8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183" bestFit="1" customWidth="1"/>
    <col min="2" max="2" width="104.140625" style="183" customWidth="1"/>
    <col min="3" max="5" width="12.85546875" style="183" customWidth="1"/>
    <col min="6" max="6" width="13.5703125" style="183" bestFit="1" customWidth="1"/>
    <col min="7" max="8" width="13" style="183" bestFit="1" customWidth="1"/>
    <col min="9" max="9" width="13.5703125" style="183" bestFit="1" customWidth="1"/>
    <col min="10" max="11" width="13" style="183" bestFit="1" customWidth="1"/>
    <col min="12" max="16384" width="9.140625" style="183"/>
  </cols>
  <sheetData>
    <row r="1" spans="1:11">
      <c r="A1" s="183" t="s">
        <v>97</v>
      </c>
      <c r="B1" s="783" t="str">
        <f>Info!C2</f>
        <v>სს იშბანკი საქართველო</v>
      </c>
    </row>
    <row r="2" spans="1:11">
      <c r="A2" s="183" t="s">
        <v>98</v>
      </c>
      <c r="B2" s="784">
        <f>'1. key ratios'!B2</f>
        <v>45747</v>
      </c>
      <c r="C2" s="184"/>
      <c r="D2" s="184"/>
    </row>
    <row r="3" spans="1:11">
      <c r="B3" s="184"/>
      <c r="C3" s="184"/>
      <c r="D3" s="184"/>
    </row>
    <row r="4" spans="1:11" ht="13.5" thickBot="1">
      <c r="A4" s="183" t="s">
        <v>340</v>
      </c>
      <c r="B4" s="155" t="s">
        <v>339</v>
      </c>
      <c r="C4" s="184"/>
      <c r="D4" s="184"/>
    </row>
    <row r="5" spans="1:11" ht="30" customHeight="1">
      <c r="A5" s="652"/>
      <c r="B5" s="653"/>
      <c r="C5" s="650" t="s">
        <v>372</v>
      </c>
      <c r="D5" s="650"/>
      <c r="E5" s="650"/>
      <c r="F5" s="650" t="s">
        <v>373</v>
      </c>
      <c r="G5" s="650"/>
      <c r="H5" s="650"/>
      <c r="I5" s="650" t="s">
        <v>374</v>
      </c>
      <c r="J5" s="650"/>
      <c r="K5" s="651"/>
    </row>
    <row r="6" spans="1:11">
      <c r="A6" s="181"/>
      <c r="B6" s="182"/>
      <c r="C6" s="185" t="s">
        <v>26</v>
      </c>
      <c r="D6" s="185" t="s">
        <v>79</v>
      </c>
      <c r="E6" s="185" t="s">
        <v>66</v>
      </c>
      <c r="F6" s="185" t="s">
        <v>26</v>
      </c>
      <c r="G6" s="185" t="s">
        <v>79</v>
      </c>
      <c r="H6" s="185" t="s">
        <v>66</v>
      </c>
      <c r="I6" s="185" t="s">
        <v>26</v>
      </c>
      <c r="J6" s="185" t="s">
        <v>79</v>
      </c>
      <c r="K6" s="187" t="s">
        <v>66</v>
      </c>
    </row>
    <row r="7" spans="1:11">
      <c r="A7" s="188" t="s">
        <v>310</v>
      </c>
      <c r="B7" s="180"/>
      <c r="C7" s="1004"/>
      <c r="D7" s="1005"/>
      <c r="E7" s="189"/>
      <c r="F7" s="1004"/>
      <c r="G7" s="1005"/>
      <c r="H7" s="189"/>
      <c r="I7" s="1005"/>
      <c r="J7" s="1005"/>
      <c r="K7" s="189"/>
    </row>
    <row r="8" spans="1:11">
      <c r="A8" s="179">
        <v>1</v>
      </c>
      <c r="B8" s="164" t="s">
        <v>310</v>
      </c>
      <c r="C8" s="791"/>
      <c r="D8" s="162"/>
      <c r="E8" s="163"/>
      <c r="F8" s="1006">
        <v>14391338.02569194</v>
      </c>
      <c r="G8" s="1007">
        <v>103663301.74063744</v>
      </c>
      <c r="H8" s="1008">
        <f>G8+F8</f>
        <v>118054639.76632938</v>
      </c>
      <c r="I8" s="1009">
        <v>14410036.219933553</v>
      </c>
      <c r="J8" s="1007">
        <v>103395844.64266612</v>
      </c>
      <c r="K8" s="1008">
        <f>I8+J8</f>
        <v>117805880.86259967</v>
      </c>
    </row>
    <row r="9" spans="1:11">
      <c r="A9" s="188" t="s">
        <v>311</v>
      </c>
      <c r="B9" s="180"/>
      <c r="C9" s="1004"/>
      <c r="D9" s="1005"/>
      <c r="E9" s="189"/>
      <c r="F9" s="1004"/>
      <c r="G9" s="1005"/>
      <c r="H9" s="189"/>
      <c r="I9" s="1005"/>
      <c r="J9" s="1005"/>
      <c r="K9" s="189"/>
    </row>
    <row r="10" spans="1:11">
      <c r="A10" s="190">
        <v>2</v>
      </c>
      <c r="B10" s="165" t="s">
        <v>312</v>
      </c>
      <c r="C10" s="1006">
        <v>1708431.5422580647</v>
      </c>
      <c r="D10" s="1010">
        <v>11795867.921160096</v>
      </c>
      <c r="E10" s="1008">
        <f>C10+D10</f>
        <v>13504299.463418161</v>
      </c>
      <c r="F10" s="1006">
        <v>675909.09962580632</v>
      </c>
      <c r="G10" s="1010">
        <v>3161164.6031492623</v>
      </c>
      <c r="H10" s="1008">
        <f>G10+F10</f>
        <v>3837073.7027750686</v>
      </c>
      <c r="I10" s="1009">
        <v>158710.14459677422</v>
      </c>
      <c r="J10" s="1010">
        <v>877560.83270699834</v>
      </c>
      <c r="K10" s="1008">
        <f>I10+J10</f>
        <v>1036270.9773037726</v>
      </c>
    </row>
    <row r="11" spans="1:11">
      <c r="A11" s="190">
        <v>3</v>
      </c>
      <c r="B11" s="165" t="s">
        <v>313</v>
      </c>
      <c r="C11" s="1006">
        <v>27812994.507741928</v>
      </c>
      <c r="D11" s="1010">
        <v>253946235.67448086</v>
      </c>
      <c r="E11" s="1008">
        <f t="shared" ref="E11:E16" si="0">C11+D11</f>
        <v>281759230.18222278</v>
      </c>
      <c r="F11" s="1011">
        <v>18069862.828983866</v>
      </c>
      <c r="G11" s="1009">
        <v>66093473.027526394</v>
      </c>
      <c r="H11" s="1008">
        <f t="shared" ref="H11:H16" si="1">G11+F11</f>
        <v>84163335.856510252</v>
      </c>
      <c r="I11" s="1011">
        <v>15778169.688580642</v>
      </c>
      <c r="J11" s="1009">
        <v>54115645.608588666</v>
      </c>
      <c r="K11" s="1008">
        <f t="shared" ref="K11:K16" si="2">I11+J11</f>
        <v>69893815.297169313</v>
      </c>
    </row>
    <row r="12" spans="1:11">
      <c r="A12" s="190">
        <v>4</v>
      </c>
      <c r="B12" s="165" t="s">
        <v>314</v>
      </c>
      <c r="C12" s="1012"/>
      <c r="D12" s="1013"/>
      <c r="E12" s="1008">
        <f t="shared" si="0"/>
        <v>0</v>
      </c>
      <c r="F12" s="1012"/>
      <c r="G12" s="1013"/>
      <c r="H12" s="1008">
        <f t="shared" si="1"/>
        <v>0</v>
      </c>
      <c r="I12" s="1014"/>
      <c r="J12" s="1013"/>
      <c r="K12" s="1008">
        <f t="shared" si="2"/>
        <v>0</v>
      </c>
    </row>
    <row r="13" spans="1:11">
      <c r="A13" s="190">
        <v>5</v>
      </c>
      <c r="B13" s="165" t="s">
        <v>315</v>
      </c>
      <c r="C13" s="1006">
        <v>81770691.109354839</v>
      </c>
      <c r="D13" s="1010">
        <v>77163165.718675137</v>
      </c>
      <c r="E13" s="1008">
        <f t="shared" si="0"/>
        <v>158933856.82802999</v>
      </c>
      <c r="F13" s="1006">
        <v>8198074.0700000022</v>
      </c>
      <c r="G13" s="1010">
        <v>7896298.4346566424</v>
      </c>
      <c r="H13" s="1008">
        <f t="shared" si="1"/>
        <v>16094372.504656645</v>
      </c>
      <c r="I13" s="1009">
        <v>4088534.555467743</v>
      </c>
      <c r="J13" s="1010">
        <v>3858158.2859337563</v>
      </c>
      <c r="K13" s="1008">
        <f t="shared" si="2"/>
        <v>7946692.8414014988</v>
      </c>
    </row>
    <row r="14" spans="1:11">
      <c r="A14" s="190">
        <v>6</v>
      </c>
      <c r="B14" s="165" t="s">
        <v>330</v>
      </c>
      <c r="C14" s="1012"/>
      <c r="D14" s="1013"/>
      <c r="E14" s="1008">
        <f t="shared" si="0"/>
        <v>0</v>
      </c>
      <c r="F14" s="1012"/>
      <c r="G14" s="1013"/>
      <c r="H14" s="1008">
        <f t="shared" si="1"/>
        <v>0</v>
      </c>
      <c r="I14" s="1014"/>
      <c r="J14" s="1013"/>
      <c r="K14" s="1008">
        <f t="shared" si="2"/>
        <v>0</v>
      </c>
    </row>
    <row r="15" spans="1:11">
      <c r="A15" s="190">
        <v>7</v>
      </c>
      <c r="B15" s="165" t="s">
        <v>317</v>
      </c>
      <c r="C15" s="1006">
        <v>371564.4746451613</v>
      </c>
      <c r="D15" s="1010">
        <v>2363422.7092351411</v>
      </c>
      <c r="E15" s="1008">
        <f t="shared" si="0"/>
        <v>2734987.1838803021</v>
      </c>
      <c r="F15" s="1006">
        <v>0</v>
      </c>
      <c r="G15" s="1010">
        <v>0</v>
      </c>
      <c r="H15" s="1008">
        <f t="shared" si="1"/>
        <v>0</v>
      </c>
      <c r="I15" s="1009">
        <v>0</v>
      </c>
      <c r="J15" s="1010">
        <v>0</v>
      </c>
      <c r="K15" s="1008">
        <f t="shared" si="2"/>
        <v>0</v>
      </c>
    </row>
    <row r="16" spans="1:11">
      <c r="A16" s="190">
        <v>8</v>
      </c>
      <c r="B16" s="166" t="s">
        <v>318</v>
      </c>
      <c r="C16" s="1015">
        <f>SUM(C10:C15)</f>
        <v>111663681.634</v>
      </c>
      <c r="D16" s="1016">
        <f>SUM(D10:D15)</f>
        <v>345268692.02355123</v>
      </c>
      <c r="E16" s="1008">
        <f t="shared" si="0"/>
        <v>456932373.65755123</v>
      </c>
      <c r="F16" s="1017">
        <f>SUM(F10:F15)</f>
        <v>26943845.998609677</v>
      </c>
      <c r="G16" s="1018">
        <f>SUM(G10:G15)</f>
        <v>77150936.065332294</v>
      </c>
      <c r="H16" s="1008">
        <f t="shared" si="1"/>
        <v>104094782.06394197</v>
      </c>
      <c r="I16" s="1016">
        <f>SUM(I10:I15)</f>
        <v>20025414.388645157</v>
      </c>
      <c r="J16" s="1018">
        <f>SUM(J10:J15)</f>
        <v>58851364.727229416</v>
      </c>
      <c r="K16" s="1008">
        <f t="shared" si="2"/>
        <v>78876779.115874574</v>
      </c>
    </row>
    <row r="17" spans="1:11">
      <c r="A17" s="188" t="s">
        <v>319</v>
      </c>
      <c r="B17" s="180"/>
      <c r="C17" s="1004"/>
      <c r="D17" s="1005"/>
      <c r="E17" s="189"/>
      <c r="F17" s="1004"/>
      <c r="G17" s="1005"/>
      <c r="H17" s="189"/>
      <c r="I17" s="1005"/>
      <c r="J17" s="1005"/>
      <c r="K17" s="189"/>
    </row>
    <row r="18" spans="1:11">
      <c r="A18" s="190">
        <v>9</v>
      </c>
      <c r="B18" s="165" t="s">
        <v>320</v>
      </c>
      <c r="C18" s="1012"/>
      <c r="D18" s="1013"/>
      <c r="E18" s="1008">
        <f>C18+D18</f>
        <v>0</v>
      </c>
      <c r="F18" s="1012"/>
      <c r="G18" s="1013"/>
      <c r="H18" s="1008">
        <f>F18+G18</f>
        <v>0</v>
      </c>
      <c r="I18" s="1014"/>
      <c r="J18" s="1013"/>
      <c r="K18" s="1008">
        <f>I18+J18</f>
        <v>0</v>
      </c>
    </row>
    <row r="19" spans="1:11">
      <c r="A19" s="190">
        <v>10</v>
      </c>
      <c r="B19" s="165" t="s">
        <v>321</v>
      </c>
      <c r="C19" s="1006">
        <v>170214060.95665675</v>
      </c>
      <c r="D19" s="1010">
        <v>228385054.28350952</v>
      </c>
      <c r="E19" s="1008">
        <f t="shared" ref="E19:E21" si="3">C19+D19</f>
        <v>398599115.24016631</v>
      </c>
      <c r="F19" s="1006">
        <v>18744231.378714282</v>
      </c>
      <c r="G19" s="1010">
        <v>1503207.7183126751</v>
      </c>
      <c r="H19" s="1008">
        <f t="shared" ref="H19:H21" si="4">F19+G19</f>
        <v>20247439.097026959</v>
      </c>
      <c r="I19" s="1009">
        <v>23303765.108354025</v>
      </c>
      <c r="J19" s="1010">
        <v>62707011.313811369</v>
      </c>
      <c r="K19" s="1008">
        <f t="shared" ref="K19:K21" si="5">I19+J19</f>
        <v>86010776.422165394</v>
      </c>
    </row>
    <row r="20" spans="1:11">
      <c r="A20" s="190">
        <v>11</v>
      </c>
      <c r="B20" s="165" t="s">
        <v>322</v>
      </c>
      <c r="C20" s="1011">
        <v>9736223.0081421416</v>
      </c>
      <c r="D20" s="1019">
        <v>14234935.548096204</v>
      </c>
      <c r="E20" s="1008">
        <f t="shared" si="3"/>
        <v>23971158.556238346</v>
      </c>
      <c r="F20" s="1011">
        <v>490160.3941098653</v>
      </c>
      <c r="G20" s="1019">
        <v>222580.77004299991</v>
      </c>
      <c r="H20" s="1008">
        <f t="shared" si="4"/>
        <v>712741.16415286518</v>
      </c>
      <c r="I20" s="1020">
        <v>490160.3941098653</v>
      </c>
      <c r="J20" s="1019">
        <v>222580.77004299991</v>
      </c>
      <c r="K20" s="1008">
        <f t="shared" si="5"/>
        <v>712741.16415286518</v>
      </c>
    </row>
    <row r="21" spans="1:11" ht="13.5" thickBot="1">
      <c r="A21" s="132">
        <v>12</v>
      </c>
      <c r="B21" s="191" t="s">
        <v>323</v>
      </c>
      <c r="C21" s="1021">
        <f>SUM(C18:C20)</f>
        <v>179950283.9647989</v>
      </c>
      <c r="D21" s="1022">
        <f>SUM(D18:D20)</f>
        <v>242619989.83160573</v>
      </c>
      <c r="E21" s="1023">
        <f t="shared" si="3"/>
        <v>422570273.7964046</v>
      </c>
      <c r="F21" s="1024">
        <f>SUM(F18:F20)</f>
        <v>19234391.772824146</v>
      </c>
      <c r="G21" s="1025">
        <f>SUM(G18:G20)</f>
        <v>1725788.488355675</v>
      </c>
      <c r="H21" s="1023">
        <f t="shared" si="4"/>
        <v>20960180.26117982</v>
      </c>
      <c r="I21" s="1022">
        <f>SUM(I18:I20)</f>
        <v>23793925.502463888</v>
      </c>
      <c r="J21" s="1025">
        <f>SUM(J18:J20)</f>
        <v>62929592.08385437</v>
      </c>
      <c r="K21" s="1023">
        <f t="shared" si="5"/>
        <v>86723517.586318254</v>
      </c>
    </row>
    <row r="22" spans="1:11" ht="38.25" customHeight="1" thickBot="1">
      <c r="A22" s="177"/>
      <c r="B22" s="178"/>
      <c r="C22" s="178"/>
      <c r="D22" s="178"/>
      <c r="E22" s="178"/>
      <c r="F22" s="649" t="s">
        <v>324</v>
      </c>
      <c r="G22" s="650"/>
      <c r="H22" s="650"/>
      <c r="I22" s="649" t="s">
        <v>325</v>
      </c>
      <c r="J22" s="650"/>
      <c r="K22" s="651"/>
    </row>
    <row r="23" spans="1:11">
      <c r="A23" s="170">
        <v>13</v>
      </c>
      <c r="B23" s="167" t="s">
        <v>310</v>
      </c>
      <c r="C23" s="176"/>
      <c r="D23" s="176"/>
      <c r="E23" s="176"/>
      <c r="F23" s="1026">
        <f>F8</f>
        <v>14391338.02569194</v>
      </c>
      <c r="G23" s="1027">
        <f>G8</f>
        <v>103663301.74063744</v>
      </c>
      <c r="H23" s="1028">
        <f>F23+G23</f>
        <v>118054639.76632938</v>
      </c>
      <c r="I23" s="1026">
        <f>I8</f>
        <v>14410036.219933553</v>
      </c>
      <c r="J23" s="1027">
        <f>J8</f>
        <v>103395844.64266612</v>
      </c>
      <c r="K23" s="1028">
        <f>I23+J23</f>
        <v>117805880.86259967</v>
      </c>
    </row>
    <row r="24" spans="1:11" ht="13.5" thickBot="1">
      <c r="A24" s="171">
        <v>14</v>
      </c>
      <c r="B24" s="168" t="s">
        <v>326</v>
      </c>
      <c r="C24" s="192"/>
      <c r="D24" s="174"/>
      <c r="E24" s="175"/>
      <c r="F24" s="1029">
        <f>F16-MIN(F16*75%,F21)</f>
        <v>7709454.2257855311</v>
      </c>
      <c r="G24" s="1030">
        <f>G16-MIN(G16*75%,G21)</f>
        <v>75425147.576976612</v>
      </c>
      <c r="H24" s="1031">
        <f>F24+G24</f>
        <v>83134601.802762151</v>
      </c>
      <c r="I24" s="1029">
        <f>I16-MIN(I16*75%,I21)</f>
        <v>5006353.5971612893</v>
      </c>
      <c r="J24" s="1030">
        <f>J16-MIN(J16*75%,J21)</f>
        <v>14712841.181807354</v>
      </c>
      <c r="K24" s="1031">
        <f t="shared" ref="K24" si="6">I24+J24</f>
        <v>19719194.778968643</v>
      </c>
    </row>
    <row r="25" spans="1:11" ht="13.5" thickBot="1">
      <c r="A25" s="172">
        <v>15</v>
      </c>
      <c r="B25" s="169" t="s">
        <v>327</v>
      </c>
      <c r="C25" s="173"/>
      <c r="D25" s="173"/>
      <c r="E25" s="173"/>
      <c r="F25" s="1032">
        <f t="shared" ref="F25:G25" si="7">F23/F24</f>
        <v>1.8667129480525035</v>
      </c>
      <c r="G25" s="1033">
        <f t="shared" si="7"/>
        <v>1.3743864622186097</v>
      </c>
      <c r="H25" s="1034">
        <f>H23/H24</f>
        <v>1.4200421630263587</v>
      </c>
      <c r="I25" s="1032">
        <f t="shared" ref="I25:J25" si="8">I23/I24</f>
        <v>2.8783496691293151</v>
      </c>
      <c r="J25" s="1033">
        <f t="shared" si="8"/>
        <v>7.027591976627642</v>
      </c>
      <c r="K25" s="1034">
        <f>K23/K24</f>
        <v>5.9741729914978388</v>
      </c>
    </row>
    <row r="28" spans="1:11" ht="38.25">
      <c r="B28" s="23"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4"/>
  <sheetViews>
    <sheetView showGridLines="0" zoomScale="80" zoomScaleNormal="80" workbookViewId="0">
      <pane xSplit="1" ySplit="1" topLeftCell="B2" activePane="bottomRight" state="frozen"/>
      <selection pane="topRight" activeCell="B1" sqref="B1"/>
      <selection pane="bottomLeft" activeCell="A5" sqref="A5"/>
      <selection pane="bottomRight" activeCell="B4" sqref="B4"/>
    </sheetView>
  </sheetViews>
  <sheetFormatPr defaultColWidth="9.140625" defaultRowHeight="15"/>
  <cols>
    <col min="1" max="1" width="10.5703125" style="38" bestFit="1" customWidth="1"/>
    <col min="2" max="2" width="95" style="38" customWidth="1"/>
    <col min="3" max="9" width="15" style="38" customWidth="1"/>
    <col min="10" max="14" width="18.5703125" style="38" customWidth="1"/>
    <col min="15" max="17" width="18.5703125" style="12" customWidth="1"/>
    <col min="18" max="16384" width="9.140625" style="12"/>
  </cols>
  <sheetData>
    <row r="1" spans="1:17">
      <c r="A1" s="584" t="s">
        <v>97</v>
      </c>
      <c r="B1" s="783" t="str">
        <f>Info!C2</f>
        <v>სს იშბანკი საქართველო</v>
      </c>
    </row>
    <row r="2" spans="1:17">
      <c r="A2" s="38" t="s">
        <v>98</v>
      </c>
      <c r="B2" s="784">
        <f>'1. key ratios'!B2</f>
        <v>45747</v>
      </c>
    </row>
    <row r="3" spans="1:17">
      <c r="B3" s="12"/>
      <c r="C3" s="12"/>
      <c r="D3" s="12"/>
      <c r="E3" s="12"/>
      <c r="F3" s="12"/>
      <c r="G3" s="12"/>
      <c r="H3" s="12"/>
      <c r="I3" s="12"/>
      <c r="J3" s="12"/>
      <c r="K3" s="12"/>
      <c r="L3" s="12"/>
      <c r="M3" s="12"/>
      <c r="N3" s="12"/>
    </row>
    <row r="4" spans="1:17">
      <c r="B4" s="585" t="s">
        <v>980</v>
      </c>
      <c r="C4" s="12"/>
      <c r="D4" s="12"/>
      <c r="E4" s="12"/>
      <c r="F4" s="12"/>
      <c r="G4" s="12"/>
      <c r="H4" s="12"/>
      <c r="I4" s="12"/>
      <c r="J4" s="12"/>
      <c r="K4" s="12"/>
      <c r="L4" s="12"/>
      <c r="M4" s="12"/>
      <c r="N4" s="12"/>
    </row>
    <row r="5" spans="1:17" ht="105">
      <c r="B5" s="586" t="s">
        <v>981</v>
      </c>
      <c r="C5" s="587" t="s">
        <v>982</v>
      </c>
      <c r="D5" s="587" t="s">
        <v>983</v>
      </c>
      <c r="E5" s="587" t="s">
        <v>984</v>
      </c>
      <c r="F5" s="587" t="s">
        <v>985</v>
      </c>
      <c r="G5" s="587" t="s">
        <v>986</v>
      </c>
      <c r="H5" s="587" t="s">
        <v>987</v>
      </c>
      <c r="I5" s="588" t="s">
        <v>988</v>
      </c>
      <c r="J5" s="589">
        <v>0.02</v>
      </c>
      <c r="K5" s="589">
        <v>0.2</v>
      </c>
      <c r="L5" s="589">
        <v>0.35</v>
      </c>
      <c r="M5" s="589">
        <v>0.5</v>
      </c>
      <c r="N5" s="589">
        <v>0.75</v>
      </c>
      <c r="O5" s="589">
        <v>1</v>
      </c>
      <c r="P5" s="589">
        <v>1.5</v>
      </c>
      <c r="Q5" s="590" t="s">
        <v>73</v>
      </c>
    </row>
    <row r="6" spans="1:17" ht="15.75">
      <c r="B6" s="591"/>
      <c r="C6" s="556" t="b">
        <f>IF(C7&gt;0,C7,IF(C8&gt;0,C8,IF(C9&gt;0,C9)))</f>
        <v>0</v>
      </c>
      <c r="D6" s="556" t="b">
        <f t="shared" ref="D6:Q6" si="0">IF(D7&gt;0,D7,IF(D8&gt;0,D8,IF(D9&gt;0,D9)))</f>
        <v>0</v>
      </c>
      <c r="E6" s="556" t="b">
        <f t="shared" si="0"/>
        <v>0</v>
      </c>
      <c r="F6" s="556" t="b">
        <f t="shared" si="0"/>
        <v>0</v>
      </c>
      <c r="G6" s="556" t="b">
        <f t="shared" si="0"/>
        <v>0</v>
      </c>
      <c r="H6" s="556"/>
      <c r="I6" s="556" t="b">
        <f t="shared" si="0"/>
        <v>0</v>
      </c>
      <c r="J6" s="556" t="b">
        <f t="shared" si="0"/>
        <v>0</v>
      </c>
      <c r="K6" s="556" t="b">
        <f t="shared" si="0"/>
        <v>0</v>
      </c>
      <c r="L6" s="556" t="b">
        <f t="shared" si="0"/>
        <v>0</v>
      </c>
      <c r="M6" s="556" t="b">
        <f t="shared" si="0"/>
        <v>0</v>
      </c>
      <c r="N6" s="556" t="b">
        <f t="shared" si="0"/>
        <v>0</v>
      </c>
      <c r="O6" s="556" t="b">
        <f t="shared" si="0"/>
        <v>0</v>
      </c>
      <c r="P6" s="556" t="b">
        <f t="shared" si="0"/>
        <v>0</v>
      </c>
      <c r="Q6" s="556" t="b">
        <f t="shared" si="0"/>
        <v>0</v>
      </c>
    </row>
    <row r="7" spans="1:17" ht="15.75">
      <c r="B7" s="592" t="s">
        <v>976</v>
      </c>
      <c r="C7" s="556">
        <f>C11+C15+C19+C23+C27+C31</f>
        <v>0</v>
      </c>
      <c r="D7" s="556"/>
      <c r="E7" s="556"/>
      <c r="F7" s="556">
        <f t="shared" ref="F7:G9" si="1">F11+F15+F19+F23+F27+F31</f>
        <v>0</v>
      </c>
      <c r="G7" s="556">
        <f t="shared" si="1"/>
        <v>0</v>
      </c>
      <c r="H7" s="593">
        <v>1.4</v>
      </c>
      <c r="I7" s="594">
        <f t="shared" ref="I7:I33" si="2">(F7+G7)*H7</f>
        <v>0</v>
      </c>
      <c r="J7" s="556">
        <f>J11+J15+J19+J23+J27+J31</f>
        <v>0</v>
      </c>
      <c r="K7" s="556">
        <f t="shared" ref="J7:Q9" si="3">K11+K15+K19+K23+K27+K31</f>
        <v>0</v>
      </c>
      <c r="L7" s="556">
        <f t="shared" si="3"/>
        <v>0</v>
      </c>
      <c r="M7" s="556">
        <f t="shared" si="3"/>
        <v>0</v>
      </c>
      <c r="N7" s="556">
        <f t="shared" si="3"/>
        <v>0</v>
      </c>
      <c r="O7" s="556">
        <f t="shared" si="3"/>
        <v>0</v>
      </c>
      <c r="P7" s="556">
        <f t="shared" si="3"/>
        <v>0</v>
      </c>
      <c r="Q7" s="556">
        <f>Q11+Q15+Q19+Q23+Q27+Q31</f>
        <v>0</v>
      </c>
    </row>
    <row r="8" spans="1:17" ht="15.75">
      <c r="B8" s="592" t="s">
        <v>977</v>
      </c>
      <c r="C8" s="556">
        <f>C12+C16+C20+C24+C28+C32</f>
        <v>0</v>
      </c>
      <c r="D8" s="556"/>
      <c r="E8" s="556"/>
      <c r="F8" s="556">
        <f t="shared" si="1"/>
        <v>0</v>
      </c>
      <c r="G8" s="556">
        <f t="shared" si="1"/>
        <v>0</v>
      </c>
      <c r="H8" s="593">
        <v>1.4</v>
      </c>
      <c r="I8" s="594">
        <f t="shared" si="2"/>
        <v>0</v>
      </c>
      <c r="J8" s="556">
        <f t="shared" si="3"/>
        <v>0</v>
      </c>
      <c r="K8" s="556">
        <f t="shared" si="3"/>
        <v>0</v>
      </c>
      <c r="L8" s="556">
        <f t="shared" si="3"/>
        <v>0</v>
      </c>
      <c r="M8" s="556">
        <f t="shared" si="3"/>
        <v>0</v>
      </c>
      <c r="N8" s="556">
        <f t="shared" si="3"/>
        <v>0</v>
      </c>
      <c r="O8" s="556">
        <f t="shared" si="3"/>
        <v>0</v>
      </c>
      <c r="P8" s="556">
        <f t="shared" si="3"/>
        <v>0</v>
      </c>
      <c r="Q8" s="556">
        <f>Q12+Q16+Q20+Q24+Q28+Q32</f>
        <v>0</v>
      </c>
    </row>
    <row r="9" spans="1:17" ht="15.75">
      <c r="B9" s="592" t="s">
        <v>978</v>
      </c>
      <c r="C9" s="556">
        <f>C13+C17+C21+C25+C29+C33</f>
        <v>0</v>
      </c>
      <c r="D9" s="556"/>
      <c r="E9" s="556"/>
      <c r="F9" s="556">
        <f t="shared" si="1"/>
        <v>0</v>
      </c>
      <c r="G9" s="556">
        <f t="shared" si="1"/>
        <v>0</v>
      </c>
      <c r="H9" s="593">
        <v>1.4</v>
      </c>
      <c r="I9" s="594">
        <f t="shared" si="2"/>
        <v>0</v>
      </c>
      <c r="J9" s="556">
        <f t="shared" si="3"/>
        <v>0</v>
      </c>
      <c r="K9" s="556">
        <f t="shared" si="3"/>
        <v>0</v>
      </c>
      <c r="L9" s="556">
        <f t="shared" si="3"/>
        <v>0</v>
      </c>
      <c r="M9" s="556">
        <f t="shared" si="3"/>
        <v>0</v>
      </c>
      <c r="N9" s="556">
        <f t="shared" si="3"/>
        <v>0</v>
      </c>
      <c r="O9" s="556">
        <f t="shared" si="3"/>
        <v>0</v>
      </c>
      <c r="P9" s="556">
        <f t="shared" si="3"/>
        <v>0</v>
      </c>
      <c r="Q9" s="556">
        <f t="shared" si="3"/>
        <v>0</v>
      </c>
    </row>
    <row r="10" spans="1:17" ht="15.75">
      <c r="B10" s="595" t="s">
        <v>989</v>
      </c>
      <c r="C10" s="596"/>
      <c r="D10" s="596"/>
      <c r="E10" s="596"/>
      <c r="F10" s="596"/>
      <c r="G10" s="596"/>
      <c r="H10" s="593">
        <v>1.4</v>
      </c>
      <c r="I10" s="594">
        <f t="shared" si="2"/>
        <v>0</v>
      </c>
      <c r="J10" s="597"/>
      <c r="K10" s="597"/>
      <c r="L10" s="597"/>
      <c r="M10" s="597"/>
      <c r="N10" s="597"/>
      <c r="O10" s="597"/>
      <c r="P10" s="597"/>
      <c r="Q10" s="556">
        <f>SUM(Q11:Q13)</f>
        <v>0</v>
      </c>
    </row>
    <row r="11" spans="1:17" ht="15.75">
      <c r="B11" s="598" t="s">
        <v>976</v>
      </c>
      <c r="C11" s="596"/>
      <c r="D11" s="596"/>
      <c r="E11" s="596"/>
      <c r="F11" s="596"/>
      <c r="G11" s="596"/>
      <c r="H11" s="593">
        <v>1.4</v>
      </c>
      <c r="I11" s="594">
        <f t="shared" si="2"/>
        <v>0</v>
      </c>
      <c r="J11" s="597"/>
      <c r="K11" s="597"/>
      <c r="L11" s="597"/>
      <c r="M11" s="597"/>
      <c r="N11" s="597"/>
      <c r="O11" s="597"/>
      <c r="P11" s="597"/>
      <c r="Q11" s="556">
        <f>SUMPRODUCT($J$5:$P$5,J11:P11)</f>
        <v>0</v>
      </c>
    </row>
    <row r="12" spans="1:17" ht="15.75">
      <c r="B12" s="598" t="s">
        <v>977</v>
      </c>
      <c r="C12" s="596"/>
      <c r="D12" s="596"/>
      <c r="E12" s="596"/>
      <c r="F12" s="596"/>
      <c r="G12" s="596"/>
      <c r="H12" s="593">
        <v>1.4</v>
      </c>
      <c r="I12" s="594">
        <f t="shared" si="2"/>
        <v>0</v>
      </c>
      <c r="J12" s="597"/>
      <c r="K12" s="597"/>
      <c r="L12" s="597"/>
      <c r="M12" s="597"/>
      <c r="N12" s="597"/>
      <c r="O12" s="597"/>
      <c r="P12" s="597"/>
      <c r="Q12" s="556">
        <f t="shared" ref="Q12:Q13" si="4">SUMPRODUCT($J$5:$P$5,J12:P12)</f>
        <v>0</v>
      </c>
    </row>
    <row r="13" spans="1:17" ht="15.75">
      <c r="B13" s="598" t="s">
        <v>978</v>
      </c>
      <c r="C13" s="596"/>
      <c r="D13" s="596"/>
      <c r="E13" s="596"/>
      <c r="F13" s="596"/>
      <c r="G13" s="596"/>
      <c r="H13" s="593">
        <v>1.4</v>
      </c>
      <c r="I13" s="594">
        <f t="shared" si="2"/>
        <v>0</v>
      </c>
      <c r="J13" s="597"/>
      <c r="K13" s="597"/>
      <c r="L13" s="597"/>
      <c r="M13" s="597"/>
      <c r="N13" s="597"/>
      <c r="O13" s="597"/>
      <c r="P13" s="597"/>
      <c r="Q13" s="556">
        <f t="shared" si="4"/>
        <v>0</v>
      </c>
    </row>
    <row r="14" spans="1:17" ht="15.75">
      <c r="B14" s="595" t="s">
        <v>990</v>
      </c>
      <c r="C14" s="596"/>
      <c r="D14" s="596"/>
      <c r="E14" s="596"/>
      <c r="F14" s="596"/>
      <c r="G14" s="596"/>
      <c r="H14" s="593">
        <v>1.4</v>
      </c>
      <c r="I14" s="594">
        <f t="shared" si="2"/>
        <v>0</v>
      </c>
      <c r="J14" s="597"/>
      <c r="K14" s="597"/>
      <c r="L14" s="597"/>
      <c r="M14" s="597"/>
      <c r="N14" s="597"/>
      <c r="O14" s="597"/>
      <c r="P14" s="597"/>
      <c r="Q14" s="556">
        <f>SUM(Q15:Q17)</f>
        <v>0</v>
      </c>
    </row>
    <row r="15" spans="1:17" ht="15.75">
      <c r="B15" s="598" t="s">
        <v>976</v>
      </c>
      <c r="C15" s="596"/>
      <c r="D15" s="596"/>
      <c r="E15" s="596"/>
      <c r="F15" s="596"/>
      <c r="G15" s="596"/>
      <c r="H15" s="593">
        <v>1.4</v>
      </c>
      <c r="I15" s="594">
        <f t="shared" si="2"/>
        <v>0</v>
      </c>
      <c r="J15" s="597"/>
      <c r="K15" s="597"/>
      <c r="L15" s="597"/>
      <c r="M15" s="597"/>
      <c r="N15" s="597"/>
      <c r="O15" s="597"/>
      <c r="P15" s="597"/>
      <c r="Q15" s="556">
        <f>SUMPRODUCT($J$5:$P$5,J15:P15)</f>
        <v>0</v>
      </c>
    </row>
    <row r="16" spans="1:17" ht="15.75">
      <c r="B16" s="598" t="s">
        <v>977</v>
      </c>
      <c r="C16" s="596"/>
      <c r="D16" s="596"/>
      <c r="E16" s="596"/>
      <c r="F16" s="596"/>
      <c r="G16" s="596"/>
      <c r="H16" s="593">
        <v>1.4</v>
      </c>
      <c r="I16" s="594">
        <f t="shared" si="2"/>
        <v>0</v>
      </c>
      <c r="J16" s="597"/>
      <c r="K16" s="597"/>
      <c r="L16" s="597"/>
      <c r="M16" s="597"/>
      <c r="N16" s="597"/>
      <c r="O16" s="597"/>
      <c r="P16" s="597"/>
      <c r="Q16" s="556">
        <f t="shared" ref="Q16:Q17" si="5">SUMPRODUCT($J$5:$P$5,J16:P16)</f>
        <v>0</v>
      </c>
    </row>
    <row r="17" spans="2:17" ht="15.75">
      <c r="B17" s="598" t="s">
        <v>978</v>
      </c>
      <c r="C17" s="596"/>
      <c r="D17" s="596"/>
      <c r="E17" s="596"/>
      <c r="F17" s="596"/>
      <c r="G17" s="596"/>
      <c r="H17" s="593">
        <v>1.4</v>
      </c>
      <c r="I17" s="594">
        <f t="shared" si="2"/>
        <v>0</v>
      </c>
      <c r="J17" s="597"/>
      <c r="K17" s="597"/>
      <c r="L17" s="597"/>
      <c r="M17" s="597"/>
      <c r="N17" s="597"/>
      <c r="O17" s="597"/>
      <c r="P17" s="597"/>
      <c r="Q17" s="556">
        <f t="shared" si="5"/>
        <v>0</v>
      </c>
    </row>
    <row r="18" spans="2:17" ht="15.75">
      <c r="B18" s="595" t="s">
        <v>991</v>
      </c>
      <c r="C18" s="596"/>
      <c r="D18" s="596"/>
      <c r="E18" s="596"/>
      <c r="F18" s="596"/>
      <c r="G18" s="596"/>
      <c r="H18" s="593">
        <v>1.4</v>
      </c>
      <c r="I18" s="594">
        <f t="shared" si="2"/>
        <v>0</v>
      </c>
      <c r="J18" s="597"/>
      <c r="K18" s="597"/>
      <c r="L18" s="597"/>
      <c r="M18" s="597"/>
      <c r="N18" s="597"/>
      <c r="O18" s="597"/>
      <c r="P18" s="597"/>
      <c r="Q18" s="556">
        <f>SUM(Q19:Q21)</f>
        <v>0</v>
      </c>
    </row>
    <row r="19" spans="2:17" ht="15.75">
      <c r="B19" s="598" t="s">
        <v>976</v>
      </c>
      <c r="C19" s="596"/>
      <c r="D19" s="596"/>
      <c r="E19" s="596"/>
      <c r="F19" s="596"/>
      <c r="G19" s="596"/>
      <c r="H19" s="593">
        <v>1.4</v>
      </c>
      <c r="I19" s="594">
        <f t="shared" si="2"/>
        <v>0</v>
      </c>
      <c r="J19" s="597"/>
      <c r="K19" s="597"/>
      <c r="L19" s="597"/>
      <c r="M19" s="597"/>
      <c r="N19" s="597"/>
      <c r="O19" s="597"/>
      <c r="P19" s="597"/>
      <c r="Q19" s="556">
        <f>SUMPRODUCT($J$5:$P$5,J19:P19)</f>
        <v>0</v>
      </c>
    </row>
    <row r="20" spans="2:17" ht="15.75">
      <c r="B20" s="598" t="s">
        <v>977</v>
      </c>
      <c r="C20" s="596"/>
      <c r="D20" s="596"/>
      <c r="E20" s="596"/>
      <c r="F20" s="596"/>
      <c r="G20" s="596"/>
      <c r="H20" s="593">
        <v>1.4</v>
      </c>
      <c r="I20" s="594">
        <f t="shared" si="2"/>
        <v>0</v>
      </c>
      <c r="J20" s="597"/>
      <c r="K20" s="597"/>
      <c r="L20" s="597"/>
      <c r="M20" s="597"/>
      <c r="N20" s="597"/>
      <c r="O20" s="597"/>
      <c r="P20" s="597"/>
      <c r="Q20" s="556">
        <f t="shared" ref="Q20:Q21" si="6">SUMPRODUCT($J$5:$P$5,J20:P20)</f>
        <v>0</v>
      </c>
    </row>
    <row r="21" spans="2:17" ht="15.75">
      <c r="B21" s="598" t="s">
        <v>978</v>
      </c>
      <c r="C21" s="596"/>
      <c r="D21" s="596"/>
      <c r="E21" s="596"/>
      <c r="F21" s="596"/>
      <c r="G21" s="596"/>
      <c r="H21" s="593">
        <v>1.4</v>
      </c>
      <c r="I21" s="594">
        <f t="shared" si="2"/>
        <v>0</v>
      </c>
      <c r="J21" s="597"/>
      <c r="K21" s="597"/>
      <c r="L21" s="597"/>
      <c r="M21" s="597"/>
      <c r="N21" s="597"/>
      <c r="O21" s="597"/>
      <c r="P21" s="597"/>
      <c r="Q21" s="556">
        <f t="shared" si="6"/>
        <v>0</v>
      </c>
    </row>
    <row r="22" spans="2:17" ht="15.75">
      <c r="B22" s="595" t="s">
        <v>992</v>
      </c>
      <c r="C22" s="596"/>
      <c r="D22" s="596"/>
      <c r="E22" s="596"/>
      <c r="F22" s="596"/>
      <c r="G22" s="596"/>
      <c r="H22" s="593">
        <v>1.4</v>
      </c>
      <c r="I22" s="594">
        <f t="shared" si="2"/>
        <v>0</v>
      </c>
      <c r="J22" s="597"/>
      <c r="K22" s="597"/>
      <c r="L22" s="597"/>
      <c r="M22" s="597"/>
      <c r="N22" s="597"/>
      <c r="O22" s="597"/>
      <c r="P22" s="597"/>
      <c r="Q22" s="556">
        <f>SUM(Q23:Q25)</f>
        <v>0</v>
      </c>
    </row>
    <row r="23" spans="2:17" ht="15.75">
      <c r="B23" s="598" t="s">
        <v>976</v>
      </c>
      <c r="C23" s="596"/>
      <c r="D23" s="596"/>
      <c r="E23" s="596"/>
      <c r="F23" s="596"/>
      <c r="G23" s="596"/>
      <c r="H23" s="593">
        <v>1.4</v>
      </c>
      <c r="I23" s="594">
        <f t="shared" si="2"/>
        <v>0</v>
      </c>
      <c r="J23" s="597"/>
      <c r="K23" s="597"/>
      <c r="L23" s="597"/>
      <c r="M23" s="597"/>
      <c r="N23" s="597"/>
      <c r="O23" s="597"/>
      <c r="P23" s="597"/>
      <c r="Q23" s="556">
        <f>SUMPRODUCT($J$5:$P$5,J23:P23)</f>
        <v>0</v>
      </c>
    </row>
    <row r="24" spans="2:17" ht="15.75">
      <c r="B24" s="598" t="s">
        <v>977</v>
      </c>
      <c r="C24" s="596"/>
      <c r="D24" s="596"/>
      <c r="E24" s="596"/>
      <c r="F24" s="596"/>
      <c r="G24" s="596"/>
      <c r="H24" s="593">
        <v>1.4</v>
      </c>
      <c r="I24" s="594">
        <f t="shared" si="2"/>
        <v>0</v>
      </c>
      <c r="J24" s="597"/>
      <c r="K24" s="597"/>
      <c r="L24" s="597"/>
      <c r="M24" s="597"/>
      <c r="N24" s="597"/>
      <c r="O24" s="597"/>
      <c r="P24" s="597"/>
      <c r="Q24" s="556">
        <f t="shared" ref="Q24:Q25" si="7">SUMPRODUCT($J$5:$P$5,J24:P24)</f>
        <v>0</v>
      </c>
    </row>
    <row r="25" spans="2:17" ht="15.75">
      <c r="B25" s="598" t="s">
        <v>978</v>
      </c>
      <c r="C25" s="596"/>
      <c r="D25" s="596"/>
      <c r="E25" s="596"/>
      <c r="F25" s="596"/>
      <c r="G25" s="596"/>
      <c r="H25" s="593">
        <v>1.4</v>
      </c>
      <c r="I25" s="594">
        <f t="shared" si="2"/>
        <v>0</v>
      </c>
      <c r="J25" s="597"/>
      <c r="K25" s="597"/>
      <c r="L25" s="597"/>
      <c r="M25" s="597"/>
      <c r="N25" s="597"/>
      <c r="O25" s="597"/>
      <c r="P25" s="597"/>
      <c r="Q25" s="556">
        <f t="shared" si="7"/>
        <v>0</v>
      </c>
    </row>
    <row r="26" spans="2:17" ht="15.75">
      <c r="B26" s="595" t="s">
        <v>993</v>
      </c>
      <c r="C26" s="596"/>
      <c r="D26" s="596"/>
      <c r="E26" s="596"/>
      <c r="F26" s="596"/>
      <c r="G26" s="596"/>
      <c r="H26" s="593">
        <v>1.4</v>
      </c>
      <c r="I26" s="594">
        <f t="shared" si="2"/>
        <v>0</v>
      </c>
      <c r="J26" s="597"/>
      <c r="K26" s="597"/>
      <c r="L26" s="597"/>
      <c r="M26" s="597"/>
      <c r="N26" s="597"/>
      <c r="O26" s="597"/>
      <c r="P26" s="597"/>
      <c r="Q26" s="556">
        <f>SUM(Q27:Q29)</f>
        <v>0</v>
      </c>
    </row>
    <row r="27" spans="2:17" ht="15.75">
      <c r="B27" s="598" t="s">
        <v>976</v>
      </c>
      <c r="C27" s="596"/>
      <c r="D27" s="596"/>
      <c r="E27" s="596"/>
      <c r="F27" s="596"/>
      <c r="G27" s="596"/>
      <c r="H27" s="593">
        <v>1.4</v>
      </c>
      <c r="I27" s="594">
        <f t="shared" si="2"/>
        <v>0</v>
      </c>
      <c r="J27" s="597"/>
      <c r="K27" s="597"/>
      <c r="L27" s="597"/>
      <c r="M27" s="597"/>
      <c r="N27" s="597"/>
      <c r="O27" s="597"/>
      <c r="P27" s="597"/>
      <c r="Q27" s="556">
        <f>SUMPRODUCT($J$5:$P$5,J27:P27)</f>
        <v>0</v>
      </c>
    </row>
    <row r="28" spans="2:17" ht="15.75">
      <c r="B28" s="598" t="s">
        <v>977</v>
      </c>
      <c r="C28" s="596"/>
      <c r="D28" s="596"/>
      <c r="E28" s="596"/>
      <c r="F28" s="596"/>
      <c r="G28" s="596"/>
      <c r="H28" s="593">
        <v>1.4</v>
      </c>
      <c r="I28" s="594">
        <f t="shared" si="2"/>
        <v>0</v>
      </c>
      <c r="J28" s="597"/>
      <c r="K28" s="597"/>
      <c r="L28" s="597"/>
      <c r="M28" s="597"/>
      <c r="N28" s="597"/>
      <c r="O28" s="597"/>
      <c r="P28" s="597"/>
      <c r="Q28" s="556">
        <f t="shared" ref="Q28:Q29" si="8">SUMPRODUCT($J$5:$P$5,J28:P28)</f>
        <v>0</v>
      </c>
    </row>
    <row r="29" spans="2:17" ht="15.75">
      <c r="B29" s="598" t="s">
        <v>978</v>
      </c>
      <c r="C29" s="596"/>
      <c r="D29" s="596"/>
      <c r="E29" s="596"/>
      <c r="F29" s="596"/>
      <c r="G29" s="596"/>
      <c r="H29" s="593">
        <v>1.4</v>
      </c>
      <c r="I29" s="594">
        <f t="shared" si="2"/>
        <v>0</v>
      </c>
      <c r="J29" s="597"/>
      <c r="K29" s="597"/>
      <c r="L29" s="597"/>
      <c r="M29" s="597"/>
      <c r="N29" s="597"/>
      <c r="O29" s="597"/>
      <c r="P29" s="597"/>
      <c r="Q29" s="556">
        <f t="shared" si="8"/>
        <v>0</v>
      </c>
    </row>
    <row r="30" spans="2:17" ht="15.75">
      <c r="B30" s="599" t="s">
        <v>994</v>
      </c>
      <c r="C30" s="596"/>
      <c r="D30" s="596"/>
      <c r="E30" s="596"/>
      <c r="F30" s="596"/>
      <c r="G30" s="596"/>
      <c r="H30" s="593">
        <v>1.4</v>
      </c>
      <c r="I30" s="594">
        <f t="shared" si="2"/>
        <v>0</v>
      </c>
      <c r="J30" s="597"/>
      <c r="K30" s="597"/>
      <c r="L30" s="597"/>
      <c r="M30" s="597"/>
      <c r="N30" s="597"/>
      <c r="O30" s="597"/>
      <c r="P30" s="597"/>
      <c r="Q30" s="556">
        <f>SUM(Q31:Q33)</f>
        <v>0</v>
      </c>
    </row>
    <row r="31" spans="2:17" ht="15.75">
      <c r="B31" s="598" t="s">
        <v>976</v>
      </c>
      <c r="C31" s="596"/>
      <c r="D31" s="596"/>
      <c r="E31" s="596"/>
      <c r="F31" s="596"/>
      <c r="G31" s="596"/>
      <c r="H31" s="593">
        <v>1.4</v>
      </c>
      <c r="I31" s="594">
        <f t="shared" si="2"/>
        <v>0</v>
      </c>
      <c r="J31" s="597"/>
      <c r="K31" s="597"/>
      <c r="L31" s="597"/>
      <c r="M31" s="597"/>
      <c r="N31" s="597"/>
      <c r="O31" s="597"/>
      <c r="P31" s="597"/>
      <c r="Q31" s="556">
        <f>SUMPRODUCT($J$5:$P$5,J31:P31)</f>
        <v>0</v>
      </c>
    </row>
    <row r="32" spans="2:17" ht="15.75">
      <c r="B32" s="598" t="s">
        <v>977</v>
      </c>
      <c r="C32" s="596"/>
      <c r="D32" s="596"/>
      <c r="E32" s="596"/>
      <c r="F32" s="596"/>
      <c r="G32" s="596"/>
      <c r="H32" s="593">
        <v>1.4</v>
      </c>
      <c r="I32" s="594">
        <f t="shared" si="2"/>
        <v>0</v>
      </c>
      <c r="J32" s="597"/>
      <c r="K32" s="597"/>
      <c r="L32" s="597"/>
      <c r="M32" s="597"/>
      <c r="N32" s="597"/>
      <c r="O32" s="597"/>
      <c r="P32" s="597"/>
      <c r="Q32" s="556">
        <f t="shared" ref="Q32:Q33" si="9">SUMPRODUCT($J$5:$P$5,J32:P32)</f>
        <v>0</v>
      </c>
    </row>
    <row r="33" spans="2:17" ht="15.75">
      <c r="B33" s="598" t="s">
        <v>978</v>
      </c>
      <c r="C33" s="596"/>
      <c r="D33" s="596"/>
      <c r="E33" s="596"/>
      <c r="F33" s="596"/>
      <c r="G33" s="596"/>
      <c r="H33" s="593">
        <v>1.4</v>
      </c>
      <c r="I33" s="594">
        <f t="shared" si="2"/>
        <v>0</v>
      </c>
      <c r="J33" s="597"/>
      <c r="K33" s="597"/>
      <c r="L33" s="597"/>
      <c r="M33" s="597"/>
      <c r="N33" s="597"/>
      <c r="O33" s="597"/>
      <c r="P33" s="597"/>
      <c r="Q33" s="556">
        <f t="shared" si="9"/>
        <v>0</v>
      </c>
    </row>
    <row r="34" spans="2:17" ht="15.75">
      <c r="B34" s="600" t="s">
        <v>66</v>
      </c>
      <c r="C34" s="601" t="b">
        <f>C6</f>
        <v>0</v>
      </c>
      <c r="D34" s="601" t="b">
        <f t="shared" ref="D34:G34" si="10">D6</f>
        <v>0</v>
      </c>
      <c r="E34" s="601" t="b">
        <f t="shared" si="10"/>
        <v>0</v>
      </c>
      <c r="F34" s="601" t="b">
        <f t="shared" si="10"/>
        <v>0</v>
      </c>
      <c r="G34" s="601" t="b">
        <f t="shared" si="10"/>
        <v>0</v>
      </c>
      <c r="H34" s="593">
        <v>1.4</v>
      </c>
      <c r="I34" s="594">
        <f>(F34+G34)*H34</f>
        <v>0</v>
      </c>
      <c r="J34" s="601" t="b">
        <f t="shared" ref="J34:Q34" si="11">J6</f>
        <v>0</v>
      </c>
      <c r="K34" s="601" t="b">
        <f t="shared" si="11"/>
        <v>0</v>
      </c>
      <c r="L34" s="601" t="b">
        <f t="shared" si="11"/>
        <v>0</v>
      </c>
      <c r="M34" s="601" t="b">
        <f t="shared" si="11"/>
        <v>0</v>
      </c>
      <c r="N34" s="601" t="b">
        <f t="shared" si="11"/>
        <v>0</v>
      </c>
      <c r="O34" s="601" t="b">
        <f t="shared" si="11"/>
        <v>0</v>
      </c>
      <c r="P34" s="601" t="b">
        <f t="shared" si="11"/>
        <v>0</v>
      </c>
      <c r="Q34" s="601"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3"/>
  <sheetViews>
    <sheetView showGridLines="0" zoomScale="80" zoomScaleNormal="80" workbookViewId="0">
      <pane xSplit="1" ySplit="5" topLeftCell="B6" activePane="bottomRight" state="frozen"/>
      <selection pane="topRight" activeCell="B1" sqref="B1"/>
      <selection pane="bottomLeft" activeCell="A6" sqref="A6"/>
      <selection pane="bottomRight" activeCell="B1" sqref="B1:B2"/>
    </sheetView>
  </sheetViews>
  <sheetFormatPr defaultRowHeight="15.75"/>
  <cols>
    <col min="1" max="1" width="9.5703125" style="19" bestFit="1" customWidth="1"/>
    <col min="2" max="2" width="88.42578125" style="16" customWidth="1"/>
    <col min="3" max="3" width="12.85546875" style="16" customWidth="1"/>
    <col min="4" max="7" width="12.85546875" style="2" customWidth="1"/>
    <col min="8" max="9" width="6.85546875" customWidth="1"/>
  </cols>
  <sheetData>
    <row r="1" spans="1:8">
      <c r="A1" s="17" t="s">
        <v>97</v>
      </c>
      <c r="B1" s="783" t="str">
        <f>Info!C2</f>
        <v>სს იშბანკი საქართველო</v>
      </c>
    </row>
    <row r="2" spans="1:8">
      <c r="A2" s="17" t="s">
        <v>98</v>
      </c>
      <c r="B2" s="784">
        <v>45747</v>
      </c>
      <c r="C2" s="28"/>
      <c r="D2" s="18"/>
      <c r="E2" s="18"/>
      <c r="F2" s="18"/>
      <c r="G2" s="18"/>
      <c r="H2" s="1"/>
    </row>
    <row r="3" spans="1:8" ht="16.5" thickBot="1">
      <c r="A3" s="17"/>
      <c r="C3" s="28"/>
      <c r="D3" s="18"/>
      <c r="E3" s="18"/>
      <c r="F3" s="18"/>
      <c r="G3" s="18"/>
      <c r="H3" s="1"/>
    </row>
    <row r="4" spans="1:8" ht="15" customHeight="1" thickBot="1">
      <c r="A4" s="39" t="s">
        <v>241</v>
      </c>
      <c r="B4" s="125" t="s">
        <v>128</v>
      </c>
      <c r="C4" s="126"/>
      <c r="D4" s="605" t="s">
        <v>904</v>
      </c>
      <c r="E4" s="606"/>
      <c r="F4" s="606"/>
      <c r="G4" s="607"/>
      <c r="H4" s="1"/>
    </row>
    <row r="5" spans="1:8" ht="15">
      <c r="A5" s="160" t="s">
        <v>25</v>
      </c>
      <c r="B5" s="161"/>
      <c r="C5" s="255" t="str">
        <f>INT((MONTH($B$2))/3)&amp;"Q"&amp;"-"&amp;YEAR($B$2)</f>
        <v>1Q-2025</v>
      </c>
      <c r="D5" s="806" t="str">
        <f>IF(INT(MONTH($B$2))=3, "4"&amp;"Q"&amp;"-"&amp;YEAR($B$2)-1, IF(INT(MONTH($B$2))=6, "1"&amp;"Q"&amp;"-"&amp;YEAR($B$2), IF(INT(MONTH($B$2))=9, "2"&amp;"Q"&amp;"-"&amp;YEAR($B$2),IF(INT(MONTH($B$2))=12, "3"&amp;"Q"&amp;"-"&amp;YEAR($B$2), 0))))</f>
        <v>4Q-2024</v>
      </c>
      <c r="E5" s="254" t="str">
        <f>IF(INT(MONTH($B$2))=3, "3"&amp;"Q"&amp;"-"&amp;YEAR($B$2)-1, IF(INT(MONTH($B$2))=6, "4"&amp;"Q"&amp;"-"&amp;YEAR($B$2)-1, IF(INT(MONTH($B$2))=9, "1"&amp;"Q"&amp;"-"&amp;YEAR($B$2),IF(INT(MONTH($B$2))=12, "2"&amp;"Q"&amp;"-"&amp;YEAR($B$2), 0))))</f>
        <v>3Q-2024</v>
      </c>
      <c r="F5" s="254" t="str">
        <f>IF(INT(MONTH($B$2))=3, "2"&amp;"Q"&amp;"-"&amp;YEAR($B$2)-1, IF(INT(MONTH($B$2))=6, "3"&amp;"Q"&amp;"-"&amp;YEAR($B$2)-1, IF(INT(MONTH($B$2))=9, "4"&amp;"Q"&amp;"-"&amp;YEAR($B$2)-1,IF(INT(MONTH($B$2))=12, "1"&amp;"Q"&amp;"-"&amp;YEAR($B$2), 0))))</f>
        <v>2Q-2024</v>
      </c>
      <c r="G5" s="255" t="str">
        <f>IF(INT(MONTH($B$2))=3, "1"&amp;"Q"&amp;"-"&amp;YEAR($B$2)-1, IF(INT(MONTH($B$2))=6, "2"&amp;"Q"&amp;"-"&amp;YEAR($B$2)-1, IF(INT(MONTH($B$2))=9, "3"&amp;"Q"&amp;"-"&amp;YEAR($B$2)-1,IF(INT(MONTH($B$2))=12, "4"&amp;"Q"&amp;"-"&amp;YEAR($B$2)-1, 0))))</f>
        <v>1Q-2024</v>
      </c>
    </row>
    <row r="6" spans="1:8" ht="15">
      <c r="A6" s="256"/>
      <c r="B6" s="257" t="s">
        <v>95</v>
      </c>
      <c r="C6" s="816"/>
      <c r="D6" s="785"/>
      <c r="E6" s="785"/>
      <c r="F6" s="785"/>
      <c r="G6" s="786"/>
    </row>
    <row r="7" spans="1:8" ht="15">
      <c r="A7" s="256"/>
      <c r="B7" s="258" t="s">
        <v>99</v>
      </c>
      <c r="C7" s="816"/>
      <c r="D7" s="785"/>
      <c r="E7" s="785"/>
      <c r="F7" s="785"/>
      <c r="G7" s="786"/>
    </row>
    <row r="8" spans="1:8" ht="15">
      <c r="A8" s="243">
        <v>1</v>
      </c>
      <c r="B8" s="244" t="s">
        <v>22</v>
      </c>
      <c r="C8" s="817">
        <v>147115694.66173756</v>
      </c>
      <c r="D8" s="807">
        <v>143298736.73131147</v>
      </c>
      <c r="E8" s="787">
        <v>145613172.45355761</v>
      </c>
      <c r="F8" s="787">
        <v>142489102.38954175</v>
      </c>
      <c r="G8" s="788">
        <v>138164000.08336854</v>
      </c>
    </row>
    <row r="9" spans="1:8" ht="15">
      <c r="A9" s="243">
        <v>2</v>
      </c>
      <c r="B9" s="244" t="s">
        <v>75</v>
      </c>
      <c r="C9" s="817">
        <v>147115694.66173756</v>
      </c>
      <c r="D9" s="807">
        <v>143298736.73131147</v>
      </c>
      <c r="E9" s="787">
        <v>145613172.45355761</v>
      </c>
      <c r="F9" s="787">
        <v>142489102.38954175</v>
      </c>
      <c r="G9" s="788">
        <v>138164000.08336854</v>
      </c>
    </row>
    <row r="10" spans="1:8" ht="15">
      <c r="A10" s="243">
        <v>3</v>
      </c>
      <c r="B10" s="244" t="s">
        <v>74</v>
      </c>
      <c r="C10" s="817">
        <v>147115694.66173756</v>
      </c>
      <c r="D10" s="807">
        <v>143298736.73131147</v>
      </c>
      <c r="E10" s="787">
        <v>145613172.45355761</v>
      </c>
      <c r="F10" s="787">
        <v>142489102.38954175</v>
      </c>
      <c r="G10" s="788">
        <v>138164000.08336854</v>
      </c>
    </row>
    <row r="11" spans="1:8" ht="15">
      <c r="A11" s="243">
        <v>4</v>
      </c>
      <c r="B11" s="244" t="s">
        <v>414</v>
      </c>
      <c r="C11" s="817">
        <v>83716429.350780085</v>
      </c>
      <c r="D11" s="807">
        <v>80174847.553948268</v>
      </c>
      <c r="E11" s="787">
        <v>72576771.826893002</v>
      </c>
      <c r="F11" s="787">
        <v>73092331.903310865</v>
      </c>
      <c r="G11" s="788">
        <v>75250684.796249926</v>
      </c>
    </row>
    <row r="12" spans="1:8" ht="15">
      <c r="A12" s="243">
        <v>5</v>
      </c>
      <c r="B12" s="244" t="s">
        <v>415</v>
      </c>
      <c r="C12" s="817">
        <v>103751455.76028322</v>
      </c>
      <c r="D12" s="807">
        <v>99474703.452582493</v>
      </c>
      <c r="E12" s="787">
        <v>90231127.749883309</v>
      </c>
      <c r="F12" s="787">
        <v>90897074.234918222</v>
      </c>
      <c r="G12" s="788">
        <v>93776070.572898179</v>
      </c>
    </row>
    <row r="13" spans="1:8" ht="15">
      <c r="A13" s="243">
        <v>6</v>
      </c>
      <c r="B13" s="244" t="s">
        <v>416</v>
      </c>
      <c r="C13" s="817">
        <v>130260347.71999146</v>
      </c>
      <c r="D13" s="807">
        <v>125017250.44561318</v>
      </c>
      <c r="E13" s="787">
        <v>113592816.13988496</v>
      </c>
      <c r="F13" s="787">
        <v>114457375.46372096</v>
      </c>
      <c r="G13" s="788">
        <v>118287421.4772229</v>
      </c>
    </row>
    <row r="14" spans="1:8" ht="15">
      <c r="A14" s="256"/>
      <c r="B14" s="257" t="s">
        <v>418</v>
      </c>
      <c r="C14" s="816"/>
      <c r="D14" s="785"/>
      <c r="E14" s="785"/>
      <c r="F14" s="785"/>
      <c r="G14" s="786"/>
    </row>
    <row r="15" spans="1:8" ht="21.95" customHeight="1">
      <c r="A15" s="243">
        <v>7</v>
      </c>
      <c r="B15" s="244" t="s">
        <v>417</v>
      </c>
      <c r="C15" s="818">
        <v>558657399.37569761</v>
      </c>
      <c r="D15" s="807">
        <v>562399080.34536076</v>
      </c>
      <c r="E15" s="787">
        <v>502636267.05464017</v>
      </c>
      <c r="F15" s="787">
        <v>505433011.41373754</v>
      </c>
      <c r="G15" s="788">
        <v>516204553.19280314</v>
      </c>
    </row>
    <row r="16" spans="1:8" ht="15">
      <c r="A16" s="256"/>
      <c r="B16" s="257" t="s">
        <v>421</v>
      </c>
      <c r="C16" s="816"/>
      <c r="D16" s="785"/>
      <c r="E16" s="785"/>
      <c r="F16" s="785"/>
      <c r="G16" s="786"/>
    </row>
    <row r="17" spans="1:7" s="3" customFormat="1" ht="15">
      <c r="A17" s="243"/>
      <c r="B17" s="258" t="s">
        <v>967</v>
      </c>
      <c r="C17" s="818"/>
      <c r="D17" s="807"/>
      <c r="E17" s="787"/>
      <c r="F17" s="787"/>
      <c r="G17" s="788"/>
    </row>
    <row r="18" spans="1:7" ht="15">
      <c r="A18" s="242">
        <v>8</v>
      </c>
      <c r="B18" s="259" t="s">
        <v>412</v>
      </c>
      <c r="C18" s="819">
        <v>0.2633379506404821</v>
      </c>
      <c r="D18" s="808">
        <v>0.254799023930327</v>
      </c>
      <c r="E18" s="789">
        <v>0.28969889758816075</v>
      </c>
      <c r="F18" s="789">
        <v>0.28191491092160376</v>
      </c>
      <c r="G18" s="790">
        <v>0.26305318218408713</v>
      </c>
    </row>
    <row r="19" spans="1:7" ht="15" customHeight="1">
      <c r="A19" s="242">
        <v>9</v>
      </c>
      <c r="B19" s="259" t="s">
        <v>411</v>
      </c>
      <c r="C19" s="819">
        <v>0.2633379506404821</v>
      </c>
      <c r="D19" s="808">
        <v>0.254799023930327</v>
      </c>
      <c r="E19" s="789">
        <v>0.28969889758816075</v>
      </c>
      <c r="F19" s="789">
        <v>0.28191491092160376</v>
      </c>
      <c r="G19" s="790">
        <v>0.26305318218408713</v>
      </c>
    </row>
    <row r="20" spans="1:7" ht="15">
      <c r="A20" s="242">
        <v>10</v>
      </c>
      <c r="B20" s="259" t="s">
        <v>413</v>
      </c>
      <c r="C20" s="819">
        <v>0.2633379506404821</v>
      </c>
      <c r="D20" s="808">
        <v>0.254799023930327</v>
      </c>
      <c r="E20" s="789">
        <v>0.28969889758816075</v>
      </c>
      <c r="F20" s="789">
        <v>0.28191491092160376</v>
      </c>
      <c r="G20" s="790">
        <v>0.26305318218408713</v>
      </c>
    </row>
    <row r="21" spans="1:7" ht="15">
      <c r="A21" s="242">
        <v>11</v>
      </c>
      <c r="B21" s="244" t="s">
        <v>414</v>
      </c>
      <c r="C21" s="819">
        <v>0.14985289632668181</v>
      </c>
      <c r="D21" s="808">
        <v>0.14255863915124845</v>
      </c>
      <c r="E21" s="789">
        <v>0.14439223069234552</v>
      </c>
      <c r="F21" s="789">
        <v>0.14461329246949189</v>
      </c>
      <c r="G21" s="790">
        <v>0.13405464420976393</v>
      </c>
    </row>
    <row r="22" spans="1:7" ht="15">
      <c r="A22" s="242">
        <v>12</v>
      </c>
      <c r="B22" s="244" t="s">
        <v>415</v>
      </c>
      <c r="C22" s="819">
        <v>0.18571571033736595</v>
      </c>
      <c r="D22" s="808">
        <v>0.1768756509905681</v>
      </c>
      <c r="E22" s="789">
        <v>0.17951575257118194</v>
      </c>
      <c r="F22" s="789">
        <v>0.17984000289310675</v>
      </c>
      <c r="G22" s="790">
        <v>0.16700484616203554</v>
      </c>
    </row>
    <row r="23" spans="1:7" ht="15">
      <c r="A23" s="242">
        <v>13</v>
      </c>
      <c r="B23" s="244" t="s">
        <v>416</v>
      </c>
      <c r="C23" s="819">
        <v>0.23316678140405558</v>
      </c>
      <c r="D23" s="808">
        <v>0.2222927718317782</v>
      </c>
      <c r="E23" s="789">
        <v>0.22599407083280881</v>
      </c>
      <c r="F23" s="789">
        <v>0.22645409555575785</v>
      </c>
      <c r="G23" s="790">
        <v>0.21062353294134029</v>
      </c>
    </row>
    <row r="24" spans="1:7" ht="15">
      <c r="A24" s="256"/>
      <c r="B24" s="257" t="s">
        <v>952</v>
      </c>
      <c r="C24" s="820"/>
      <c r="D24" s="162"/>
      <c r="E24" s="162"/>
      <c r="F24" s="162"/>
      <c r="G24" s="163"/>
    </row>
    <row r="25" spans="1:7" ht="25.5">
      <c r="A25" s="242">
        <v>14</v>
      </c>
      <c r="B25" s="259" t="s">
        <v>953</v>
      </c>
      <c r="C25" s="821"/>
      <c r="D25" s="809"/>
      <c r="E25" s="792"/>
      <c r="F25" s="792"/>
      <c r="G25" s="793"/>
    </row>
    <row r="26" spans="1:7" ht="15">
      <c r="A26" s="256"/>
      <c r="B26" s="257" t="s">
        <v>6</v>
      </c>
      <c r="C26" s="816"/>
      <c r="D26" s="785"/>
      <c r="E26" s="785"/>
      <c r="F26" s="785"/>
      <c r="G26" s="786"/>
    </row>
    <row r="27" spans="1:7" ht="15" customHeight="1">
      <c r="A27" s="260">
        <v>15</v>
      </c>
      <c r="B27" s="261" t="s">
        <v>7</v>
      </c>
      <c r="C27" s="822">
        <v>8.1324431602180863E-2</v>
      </c>
      <c r="D27" s="810">
        <v>8.3417388466189735E-2</v>
      </c>
      <c r="E27" s="794">
        <v>8.4789189924524139E-2</v>
      </c>
      <c r="F27" s="794">
        <v>8.7507722907627608E-2</v>
      </c>
      <c r="G27" s="795">
        <v>8.5663643741226134E-2</v>
      </c>
    </row>
    <row r="28" spans="1:7" ht="15">
      <c r="A28" s="260">
        <v>16</v>
      </c>
      <c r="B28" s="261" t="s">
        <v>8</v>
      </c>
      <c r="C28" s="822">
        <v>3.5711002447670288E-2</v>
      </c>
      <c r="D28" s="810">
        <v>3.5193573582668738E-2</v>
      </c>
      <c r="E28" s="794">
        <v>3.3957957690789034E-2</v>
      </c>
      <c r="F28" s="794">
        <v>3.3629985482862258E-2</v>
      </c>
      <c r="G28" s="795">
        <v>3.2055734254347039E-2</v>
      </c>
    </row>
    <row r="29" spans="1:7" ht="15">
      <c r="A29" s="260">
        <v>17</v>
      </c>
      <c r="B29" s="261" t="s">
        <v>9</v>
      </c>
      <c r="C29" s="822">
        <v>5.4504400632144706E-2</v>
      </c>
      <c r="D29" s="810">
        <v>5.6080773530188602E-2</v>
      </c>
      <c r="E29" s="794">
        <v>6.0989570273210274E-2</v>
      </c>
      <c r="F29" s="794">
        <v>6.4343104241936511E-2</v>
      </c>
      <c r="G29" s="795">
        <v>6.4318663007406351E-2</v>
      </c>
    </row>
    <row r="30" spans="1:7" ht="15">
      <c r="A30" s="260">
        <v>18</v>
      </c>
      <c r="B30" s="261" t="s">
        <v>129</v>
      </c>
      <c r="C30" s="822">
        <v>4.5613429154510582E-2</v>
      </c>
      <c r="D30" s="810">
        <v>4.8223814883520989E-2</v>
      </c>
      <c r="E30" s="794">
        <v>5.0831232233735112E-2</v>
      </c>
      <c r="F30" s="794">
        <v>5.387773742476535E-2</v>
      </c>
      <c r="G30" s="795">
        <v>5.3607909486879102E-2</v>
      </c>
    </row>
    <row r="31" spans="1:7" ht="15">
      <c r="A31" s="260">
        <v>19</v>
      </c>
      <c r="B31" s="261" t="s">
        <v>10</v>
      </c>
      <c r="C31" s="822">
        <v>3.0492880780700005E-2</v>
      </c>
      <c r="D31" s="810">
        <v>2.6113213402110268E-2</v>
      </c>
      <c r="E31" s="794">
        <v>3.4194479413620714E-2</v>
      </c>
      <c r="F31" s="794">
        <v>3.6911231010510519E-2</v>
      </c>
      <c r="G31" s="795">
        <v>3.6607503099627008E-2</v>
      </c>
    </row>
    <row r="32" spans="1:7" ht="15">
      <c r="A32" s="260">
        <v>20</v>
      </c>
      <c r="B32" s="261" t="s">
        <v>11</v>
      </c>
      <c r="C32" s="822">
        <v>0.10187713381723718</v>
      </c>
      <c r="D32" s="810">
        <v>8.4551661671118813E-2</v>
      </c>
      <c r="E32" s="794">
        <v>0.11127034707694591</v>
      </c>
      <c r="F32" s="794">
        <v>0.12412867801271953</v>
      </c>
      <c r="G32" s="795">
        <v>0.12530597158329024</v>
      </c>
    </row>
    <row r="33" spans="1:7" ht="15">
      <c r="A33" s="256"/>
      <c r="B33" s="257" t="s">
        <v>12</v>
      </c>
      <c r="C33" s="816"/>
      <c r="D33" s="785"/>
      <c r="E33" s="785"/>
      <c r="F33" s="785"/>
      <c r="G33" s="786"/>
    </row>
    <row r="34" spans="1:7" ht="15">
      <c r="A34" s="260">
        <v>21</v>
      </c>
      <c r="B34" s="261" t="s">
        <v>13</v>
      </c>
      <c r="C34" s="823">
        <v>3.7827120778000374E-3</v>
      </c>
      <c r="D34" s="810">
        <v>3.2261328472465455E-3</v>
      </c>
      <c r="E34" s="794">
        <v>4.7403417316783771E-3</v>
      </c>
      <c r="F34" s="794">
        <v>5.9663781634689775E-3</v>
      </c>
      <c r="G34" s="795">
        <v>4.0994425401888451E-3</v>
      </c>
    </row>
    <row r="35" spans="1:7" ht="15" customHeight="1">
      <c r="A35" s="260">
        <v>22</v>
      </c>
      <c r="B35" s="261" t="s">
        <v>917</v>
      </c>
      <c r="C35" s="823">
        <v>5.2629588052251659E-3</v>
      </c>
      <c r="D35" s="810">
        <v>5.0022606139634562E-3</v>
      </c>
      <c r="E35" s="794">
        <v>6.4624925028409419E-3</v>
      </c>
      <c r="F35" s="794">
        <v>7.8640098019615232E-3</v>
      </c>
      <c r="G35" s="795">
        <v>7.0225439141444407E-3</v>
      </c>
    </row>
    <row r="36" spans="1:7" ht="15">
      <c r="A36" s="260">
        <v>23</v>
      </c>
      <c r="B36" s="261" t="s">
        <v>14</v>
      </c>
      <c r="C36" s="823">
        <v>0.52270163514524359</v>
      </c>
      <c r="D36" s="810">
        <v>0.53794588813786759</v>
      </c>
      <c r="E36" s="794">
        <v>0.47711072789888842</v>
      </c>
      <c r="F36" s="794">
        <v>0.50836517752244015</v>
      </c>
      <c r="G36" s="795">
        <v>0.56184746206798075</v>
      </c>
    </row>
    <row r="37" spans="1:7" ht="15" customHeight="1">
      <c r="A37" s="260">
        <v>24</v>
      </c>
      <c r="B37" s="261" t="s">
        <v>15</v>
      </c>
      <c r="C37" s="823">
        <v>0.52095906341894527</v>
      </c>
      <c r="D37" s="810">
        <v>0.55605926978810216</v>
      </c>
      <c r="E37" s="794">
        <v>0.52122853310427908</v>
      </c>
      <c r="F37" s="794">
        <v>0.53512505461390392</v>
      </c>
      <c r="G37" s="795">
        <v>0.5632641142257766</v>
      </c>
    </row>
    <row r="38" spans="1:7" ht="15">
      <c r="A38" s="260">
        <v>25</v>
      </c>
      <c r="B38" s="261" t="s">
        <v>16</v>
      </c>
      <c r="C38" s="823">
        <v>-9.4576863836034336E-3</v>
      </c>
      <c r="D38" s="810">
        <v>0.19581364582216343</v>
      </c>
      <c r="E38" s="794">
        <v>-9.4130095704303331E-3</v>
      </c>
      <c r="F38" s="794">
        <v>-1.8966385239118162E-2</v>
      </c>
      <c r="G38" s="795">
        <v>9.4856262083707038E-2</v>
      </c>
    </row>
    <row r="39" spans="1:7" ht="15" customHeight="1">
      <c r="A39" s="256"/>
      <c r="B39" s="257" t="s">
        <v>17</v>
      </c>
      <c r="C39" s="824"/>
      <c r="D39" s="785"/>
      <c r="E39" s="785"/>
      <c r="F39" s="785"/>
      <c r="G39" s="786"/>
    </row>
    <row r="40" spans="1:7" ht="15" customHeight="1">
      <c r="A40" s="260">
        <v>26</v>
      </c>
      <c r="B40" s="261" t="s">
        <v>18</v>
      </c>
      <c r="C40" s="823">
        <v>0.21363613422472391</v>
      </c>
      <c r="D40" s="811">
        <v>0.19355388930167128</v>
      </c>
      <c r="E40" s="796">
        <v>0.28759994501235625</v>
      </c>
      <c r="F40" s="796">
        <v>0.29340997301393934</v>
      </c>
      <c r="G40" s="797">
        <v>0.27464001376442426</v>
      </c>
    </row>
    <row r="41" spans="1:7" ht="15" customHeight="1">
      <c r="A41" s="260">
        <v>27</v>
      </c>
      <c r="B41" s="261" t="s">
        <v>19</v>
      </c>
      <c r="C41" s="823">
        <v>0.76661201237167154</v>
      </c>
      <c r="D41" s="811">
        <v>0.80332210555449612</v>
      </c>
      <c r="E41" s="796">
        <v>0.77573206167632813</v>
      </c>
      <c r="F41" s="796">
        <v>0.78415715804406683</v>
      </c>
      <c r="G41" s="797">
        <v>0.79530906027371873</v>
      </c>
    </row>
    <row r="42" spans="1:7" ht="15" customHeight="1">
      <c r="A42" s="260">
        <v>28</v>
      </c>
      <c r="B42" s="262" t="s">
        <v>20</v>
      </c>
      <c r="C42" s="823">
        <v>0.14086167678367237</v>
      </c>
      <c r="D42" s="811">
        <v>0.14334308802902421</v>
      </c>
      <c r="E42" s="796">
        <v>0.20621510951037159</v>
      </c>
      <c r="F42" s="796">
        <v>0.14828117435148858</v>
      </c>
      <c r="G42" s="797">
        <v>0.13821062741150575</v>
      </c>
    </row>
    <row r="43" spans="1:7" ht="15" customHeight="1">
      <c r="A43" s="263"/>
      <c r="B43" s="257" t="s">
        <v>344</v>
      </c>
      <c r="C43" s="816"/>
      <c r="D43" s="785"/>
      <c r="E43" s="785"/>
      <c r="F43" s="785"/>
      <c r="G43" s="786"/>
    </row>
    <row r="44" spans="1:7" ht="15" customHeight="1">
      <c r="A44" s="260">
        <v>29</v>
      </c>
      <c r="B44" s="297" t="s">
        <v>328</v>
      </c>
      <c r="C44" s="825">
        <v>100767888.36719733</v>
      </c>
      <c r="D44" s="812">
        <v>94831123.124617696</v>
      </c>
      <c r="E44" s="798">
        <v>130061478.85525802</v>
      </c>
      <c r="F44" s="798">
        <v>135146473.84584001</v>
      </c>
      <c r="G44" s="799">
        <v>133127429.61611199</v>
      </c>
    </row>
    <row r="45" spans="1:7" ht="15">
      <c r="A45" s="260">
        <v>30</v>
      </c>
      <c r="B45" s="261" t="s">
        <v>329</v>
      </c>
      <c r="C45" s="825">
        <v>48544665.332213111</v>
      </c>
      <c r="D45" s="812">
        <v>71811250.65869005</v>
      </c>
      <c r="E45" s="798">
        <v>76368928.868171826</v>
      </c>
      <c r="F45" s="798">
        <v>86388728.184463203</v>
      </c>
      <c r="G45" s="799">
        <v>95138892.957092375</v>
      </c>
    </row>
    <row r="46" spans="1:7" ht="15">
      <c r="A46" s="295">
        <v>31</v>
      </c>
      <c r="B46" s="296" t="s">
        <v>327</v>
      </c>
      <c r="C46" s="826">
        <f>C44/C45</f>
        <v>2.0757767651212977</v>
      </c>
      <c r="D46" s="813">
        <v>1.3205608070431503</v>
      </c>
      <c r="E46" s="800">
        <v>1.7030679987638737</v>
      </c>
      <c r="F46" s="800">
        <v>1.5643993919816239</v>
      </c>
      <c r="G46" s="801">
        <v>1.3992955507286851</v>
      </c>
    </row>
    <row r="47" spans="1:7" ht="15">
      <c r="A47" s="295"/>
      <c r="B47" s="257" t="s">
        <v>422</v>
      </c>
      <c r="C47" s="827"/>
      <c r="D47" s="814"/>
      <c r="E47" s="802"/>
      <c r="F47" s="802"/>
      <c r="G47" s="803"/>
    </row>
    <row r="48" spans="1:7" ht="15">
      <c r="A48" s="295">
        <v>32</v>
      </c>
      <c r="B48" s="296" t="s">
        <v>429</v>
      </c>
      <c r="C48" s="827">
        <v>247540594.47121745</v>
      </c>
      <c r="D48" s="814">
        <v>273271718.8929404</v>
      </c>
      <c r="E48" s="802">
        <v>285015794.58955759</v>
      </c>
      <c r="F48" s="802">
        <v>252211011.26154172</v>
      </c>
      <c r="G48" s="803">
        <v>224316782.12736854</v>
      </c>
    </row>
    <row r="49" spans="1:7" ht="15">
      <c r="A49" s="295">
        <v>33</v>
      </c>
      <c r="B49" s="296" t="s">
        <v>442</v>
      </c>
      <c r="C49" s="827">
        <v>235440458.27322611</v>
      </c>
      <c r="D49" s="814">
        <v>257982804.51753515</v>
      </c>
      <c r="E49" s="802">
        <v>232416816.28572291</v>
      </c>
      <c r="F49" s="802">
        <v>232849007.77533582</v>
      </c>
      <c r="G49" s="803">
        <v>221664348.23898047</v>
      </c>
    </row>
    <row r="50" spans="1:7" thickBot="1">
      <c r="A50" s="71">
        <v>34</v>
      </c>
      <c r="B50" s="148" t="s">
        <v>456</v>
      </c>
      <c r="C50" s="828">
        <f>C48/C49</f>
        <v>1.0513936147029974</v>
      </c>
      <c r="D50" s="815">
        <v>1.059263307893709</v>
      </c>
      <c r="E50" s="804">
        <v>1.2263131349289795</v>
      </c>
      <c r="F50" s="804">
        <v>1.0831526132371898</v>
      </c>
      <c r="G50" s="805">
        <v>1.0119659923188389</v>
      </c>
    </row>
    <row r="51" spans="1:7">
      <c r="A51" s="20"/>
    </row>
    <row r="52" spans="1:7">
      <c r="B52" s="23"/>
    </row>
    <row r="53" spans="1:7" ht="65.25">
      <c r="B53" s="202" t="s">
        <v>343</v>
      </c>
      <c r="D53" s="183"/>
      <c r="E53" s="183"/>
      <c r="F53" s="183"/>
      <c r="G53" s="183"/>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9"/>
  <sheetViews>
    <sheetView showGridLines="0" zoomScale="80" zoomScaleNormal="80" workbookViewId="0">
      <selection activeCell="B4" sqref="B4"/>
    </sheetView>
  </sheetViews>
  <sheetFormatPr defaultRowHeight="15"/>
  <cols>
    <col min="1" max="1" width="11.42578125" customWidth="1"/>
    <col min="2" max="2" width="76.85546875" style="4" customWidth="1"/>
    <col min="3" max="3" width="22.85546875" customWidth="1"/>
  </cols>
  <sheetData>
    <row r="1" spans="1:3">
      <c r="A1" s="183" t="s">
        <v>97</v>
      </c>
      <c r="B1" s="783" t="str">
        <f>Info!C2</f>
        <v>სს იშბანკი საქართველო</v>
      </c>
    </row>
    <row r="2" spans="1:3">
      <c r="A2" s="183" t="s">
        <v>98</v>
      </c>
      <c r="B2" s="784">
        <f>'1. key ratios'!B2</f>
        <v>45747</v>
      </c>
    </row>
    <row r="3" spans="1:3">
      <c r="A3" s="183"/>
      <c r="B3"/>
    </row>
    <row r="4" spans="1:3">
      <c r="A4" s="183" t="s">
        <v>406</v>
      </c>
      <c r="B4" t="s">
        <v>375</v>
      </c>
    </row>
    <row r="5" spans="1:3">
      <c r="A5" s="560"/>
      <c r="B5" s="560" t="s">
        <v>376</v>
      </c>
      <c r="C5" s="561"/>
    </row>
    <row r="6" spans="1:3">
      <c r="A6" s="562">
        <v>1</v>
      </c>
      <c r="B6" s="563" t="s">
        <v>376</v>
      </c>
      <c r="C6" s="1035">
        <f>'2. SOFP'!$E$36</f>
        <v>471679983.97312123</v>
      </c>
    </row>
    <row r="7" spans="1:3">
      <c r="A7" s="562">
        <v>2</v>
      </c>
      <c r="B7" s="563" t="s">
        <v>377</v>
      </c>
      <c r="C7" s="1035">
        <f>-'9. Capital'!C15</f>
        <v>-2674939.83</v>
      </c>
    </row>
    <row r="8" spans="1:3">
      <c r="A8" s="565">
        <v>3</v>
      </c>
      <c r="B8" s="566" t="s">
        <v>378</v>
      </c>
      <c r="C8" s="567">
        <f>C6+C7</f>
        <v>469005044.14312124</v>
      </c>
    </row>
    <row r="9" spans="1:3">
      <c r="A9" s="568"/>
      <c r="B9" s="568" t="s">
        <v>379</v>
      </c>
      <c r="C9" s="569"/>
    </row>
    <row r="10" spans="1:3">
      <c r="A10" s="570">
        <v>4</v>
      </c>
      <c r="B10" s="571" t="s">
        <v>380</v>
      </c>
      <c r="C10" s="564" t="b">
        <f>'15. CCR'!F34</f>
        <v>0</v>
      </c>
    </row>
    <row r="11" spans="1:3">
      <c r="A11" s="570">
        <v>5</v>
      </c>
      <c r="B11" s="572" t="s">
        <v>381</v>
      </c>
      <c r="C11" s="564" t="b">
        <f>'15. CCR'!G34</f>
        <v>0</v>
      </c>
    </row>
    <row r="12" spans="1:3">
      <c r="A12" s="570">
        <v>6</v>
      </c>
      <c r="B12" s="573" t="s">
        <v>979</v>
      </c>
      <c r="C12" s="567">
        <f>'15. CCR'!I34</f>
        <v>0</v>
      </c>
    </row>
    <row r="13" spans="1:3">
      <c r="A13" s="574">
        <v>7</v>
      </c>
      <c r="B13" s="575" t="s">
        <v>382</v>
      </c>
      <c r="C13" s="564" t="b">
        <f>'15. CCR'!E34</f>
        <v>0</v>
      </c>
    </row>
    <row r="14" spans="1:3">
      <c r="A14" s="576">
        <v>8</v>
      </c>
      <c r="B14" s="577" t="s">
        <v>383</v>
      </c>
      <c r="C14" s="567">
        <f>C12</f>
        <v>0</v>
      </c>
    </row>
    <row r="15" spans="1:3">
      <c r="A15" s="568"/>
      <c r="B15" s="568" t="s">
        <v>384</v>
      </c>
      <c r="C15" s="578"/>
    </row>
    <row r="16" spans="1:3">
      <c r="A16" s="574">
        <v>9</v>
      </c>
      <c r="B16" s="579" t="s">
        <v>385</v>
      </c>
      <c r="C16" s="564"/>
    </row>
    <row r="17" spans="1:3">
      <c r="A17" s="570">
        <v>10</v>
      </c>
      <c r="B17" s="563" t="s">
        <v>386</v>
      </c>
      <c r="C17" s="564"/>
    </row>
    <row r="18" spans="1:3">
      <c r="A18" s="570">
        <v>11</v>
      </c>
      <c r="B18" s="563" t="s">
        <v>387</v>
      </c>
      <c r="C18" s="564"/>
    </row>
    <row r="19" spans="1:3" ht="24">
      <c r="A19" s="574">
        <v>12</v>
      </c>
      <c r="B19" s="579" t="s">
        <v>388</v>
      </c>
      <c r="C19" s="564"/>
    </row>
    <row r="20" spans="1:3">
      <c r="A20" s="574">
        <v>13</v>
      </c>
      <c r="B20" s="579" t="s">
        <v>389</v>
      </c>
      <c r="C20" s="564"/>
    </row>
    <row r="21" spans="1:3">
      <c r="A21" s="574">
        <v>14</v>
      </c>
      <c r="B21" s="563" t="s">
        <v>390</v>
      </c>
      <c r="C21" s="564"/>
    </row>
    <row r="22" spans="1:3">
      <c r="A22" s="576">
        <v>15</v>
      </c>
      <c r="B22" s="577" t="s">
        <v>391</v>
      </c>
      <c r="C22" s="567">
        <f>SUM(C16:C21)</f>
        <v>0</v>
      </c>
    </row>
    <row r="23" spans="1:3">
      <c r="A23" s="568"/>
      <c r="B23" s="568" t="s">
        <v>392</v>
      </c>
      <c r="C23" s="569"/>
    </row>
    <row r="24" spans="1:3">
      <c r="A24" s="570">
        <v>16</v>
      </c>
      <c r="B24" s="563" t="s">
        <v>393</v>
      </c>
      <c r="C24" s="564"/>
    </row>
    <row r="25" spans="1:3">
      <c r="A25" s="570">
        <v>17</v>
      </c>
      <c r="B25" s="563" t="s">
        <v>394</v>
      </c>
      <c r="C25" s="564"/>
    </row>
    <row r="26" spans="1:3">
      <c r="A26" s="576">
        <v>18</v>
      </c>
      <c r="B26" s="577" t="s">
        <v>395</v>
      </c>
      <c r="C26" s="567">
        <f>C24+C25</f>
        <v>0</v>
      </c>
    </row>
    <row r="27" spans="1:3">
      <c r="A27" s="568"/>
      <c r="B27" s="568" t="s">
        <v>396</v>
      </c>
      <c r="C27" s="578"/>
    </row>
    <row r="28" spans="1:3">
      <c r="A28" s="570">
        <v>19</v>
      </c>
      <c r="B28" s="563" t="s">
        <v>397</v>
      </c>
      <c r="C28" s="564"/>
    </row>
    <row r="29" spans="1:3">
      <c r="A29" s="570">
        <v>20</v>
      </c>
      <c r="B29" s="563" t="s">
        <v>398</v>
      </c>
      <c r="C29" s="564"/>
    </row>
    <row r="30" spans="1:3">
      <c r="A30" s="568"/>
      <c r="B30" s="568" t="s">
        <v>399</v>
      </c>
      <c r="C30" s="569"/>
    </row>
    <row r="31" spans="1:3">
      <c r="A31" s="576">
        <v>21</v>
      </c>
      <c r="B31" s="577" t="s">
        <v>75</v>
      </c>
      <c r="C31" s="1036">
        <f>'9. Capital'!C29</f>
        <v>147115694.66173756</v>
      </c>
    </row>
    <row r="32" spans="1:3">
      <c r="A32" s="576">
        <v>22</v>
      </c>
      <c r="B32" s="577" t="s">
        <v>400</v>
      </c>
      <c r="C32" s="567">
        <f>C8+C14+C22+C26</f>
        <v>469005044.14312124</v>
      </c>
    </row>
    <row r="33" spans="1:3">
      <c r="A33" s="580"/>
      <c r="B33" s="580" t="s">
        <v>375</v>
      </c>
      <c r="C33" s="569"/>
    </row>
    <row r="34" spans="1:3">
      <c r="A34" s="576">
        <v>23</v>
      </c>
      <c r="B34" s="577" t="s">
        <v>375</v>
      </c>
      <c r="C34" s="1037">
        <f>IFERROR(C31/C32,0)</f>
        <v>0.31367614591548793</v>
      </c>
    </row>
    <row r="35" spans="1:3">
      <c r="A35" s="580"/>
      <c r="B35" s="580" t="s">
        <v>401</v>
      </c>
      <c r="C35" s="569"/>
    </row>
    <row r="36" spans="1:3">
      <c r="A36" s="574" t="s">
        <v>402</v>
      </c>
      <c r="B36" s="579" t="s">
        <v>403</v>
      </c>
      <c r="C36" s="581"/>
    </row>
    <row r="37" spans="1:3">
      <c r="A37" s="582" t="s">
        <v>404</v>
      </c>
      <c r="B37" s="583" t="s">
        <v>405</v>
      </c>
      <c r="C37" s="581"/>
    </row>
    <row r="39" spans="1:3">
      <c r="B39" s="239"/>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showGridLines="0" zoomScale="80" zoomScaleNormal="80" workbookViewId="0">
      <selection activeCell="B4" sqref="B4"/>
    </sheetView>
  </sheetViews>
  <sheetFormatPr defaultRowHeight="15"/>
  <cols>
    <col min="1" max="1" width="11.42578125" customWidth="1"/>
    <col min="2" max="2" width="76.85546875" style="4" customWidth="1"/>
    <col min="3" max="6" width="24.42578125" customWidth="1"/>
  </cols>
  <sheetData>
    <row r="1" spans="1:6">
      <c r="A1" s="16" t="s">
        <v>97</v>
      </c>
      <c r="B1" s="783" t="str">
        <f>Info!C2</f>
        <v>სს იშბანკი საქართველო</v>
      </c>
    </row>
    <row r="2" spans="1:6">
      <c r="A2" s="183" t="s">
        <v>98</v>
      </c>
      <c r="B2" s="784">
        <f>'1. key ratios'!B2</f>
        <v>45747</v>
      </c>
    </row>
    <row r="3" spans="1:6">
      <c r="A3" s="183"/>
      <c r="B3"/>
    </row>
    <row r="4" spans="1:6">
      <c r="A4" s="559" t="s">
        <v>971</v>
      </c>
    </row>
    <row r="5" spans="1:6" ht="105">
      <c r="B5" s="553"/>
      <c r="C5" s="554" t="s">
        <v>972</v>
      </c>
      <c r="D5" s="554" t="s">
        <v>973</v>
      </c>
      <c r="E5" s="554" t="s">
        <v>974</v>
      </c>
      <c r="F5" s="554" t="s">
        <v>975</v>
      </c>
    </row>
    <row r="6" spans="1:6">
      <c r="B6" s="555" t="s">
        <v>970</v>
      </c>
      <c r="C6" s="556" t="b">
        <f>IF(C7&gt;0,C7,IF(C8&gt;0,C8,IF(C9&gt;0,C9)))</f>
        <v>0</v>
      </c>
      <c r="D6" s="556" t="b">
        <f>IF(D7&gt;0,D7,IF(D8&gt;0,D8,IF(D9&gt;0,D9)))</f>
        <v>0</v>
      </c>
      <c r="E6" s="556" t="b">
        <f>IF(E7&gt;0,E7,IF(E8&gt;0,E8,IF(E9&gt;0,E9)))</f>
        <v>0</v>
      </c>
      <c r="F6" s="556" t="b">
        <f>IF(F7&gt;0,F7,IF(F8&gt;0,F8,IF(F9&gt;0,F9)))</f>
        <v>0</v>
      </c>
    </row>
    <row r="7" spans="1:6">
      <c r="B7" s="557" t="s">
        <v>976</v>
      </c>
      <c r="C7" s="558"/>
      <c r="D7" s="558"/>
      <c r="E7" s="558"/>
      <c r="F7" s="558"/>
    </row>
    <row r="8" spans="1:6">
      <c r="B8" s="557" t="s">
        <v>977</v>
      </c>
      <c r="C8" s="558"/>
      <c r="D8" s="558"/>
      <c r="E8" s="558"/>
      <c r="F8" s="558"/>
    </row>
    <row r="9" spans="1:6">
      <c r="B9" s="557" t="s">
        <v>978</v>
      </c>
      <c r="C9" s="558"/>
      <c r="D9" s="558"/>
      <c r="E9" s="558"/>
      <c r="F9" s="558"/>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showGridLines="0" zoomScale="80" zoomScaleNormal="80" workbookViewId="0">
      <pane xSplit="2" ySplit="6" topLeftCell="C7" activePane="bottomRight" state="frozen"/>
      <selection pane="topRight" activeCell="C1" sqref="C1"/>
      <selection pane="bottomLeft" activeCell="A7" sqref="A7"/>
      <selection pane="bottomRight" activeCell="B4" sqref="B4"/>
    </sheetView>
  </sheetViews>
  <sheetFormatPr defaultRowHeight="15"/>
  <cols>
    <col min="1" max="1" width="9.85546875" style="183" bestFit="1" customWidth="1"/>
    <col min="2" max="2" width="82.5703125" style="23" customWidth="1"/>
    <col min="3" max="7" width="17.5703125" style="183" customWidth="1"/>
  </cols>
  <sheetData>
    <row r="1" spans="1:7">
      <c r="A1" s="183" t="s">
        <v>97</v>
      </c>
      <c r="B1" s="783" t="str">
        <f>Info!C2</f>
        <v>სს იშბანკი საქართველო</v>
      </c>
    </row>
    <row r="2" spans="1:7">
      <c r="A2" s="183" t="s">
        <v>98</v>
      </c>
      <c r="B2" s="784">
        <f>'1. key ratios'!B2</f>
        <v>45747</v>
      </c>
    </row>
    <row r="3" spans="1:7">
      <c r="B3" s="264"/>
    </row>
    <row r="4" spans="1:7" ht="15.75" thickBot="1">
      <c r="A4" s="183" t="s">
        <v>457</v>
      </c>
      <c r="B4" s="265" t="s">
        <v>422</v>
      </c>
    </row>
    <row r="5" spans="1:7">
      <c r="A5" s="266"/>
      <c r="B5" s="267"/>
      <c r="C5" s="654" t="s">
        <v>423</v>
      </c>
      <c r="D5" s="654"/>
      <c r="E5" s="654"/>
      <c r="F5" s="654"/>
      <c r="G5" s="655" t="s">
        <v>424</v>
      </c>
    </row>
    <row r="6" spans="1:7">
      <c r="A6" s="268"/>
      <c r="B6" s="269"/>
      <c r="C6" s="270" t="s">
        <v>425</v>
      </c>
      <c r="D6" s="271" t="s">
        <v>426</v>
      </c>
      <c r="E6" s="271" t="s">
        <v>427</v>
      </c>
      <c r="F6" s="271" t="s">
        <v>428</v>
      </c>
      <c r="G6" s="656"/>
    </row>
    <row r="7" spans="1:7">
      <c r="A7" s="272"/>
      <c r="B7" s="273" t="s">
        <v>429</v>
      </c>
      <c r="C7" s="274"/>
      <c r="D7" s="274"/>
      <c r="E7" s="274"/>
      <c r="F7" s="274"/>
      <c r="G7" s="275"/>
    </row>
    <row r="8" spans="1:7">
      <c r="A8" s="276">
        <v>1</v>
      </c>
      <c r="B8" s="277" t="s">
        <v>430</v>
      </c>
      <c r="C8" s="1038">
        <f>SUM(C9:C10)</f>
        <v>147115694.66173756</v>
      </c>
      <c r="D8" s="1038">
        <f>SUM(D9:D10)</f>
        <v>0</v>
      </c>
      <c r="E8" s="1038">
        <f>SUM(E9:E10)</f>
        <v>0</v>
      </c>
      <c r="F8" s="1038">
        <f>SUM(F9:F10)</f>
        <v>44151421.12014164</v>
      </c>
      <c r="G8" s="1039">
        <f>SUM(G9:G10)</f>
        <v>191267115.78187919</v>
      </c>
    </row>
    <row r="9" spans="1:7">
      <c r="A9" s="276">
        <v>2</v>
      </c>
      <c r="B9" s="278" t="s">
        <v>74</v>
      </c>
      <c r="C9" s="1040">
        <v>147115694.66173756</v>
      </c>
      <c r="D9" s="1040"/>
      <c r="E9" s="1040"/>
      <c r="F9" s="1040"/>
      <c r="G9" s="1041">
        <v>147115694.66173756</v>
      </c>
    </row>
    <row r="10" spans="1:7">
      <c r="A10" s="276">
        <v>3</v>
      </c>
      <c r="B10" s="278" t="s">
        <v>431</v>
      </c>
      <c r="C10" s="1042"/>
      <c r="D10" s="1042"/>
      <c r="E10" s="1042"/>
      <c r="F10" s="1040">
        <v>44151421.12014164</v>
      </c>
      <c r="G10" s="1041">
        <v>44151421.12014164</v>
      </c>
    </row>
    <row r="11" spans="1:7" ht="26.25">
      <c r="A11" s="276">
        <v>4</v>
      </c>
      <c r="B11" s="277" t="s">
        <v>432</v>
      </c>
      <c r="C11" s="1038">
        <f t="shared" ref="C11:F11" si="0">SUM(C12:C13)</f>
        <v>4872540.7245272491</v>
      </c>
      <c r="D11" s="1038">
        <f t="shared" si="0"/>
        <v>8747178.9134713281</v>
      </c>
      <c r="E11" s="1038">
        <f t="shared" si="0"/>
        <v>1091905.7650697301</v>
      </c>
      <c r="F11" s="1038">
        <f t="shared" si="0"/>
        <v>1238789.565767</v>
      </c>
      <c r="G11" s="1039">
        <f>SUM(G12:G13)</f>
        <v>10230017.936555119</v>
      </c>
    </row>
    <row r="12" spans="1:7">
      <c r="A12" s="276">
        <v>5</v>
      </c>
      <c r="B12" s="278" t="s">
        <v>433</v>
      </c>
      <c r="C12" s="1040">
        <v>1652256.2499160019</v>
      </c>
      <c r="D12" s="1043">
        <v>2876113.0764461705</v>
      </c>
      <c r="E12" s="1040">
        <v>204123.52718171</v>
      </c>
      <c r="F12" s="1040">
        <v>278197.04009492998</v>
      </c>
      <c r="G12" s="1041">
        <v>4760155.3989568707</v>
      </c>
    </row>
    <row r="13" spans="1:7">
      <c r="A13" s="276">
        <v>6</v>
      </c>
      <c r="B13" s="278" t="s">
        <v>434</v>
      </c>
      <c r="C13" s="1040">
        <v>3220284.4746112474</v>
      </c>
      <c r="D13" s="1043">
        <v>5871065.8370251572</v>
      </c>
      <c r="E13" s="1040">
        <v>887782.23788802</v>
      </c>
      <c r="F13" s="1040">
        <v>960592.52567206998</v>
      </c>
      <c r="G13" s="1041">
        <v>5469862.5375982486</v>
      </c>
    </row>
    <row r="14" spans="1:7">
      <c r="A14" s="276">
        <v>7</v>
      </c>
      <c r="B14" s="277" t="s">
        <v>435</v>
      </c>
      <c r="C14" s="1038">
        <f t="shared" ref="C14:F14" si="1">SUM(C15:C16)</f>
        <v>65499417.036203325</v>
      </c>
      <c r="D14" s="1038">
        <f t="shared" si="1"/>
        <v>158076146.4949384</v>
      </c>
      <c r="E14" s="1038">
        <f t="shared" si="1"/>
        <v>25569320.727875769</v>
      </c>
      <c r="F14" s="1038">
        <f t="shared" si="1"/>
        <v>301898.6274</v>
      </c>
      <c r="G14" s="1039">
        <f>SUM(G15:G16)</f>
        <v>46043460.752783164</v>
      </c>
    </row>
    <row r="15" spans="1:7" ht="51.75">
      <c r="A15" s="276">
        <v>8</v>
      </c>
      <c r="B15" s="278" t="s">
        <v>436</v>
      </c>
      <c r="C15" s="1040">
        <v>43478376.2889238</v>
      </c>
      <c r="D15" s="1043">
        <v>22737325.861366726</v>
      </c>
      <c r="E15" s="1040">
        <v>20171114.175530408</v>
      </c>
      <c r="F15" s="1040">
        <v>301898.6274</v>
      </c>
      <c r="G15" s="1041">
        <v>43344357.476610482</v>
      </c>
    </row>
    <row r="16" spans="1:7" ht="26.25">
      <c r="A16" s="276">
        <v>9</v>
      </c>
      <c r="B16" s="278" t="s">
        <v>437</v>
      </c>
      <c r="C16" s="1040">
        <v>22021040.747279521</v>
      </c>
      <c r="D16" s="1043">
        <v>135338820.63357168</v>
      </c>
      <c r="E16" s="1040">
        <v>5398206.5523453616</v>
      </c>
      <c r="F16" s="1040">
        <v>0</v>
      </c>
      <c r="G16" s="1041">
        <v>2699103.2761726808</v>
      </c>
    </row>
    <row r="17" spans="1:7">
      <c r="A17" s="276">
        <v>10</v>
      </c>
      <c r="B17" s="277" t="s">
        <v>438</v>
      </c>
      <c r="C17" s="1040"/>
      <c r="D17" s="1043"/>
      <c r="E17" s="1040"/>
      <c r="F17" s="1040"/>
      <c r="G17" s="1041">
        <v>0</v>
      </c>
    </row>
    <row r="18" spans="1:7">
      <c r="A18" s="276">
        <v>11</v>
      </c>
      <c r="B18" s="277" t="s">
        <v>78</v>
      </c>
      <c r="C18" s="1038">
        <f>SUM(C19:C20)</f>
        <v>12340730.505989287</v>
      </c>
      <c r="D18" s="1044">
        <f t="shared" ref="D18:G18" si="2">SUM(D19:D20)</f>
        <v>0</v>
      </c>
      <c r="E18" s="1038">
        <f t="shared" si="2"/>
        <v>0</v>
      </c>
      <c r="F18" s="1038">
        <f t="shared" si="2"/>
        <v>0</v>
      </c>
      <c r="G18" s="1039">
        <f t="shared" si="2"/>
        <v>0</v>
      </c>
    </row>
    <row r="19" spans="1:7">
      <c r="A19" s="276">
        <v>12</v>
      </c>
      <c r="B19" s="278" t="s">
        <v>439</v>
      </c>
      <c r="C19" s="1042"/>
      <c r="D19" s="1043"/>
      <c r="E19" s="1040"/>
      <c r="F19" s="1040"/>
      <c r="G19" s="1041"/>
    </row>
    <row r="20" spans="1:7" ht="26.25">
      <c r="A20" s="276">
        <v>13</v>
      </c>
      <c r="B20" s="278" t="s">
        <v>440</v>
      </c>
      <c r="C20" s="1040">
        <v>12340730.505989287</v>
      </c>
      <c r="D20" s="1040"/>
      <c r="E20" s="1040"/>
      <c r="F20" s="1040"/>
      <c r="G20" s="1041"/>
    </row>
    <row r="21" spans="1:7">
      <c r="A21" s="280">
        <v>14</v>
      </c>
      <c r="B21" s="281" t="s">
        <v>441</v>
      </c>
      <c r="C21" s="1042"/>
      <c r="D21" s="1042"/>
      <c r="E21" s="1042"/>
      <c r="F21" s="1042"/>
      <c r="G21" s="1045">
        <f>SUM(G8,G11,G14,G17,G18)</f>
        <v>247540594.47121745</v>
      </c>
    </row>
    <row r="22" spans="1:7">
      <c r="A22" s="283"/>
      <c r="B22" s="298" t="s">
        <v>442</v>
      </c>
      <c r="C22" s="284"/>
      <c r="D22" s="285"/>
      <c r="E22" s="284"/>
      <c r="F22" s="284"/>
      <c r="G22" s="286"/>
    </row>
    <row r="23" spans="1:7">
      <c r="A23" s="276">
        <v>15</v>
      </c>
      <c r="B23" s="277" t="s">
        <v>310</v>
      </c>
      <c r="C23" s="1046">
        <v>93186149.514298618</v>
      </c>
      <c r="D23" s="1047">
        <v>0</v>
      </c>
      <c r="E23" s="1046">
        <v>0</v>
      </c>
      <c r="F23" s="1046">
        <v>0</v>
      </c>
      <c r="G23" s="1041">
        <v>2113882.5956851505</v>
      </c>
    </row>
    <row r="24" spans="1:7">
      <c r="A24" s="276">
        <v>16</v>
      </c>
      <c r="B24" s="277" t="s">
        <v>443</v>
      </c>
      <c r="C24" s="1038">
        <f>SUM(C25:C27,C29,C31)</f>
        <v>61722.111105741613</v>
      </c>
      <c r="D24" s="1044">
        <f t="shared" ref="D24:G24" si="3">SUM(D25:D27,D29,D31)</f>
        <v>166890350.83707228</v>
      </c>
      <c r="E24" s="1038">
        <f t="shared" si="3"/>
        <v>91283634.549739197</v>
      </c>
      <c r="F24" s="1038">
        <f t="shared" si="3"/>
        <v>90028746.980481356</v>
      </c>
      <c r="G24" s="1039">
        <f t="shared" si="3"/>
        <v>198627586.42932105</v>
      </c>
    </row>
    <row r="25" spans="1:7" ht="26.25">
      <c r="A25" s="276">
        <v>17</v>
      </c>
      <c r="B25" s="278" t="s">
        <v>444</v>
      </c>
      <c r="C25" s="1040"/>
      <c r="D25" s="1043"/>
      <c r="E25" s="1040"/>
      <c r="F25" s="1040"/>
      <c r="G25" s="1041">
        <v>886732.60199999996</v>
      </c>
    </row>
    <row r="26" spans="1:7" ht="26.25">
      <c r="A26" s="276">
        <v>18</v>
      </c>
      <c r="B26" s="278" t="s">
        <v>445</v>
      </c>
      <c r="C26" s="1040">
        <v>61722.111105741613</v>
      </c>
      <c r="D26" s="1043">
        <v>24671417.153314877</v>
      </c>
      <c r="E26" s="1040">
        <v>0</v>
      </c>
      <c r="F26" s="1040">
        <v>0</v>
      </c>
      <c r="G26" s="1041">
        <v>3709970.8896630923</v>
      </c>
    </row>
    <row r="27" spans="1:7">
      <c r="A27" s="276">
        <v>19</v>
      </c>
      <c r="B27" s="278" t="s">
        <v>446</v>
      </c>
      <c r="C27" s="1040">
        <v>0</v>
      </c>
      <c r="D27" s="1043">
        <v>142062867.44221097</v>
      </c>
      <c r="E27" s="1040">
        <v>91047708.261830196</v>
      </c>
      <c r="F27" s="1040">
        <v>51444405.30404596</v>
      </c>
      <c r="G27" s="1041">
        <v>160983032.36046016</v>
      </c>
    </row>
    <row r="28" spans="1:7">
      <c r="A28" s="276">
        <v>20</v>
      </c>
      <c r="B28" s="287" t="s">
        <v>447</v>
      </c>
      <c r="C28" s="1040"/>
      <c r="D28" s="1043"/>
      <c r="E28" s="1040"/>
      <c r="F28" s="1040"/>
      <c r="G28" s="1041"/>
    </row>
    <row r="29" spans="1:7">
      <c r="A29" s="276">
        <v>21</v>
      </c>
      <c r="B29" s="278" t="s">
        <v>448</v>
      </c>
      <c r="C29" s="1040">
        <v>0</v>
      </c>
      <c r="D29" s="1043">
        <v>156066.24154641817</v>
      </c>
      <c r="E29" s="1040">
        <v>235926.28790899989</v>
      </c>
      <c r="F29" s="1040">
        <v>1553288.8830979983</v>
      </c>
      <c r="G29" s="1041">
        <v>1571455.7028610103</v>
      </c>
    </row>
    <row r="30" spans="1:7">
      <c r="A30" s="276">
        <v>22</v>
      </c>
      <c r="B30" s="287" t="s">
        <v>447</v>
      </c>
      <c r="C30" s="1040"/>
      <c r="D30" s="1043"/>
      <c r="E30" s="1040"/>
      <c r="F30" s="1040"/>
      <c r="G30" s="1041"/>
    </row>
    <row r="31" spans="1:7" ht="26.25">
      <c r="A31" s="276">
        <v>23</v>
      </c>
      <c r="B31" s="278" t="s">
        <v>449</v>
      </c>
      <c r="C31" s="1040"/>
      <c r="D31" s="1043"/>
      <c r="E31" s="1040"/>
      <c r="F31" s="1040">
        <v>37031052.793337405</v>
      </c>
      <c r="G31" s="1041">
        <v>31476394.874336794</v>
      </c>
    </row>
    <row r="32" spans="1:7">
      <c r="A32" s="276">
        <v>24</v>
      </c>
      <c r="B32" s="277" t="s">
        <v>450</v>
      </c>
      <c r="C32" s="1040">
        <v>0</v>
      </c>
      <c r="D32" s="1043"/>
      <c r="E32" s="1040"/>
      <c r="F32" s="1040"/>
      <c r="G32" s="1041">
        <v>0</v>
      </c>
    </row>
    <row r="33" spans="1:7">
      <c r="A33" s="276">
        <v>25</v>
      </c>
      <c r="B33" s="277" t="s">
        <v>88</v>
      </c>
      <c r="C33" s="1038">
        <f>SUM(C34:C35)</f>
        <v>14807223.916785998</v>
      </c>
      <c r="D33" s="1038">
        <f>SUM(D34:D35)</f>
        <v>0</v>
      </c>
      <c r="E33" s="1038">
        <f>SUM(E34:E35)</f>
        <v>1400000</v>
      </c>
      <c r="F33" s="1038">
        <f>SUM(F34:F35)</f>
        <v>501512.82491385384</v>
      </c>
      <c r="G33" s="1039">
        <f>SUM(G34:G35)</f>
        <v>15308736.741699854</v>
      </c>
    </row>
    <row r="34" spans="1:7">
      <c r="A34" s="276">
        <v>26</v>
      </c>
      <c r="B34" s="278" t="s">
        <v>451</v>
      </c>
      <c r="C34" s="1042"/>
      <c r="D34" s="1043"/>
      <c r="E34" s="1040"/>
      <c r="F34" s="1040"/>
      <c r="G34" s="1041"/>
    </row>
    <row r="35" spans="1:7">
      <c r="A35" s="276">
        <v>27</v>
      </c>
      <c r="B35" s="278" t="s">
        <v>452</v>
      </c>
      <c r="C35" s="1040">
        <v>14807223.916785998</v>
      </c>
      <c r="D35" s="1043">
        <v>0</v>
      </c>
      <c r="E35" s="1040">
        <v>1400000</v>
      </c>
      <c r="F35" s="1040">
        <v>501512.82491385384</v>
      </c>
      <c r="G35" s="1041">
        <v>15308736.741699854</v>
      </c>
    </row>
    <row r="36" spans="1:7">
      <c r="A36" s="276">
        <v>28</v>
      </c>
      <c r="B36" s="277" t="s">
        <v>453</v>
      </c>
      <c r="C36" s="1040">
        <v>0</v>
      </c>
      <c r="D36" s="1043">
        <v>26372129.886331499</v>
      </c>
      <c r="E36" s="1040">
        <v>35373528.779281095</v>
      </c>
      <c r="F36" s="1040">
        <v>88104577.599725574</v>
      </c>
      <c r="G36" s="1041">
        <v>19390252.506520096</v>
      </c>
    </row>
    <row r="37" spans="1:7">
      <c r="A37" s="280">
        <v>29</v>
      </c>
      <c r="B37" s="281" t="s">
        <v>454</v>
      </c>
      <c r="C37" s="279"/>
      <c r="D37" s="279"/>
      <c r="E37" s="279"/>
      <c r="F37" s="279"/>
      <c r="G37" s="282">
        <f>SUM(G23:G24,G32:G33,G36)</f>
        <v>235440458.27322614</v>
      </c>
    </row>
    <row r="38" spans="1:7">
      <c r="A38" s="272"/>
      <c r="B38" s="288"/>
      <c r="C38" s="289"/>
      <c r="D38" s="289"/>
      <c r="E38" s="289"/>
      <c r="F38" s="289"/>
      <c r="G38" s="290"/>
    </row>
    <row r="39" spans="1:7" ht="15.75" thickBot="1">
      <c r="A39" s="291">
        <v>30</v>
      </c>
      <c r="B39" s="292" t="s">
        <v>422</v>
      </c>
      <c r="C39" s="192"/>
      <c r="D39" s="174"/>
      <c r="E39" s="174"/>
      <c r="F39" s="293"/>
      <c r="G39" s="294">
        <f>IFERROR(G21/G37,0)</f>
        <v>1.0513936147029974</v>
      </c>
    </row>
    <row r="42" spans="1:7" ht="39">
      <c r="B42" s="23"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A5" sqref="A5:B7"/>
    </sheetView>
  </sheetViews>
  <sheetFormatPr defaultColWidth="9.140625" defaultRowHeight="12.75"/>
  <cols>
    <col min="1" max="1" width="11.85546875" style="303" bestFit="1" customWidth="1"/>
    <col min="2" max="2" width="105.140625" style="303" bestFit="1" customWidth="1"/>
    <col min="3" max="3" width="15.28515625" style="303" bestFit="1" customWidth="1"/>
    <col min="4" max="4" width="15.85546875" style="303" bestFit="1" customWidth="1"/>
    <col min="5" max="5" width="19.42578125" style="303" bestFit="1" customWidth="1"/>
    <col min="6" max="6" width="14.140625" style="303" bestFit="1" customWidth="1"/>
    <col min="7" max="7" width="36" style="303" bestFit="1" customWidth="1"/>
    <col min="8" max="8" width="15.85546875" style="303" bestFit="1" customWidth="1"/>
    <col min="9" max="16384" width="9.140625" style="303"/>
  </cols>
  <sheetData>
    <row r="1" spans="1:8" ht="13.5">
      <c r="A1" s="302" t="s">
        <v>97</v>
      </c>
      <c r="B1" s="783" t="str">
        <f>Info!C2</f>
        <v>სს იშბანკი საქართველო</v>
      </c>
    </row>
    <row r="2" spans="1:8" ht="13.5">
      <c r="A2" s="304" t="s">
        <v>98</v>
      </c>
      <c r="B2" s="784">
        <f>'1. key ratios'!B2</f>
        <v>45747</v>
      </c>
    </row>
    <row r="3" spans="1:8">
      <c r="A3" s="305" t="s">
        <v>462</v>
      </c>
    </row>
    <row r="5" spans="1:8">
      <c r="A5" s="657" t="s">
        <v>463</v>
      </c>
      <c r="B5" s="658"/>
      <c r="C5" s="663" t="s">
        <v>464</v>
      </c>
      <c r="D5" s="664"/>
      <c r="E5" s="664"/>
      <c r="F5" s="664"/>
      <c r="G5" s="664"/>
      <c r="H5" s="665"/>
    </row>
    <row r="6" spans="1:8">
      <c r="A6" s="659"/>
      <c r="B6" s="660"/>
      <c r="C6" s="666"/>
      <c r="D6" s="667"/>
      <c r="E6" s="667"/>
      <c r="F6" s="667"/>
      <c r="G6" s="667"/>
      <c r="H6" s="668"/>
    </row>
    <row r="7" spans="1:8" ht="25.5">
      <c r="A7" s="661"/>
      <c r="B7" s="662"/>
      <c r="C7" s="366" t="s">
        <v>465</v>
      </c>
      <c r="D7" s="366" t="s">
        <v>466</v>
      </c>
      <c r="E7" s="366" t="s">
        <v>467</v>
      </c>
      <c r="F7" s="366" t="s">
        <v>468</v>
      </c>
      <c r="G7" s="367" t="s">
        <v>648</v>
      </c>
      <c r="H7" s="366" t="s">
        <v>66</v>
      </c>
    </row>
    <row r="8" spans="1:8">
      <c r="A8" s="362">
        <v>1</v>
      </c>
      <c r="B8" s="361" t="s">
        <v>123</v>
      </c>
      <c r="C8" s="1048">
        <v>52068101.494819783</v>
      </c>
      <c r="D8" s="1048">
        <v>0</v>
      </c>
      <c r="E8" s="1048">
        <v>0</v>
      </c>
      <c r="F8" s="1048">
        <v>0</v>
      </c>
      <c r="G8" s="1048"/>
      <c r="H8" s="1049">
        <f t="shared" ref="H8:H21" si="0">SUM(C8:G8)</f>
        <v>52068101.494819783</v>
      </c>
    </row>
    <row r="9" spans="1:8">
      <c r="A9" s="362">
        <v>2</v>
      </c>
      <c r="B9" s="361" t="s">
        <v>124</v>
      </c>
      <c r="C9" s="1050"/>
      <c r="D9" s="1050"/>
      <c r="E9" s="1050"/>
      <c r="F9" s="1050"/>
      <c r="G9" s="1050"/>
      <c r="H9" s="1051">
        <f t="shared" si="0"/>
        <v>0</v>
      </c>
    </row>
    <row r="10" spans="1:8">
      <c r="A10" s="362">
        <v>3</v>
      </c>
      <c r="B10" s="361" t="s">
        <v>125</v>
      </c>
      <c r="C10" s="1050"/>
      <c r="D10" s="1050"/>
      <c r="E10" s="1050"/>
      <c r="F10" s="1050"/>
      <c r="G10" s="1050"/>
      <c r="H10" s="1051">
        <f t="shared" si="0"/>
        <v>0</v>
      </c>
    </row>
    <row r="11" spans="1:8">
      <c r="A11" s="362">
        <v>4</v>
      </c>
      <c r="B11" s="361" t="s">
        <v>126</v>
      </c>
      <c r="C11" s="1050"/>
      <c r="D11" s="1050"/>
      <c r="E11" s="1050"/>
      <c r="F11" s="1050"/>
      <c r="G11" s="1050"/>
      <c r="H11" s="1051">
        <f t="shared" si="0"/>
        <v>0</v>
      </c>
    </row>
    <row r="12" spans="1:8">
      <c r="A12" s="362">
        <v>5</v>
      </c>
      <c r="B12" s="361" t="s">
        <v>912</v>
      </c>
      <c r="C12" s="1050"/>
      <c r="D12" s="1050"/>
      <c r="E12" s="1050"/>
      <c r="F12" s="1050"/>
      <c r="G12" s="1050"/>
      <c r="H12" s="1051">
        <f t="shared" si="0"/>
        <v>0</v>
      </c>
    </row>
    <row r="13" spans="1:8">
      <c r="A13" s="362">
        <v>6</v>
      </c>
      <c r="B13" s="361" t="s">
        <v>127</v>
      </c>
      <c r="C13" s="1050">
        <v>33362985.770006154</v>
      </c>
      <c r="D13" s="1050">
        <v>0</v>
      </c>
      <c r="E13" s="1050">
        <v>2795200.9939907324</v>
      </c>
      <c r="F13" s="1050">
        <v>0</v>
      </c>
      <c r="G13" s="1050"/>
      <c r="H13" s="1051">
        <f t="shared" si="0"/>
        <v>36158186.763996884</v>
      </c>
    </row>
    <row r="14" spans="1:8">
      <c r="A14" s="362">
        <v>7</v>
      </c>
      <c r="B14" s="361" t="s">
        <v>71</v>
      </c>
      <c r="C14" s="1050"/>
      <c r="D14" s="1050">
        <v>284199595.95526409</v>
      </c>
      <c r="E14" s="1050">
        <v>65690968.877913527</v>
      </c>
      <c r="F14" s="1050">
        <v>9971488.9661918636</v>
      </c>
      <c r="G14" s="1050">
        <v>485579.45002288581</v>
      </c>
      <c r="H14" s="1051">
        <f t="shared" si="0"/>
        <v>360347633.24939239</v>
      </c>
    </row>
    <row r="15" spans="1:8">
      <c r="A15" s="362">
        <v>8</v>
      </c>
      <c r="B15" s="363" t="s">
        <v>72</v>
      </c>
      <c r="C15" s="1050"/>
      <c r="D15" s="1050"/>
      <c r="E15" s="1050"/>
      <c r="F15" s="1050"/>
      <c r="G15" s="1050"/>
      <c r="H15" s="1051">
        <f t="shared" si="0"/>
        <v>0</v>
      </c>
    </row>
    <row r="16" spans="1:8">
      <c r="A16" s="362">
        <v>9</v>
      </c>
      <c r="B16" s="361" t="s">
        <v>913</v>
      </c>
      <c r="C16" s="1050"/>
      <c r="D16" s="1050"/>
      <c r="E16" s="1050"/>
      <c r="F16" s="1050"/>
      <c r="G16" s="1050"/>
      <c r="H16" s="1051">
        <f t="shared" si="0"/>
        <v>0</v>
      </c>
    </row>
    <row r="17" spans="1:8">
      <c r="A17" s="362">
        <v>10</v>
      </c>
      <c r="B17" s="365" t="s">
        <v>483</v>
      </c>
      <c r="C17" s="1050"/>
      <c r="D17" s="1050">
        <v>0</v>
      </c>
      <c r="E17" s="1050">
        <v>0</v>
      </c>
      <c r="F17" s="1050">
        <v>58417.005368872473</v>
      </c>
      <c r="G17" s="1050">
        <v>501512.8249138543</v>
      </c>
      <c r="H17" s="1051">
        <f t="shared" si="0"/>
        <v>559929.83028272679</v>
      </c>
    </row>
    <row r="18" spans="1:8">
      <c r="A18" s="362">
        <v>11</v>
      </c>
      <c r="B18" s="361" t="s">
        <v>68</v>
      </c>
      <c r="C18" s="1050"/>
      <c r="D18" s="1050">
        <v>0</v>
      </c>
      <c r="E18" s="1050">
        <v>0</v>
      </c>
      <c r="F18" s="1050">
        <v>0</v>
      </c>
      <c r="G18" s="1050">
        <v>0</v>
      </c>
      <c r="H18" s="1051">
        <f t="shared" si="0"/>
        <v>0</v>
      </c>
    </row>
    <row r="19" spans="1:8">
      <c r="A19" s="362">
        <v>12</v>
      </c>
      <c r="B19" s="361" t="s">
        <v>69</v>
      </c>
      <c r="C19" s="1050"/>
      <c r="D19" s="1050"/>
      <c r="E19" s="1050"/>
      <c r="F19" s="1050"/>
      <c r="G19" s="1050"/>
      <c r="H19" s="1051">
        <f t="shared" si="0"/>
        <v>0</v>
      </c>
    </row>
    <row r="20" spans="1:8">
      <c r="A20" s="364">
        <v>13</v>
      </c>
      <c r="B20" s="363" t="s">
        <v>70</v>
      </c>
      <c r="C20" s="1050"/>
      <c r="D20" s="1050"/>
      <c r="E20" s="1050"/>
      <c r="F20" s="1050"/>
      <c r="G20" s="1050"/>
      <c r="H20" s="1051">
        <f t="shared" si="0"/>
        <v>0</v>
      </c>
    </row>
    <row r="21" spans="1:8">
      <c r="A21" s="362">
        <v>14</v>
      </c>
      <c r="B21" s="361" t="s">
        <v>469</v>
      </c>
      <c r="C21" s="1050">
        <v>818773.49450000003</v>
      </c>
      <c r="D21" s="1050">
        <v>710286.03728239262</v>
      </c>
      <c r="E21" s="1050">
        <v>3246738.3198838369</v>
      </c>
      <c r="F21" s="1050">
        <v>712287.47609534988</v>
      </c>
      <c r="G21" s="1050">
        <v>14943037.307150669</v>
      </c>
      <c r="H21" s="1051">
        <f t="shared" si="0"/>
        <v>20431122.634912249</v>
      </c>
    </row>
    <row r="22" spans="1:8" ht="13.5" thickBot="1">
      <c r="A22" s="360">
        <v>15</v>
      </c>
      <c r="B22" s="359" t="s">
        <v>66</v>
      </c>
      <c r="C22" s="1052">
        <f>SUM(C18:C21)+SUM(C8:C16)</f>
        <v>86249860.759325936</v>
      </c>
      <c r="D22" s="1052">
        <f t="shared" ref="D22:H22" si="1">SUM(D18:D21)+SUM(D8:D16)</f>
        <v>284909881.9925465</v>
      </c>
      <c r="E22" s="1052">
        <f t="shared" si="1"/>
        <v>71732908.191788092</v>
      </c>
      <c r="F22" s="1052">
        <f t="shared" si="1"/>
        <v>10683776.442287214</v>
      </c>
      <c r="G22" s="1052">
        <f t="shared" si="1"/>
        <v>15428616.757173555</v>
      </c>
      <c r="H22" s="1053">
        <f t="shared" si="1"/>
        <v>469005044.1431213</v>
      </c>
    </row>
    <row r="26" spans="1:8" ht="38.25">
      <c r="B26" s="322" t="s">
        <v>647</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A5" sqref="A5:B6"/>
    </sheetView>
  </sheetViews>
  <sheetFormatPr defaultColWidth="9.140625" defaultRowHeight="12.75"/>
  <cols>
    <col min="1" max="1" width="11.85546875" style="306" bestFit="1" customWidth="1"/>
    <col min="2" max="2" width="86.85546875" style="303" customWidth="1"/>
    <col min="3" max="4" width="31.5703125" style="303" customWidth="1"/>
    <col min="5" max="5" width="16.42578125" style="308" bestFit="1" customWidth="1"/>
    <col min="6" max="6" width="14.140625" style="308" bestFit="1" customWidth="1"/>
    <col min="7" max="7" width="20" style="303" bestFit="1" customWidth="1"/>
    <col min="8" max="8" width="25.140625" style="303" bestFit="1" customWidth="1"/>
    <col min="9" max="16384" width="9.140625" style="303"/>
  </cols>
  <sheetData>
    <row r="1" spans="1:8" ht="13.5">
      <c r="A1" s="302" t="s">
        <v>97</v>
      </c>
      <c r="B1" s="783" t="str">
        <f>Info!C2</f>
        <v>სს იშბანკი საქართველო</v>
      </c>
      <c r="C1" s="379"/>
      <c r="D1" s="379"/>
      <c r="E1" s="379"/>
      <c r="F1" s="379"/>
      <c r="G1" s="379"/>
      <c r="H1" s="379"/>
    </row>
    <row r="2" spans="1:8" ht="13.5">
      <c r="A2" s="304" t="s">
        <v>98</v>
      </c>
      <c r="B2" s="784">
        <f>'1. key ratios'!B2</f>
        <v>45747</v>
      </c>
      <c r="C2" s="379"/>
      <c r="D2" s="379"/>
      <c r="E2" s="379"/>
      <c r="F2" s="379"/>
      <c r="G2" s="379"/>
      <c r="H2" s="379"/>
    </row>
    <row r="3" spans="1:8">
      <c r="A3" s="305" t="s">
        <v>470</v>
      </c>
      <c r="B3" s="379"/>
      <c r="C3" s="379"/>
      <c r="D3" s="379"/>
      <c r="E3" s="379"/>
      <c r="F3" s="379"/>
      <c r="G3" s="379"/>
      <c r="H3" s="379"/>
    </row>
    <row r="4" spans="1:8">
      <c r="A4" s="380"/>
      <c r="B4" s="379"/>
      <c r="C4" s="378" t="s">
        <v>471</v>
      </c>
      <c r="D4" s="378" t="s">
        <v>472</v>
      </c>
      <c r="E4" s="378" t="s">
        <v>473</v>
      </c>
      <c r="F4" s="378" t="s">
        <v>474</v>
      </c>
      <c r="G4" s="378" t="s">
        <v>475</v>
      </c>
      <c r="H4" s="378" t="s">
        <v>476</v>
      </c>
    </row>
    <row r="5" spans="1:8" ht="33.950000000000003" customHeight="1">
      <c r="A5" s="657" t="s">
        <v>835</v>
      </c>
      <c r="B5" s="658"/>
      <c r="C5" s="671" t="s">
        <v>565</v>
      </c>
      <c r="D5" s="671"/>
      <c r="E5" s="671" t="s">
        <v>834</v>
      </c>
      <c r="F5" s="669" t="s">
        <v>833</v>
      </c>
      <c r="G5" s="669" t="s">
        <v>480</v>
      </c>
      <c r="H5" s="376" t="s">
        <v>832</v>
      </c>
    </row>
    <row r="6" spans="1:8" ht="25.5">
      <c r="A6" s="661"/>
      <c r="B6" s="662"/>
      <c r="C6" s="377" t="s">
        <v>481</v>
      </c>
      <c r="D6" s="377" t="s">
        <v>482</v>
      </c>
      <c r="E6" s="671"/>
      <c r="F6" s="670"/>
      <c r="G6" s="670"/>
      <c r="H6" s="376" t="s">
        <v>831</v>
      </c>
    </row>
    <row r="7" spans="1:8">
      <c r="A7" s="374">
        <v>1</v>
      </c>
      <c r="B7" s="361" t="s">
        <v>123</v>
      </c>
      <c r="C7" s="1054">
        <v>0</v>
      </c>
      <c r="D7" s="1054">
        <v>52205365.447099999</v>
      </c>
      <c r="E7" s="1055">
        <v>137263.95228021947</v>
      </c>
      <c r="F7" s="1055"/>
      <c r="G7" s="1054"/>
      <c r="H7" s="1056">
        <f>C7+D7-E7-F7</f>
        <v>52068101.494819783</v>
      </c>
    </row>
    <row r="8" spans="1:8" ht="14.45" customHeight="1">
      <c r="A8" s="374">
        <v>2</v>
      </c>
      <c r="B8" s="361" t="s">
        <v>124</v>
      </c>
      <c r="C8" s="1054"/>
      <c r="D8" s="1054"/>
      <c r="E8" s="1055"/>
      <c r="F8" s="1055"/>
      <c r="G8" s="1054"/>
      <c r="H8" s="1056">
        <f t="shared" ref="H8:H20" si="0">C8+D8-E8-F8</f>
        <v>0</v>
      </c>
    </row>
    <row r="9" spans="1:8">
      <c r="A9" s="374">
        <v>3</v>
      </c>
      <c r="B9" s="361" t="s">
        <v>125</v>
      </c>
      <c r="C9" s="1054"/>
      <c r="D9" s="1054"/>
      <c r="E9" s="1055"/>
      <c r="F9" s="1055"/>
      <c r="G9" s="1054"/>
      <c r="H9" s="1056">
        <f t="shared" si="0"/>
        <v>0</v>
      </c>
    </row>
    <row r="10" spans="1:8">
      <c r="A10" s="374">
        <v>4</v>
      </c>
      <c r="B10" s="361" t="s">
        <v>126</v>
      </c>
      <c r="C10" s="1054"/>
      <c r="D10" s="1054"/>
      <c r="E10" s="1055"/>
      <c r="F10" s="1055"/>
      <c r="G10" s="1054"/>
      <c r="H10" s="1056">
        <f t="shared" si="0"/>
        <v>0</v>
      </c>
    </row>
    <row r="11" spans="1:8">
      <c r="A11" s="374">
        <v>5</v>
      </c>
      <c r="B11" s="361" t="s">
        <v>912</v>
      </c>
      <c r="C11" s="1054">
        <v>0</v>
      </c>
      <c r="D11" s="1054"/>
      <c r="E11" s="1055"/>
      <c r="F11" s="1055"/>
      <c r="G11" s="1054"/>
      <c r="H11" s="1056">
        <f t="shared" si="0"/>
        <v>0</v>
      </c>
    </row>
    <row r="12" spans="1:8">
      <c r="A12" s="374">
        <v>6</v>
      </c>
      <c r="B12" s="361" t="s">
        <v>127</v>
      </c>
      <c r="C12" s="1054">
        <v>0</v>
      </c>
      <c r="D12" s="1054">
        <v>36263182.735496596</v>
      </c>
      <c r="E12" s="1055">
        <v>104995.9714996831</v>
      </c>
      <c r="F12" s="1055"/>
      <c r="G12" s="1054"/>
      <c r="H12" s="1056">
        <f t="shared" si="0"/>
        <v>36158186.763996914</v>
      </c>
    </row>
    <row r="13" spans="1:8">
      <c r="A13" s="374">
        <v>7</v>
      </c>
      <c r="B13" s="361" t="s">
        <v>71</v>
      </c>
      <c r="C13" s="1054">
        <v>509753.22011999995</v>
      </c>
      <c r="D13" s="1054">
        <v>361352629.4671824</v>
      </c>
      <c r="E13" s="1055">
        <v>1514749.4379100117</v>
      </c>
      <c r="F13" s="1055"/>
      <c r="G13" s="1054"/>
      <c r="H13" s="1056">
        <f t="shared" si="0"/>
        <v>360347633.24939239</v>
      </c>
    </row>
    <row r="14" spans="1:8">
      <c r="A14" s="374">
        <v>8</v>
      </c>
      <c r="B14" s="363" t="s">
        <v>72</v>
      </c>
      <c r="C14" s="1054"/>
      <c r="D14" s="1054"/>
      <c r="E14" s="1055"/>
      <c r="F14" s="1055"/>
      <c r="G14" s="1054"/>
      <c r="H14" s="1056">
        <f t="shared" si="0"/>
        <v>0</v>
      </c>
    </row>
    <row r="15" spans="1:8">
      <c r="A15" s="374">
        <v>9</v>
      </c>
      <c r="B15" s="361" t="s">
        <v>913</v>
      </c>
      <c r="C15" s="1054"/>
      <c r="D15" s="1054"/>
      <c r="E15" s="1055"/>
      <c r="F15" s="1055"/>
      <c r="G15" s="1054"/>
      <c r="H15" s="1056">
        <f t="shared" si="0"/>
        <v>0</v>
      </c>
    </row>
    <row r="16" spans="1:8">
      <c r="A16" s="374">
        <v>10</v>
      </c>
      <c r="B16" s="365" t="s">
        <v>483</v>
      </c>
      <c r="C16" s="1054">
        <v>818690.60226699978</v>
      </c>
      <c r="D16" s="1054">
        <v>0</v>
      </c>
      <c r="E16" s="1055">
        <v>258760.77198427304</v>
      </c>
      <c r="F16" s="1055"/>
      <c r="G16" s="1054"/>
      <c r="H16" s="1056">
        <f t="shared" si="0"/>
        <v>559929.83028272679</v>
      </c>
    </row>
    <row r="17" spans="1:8">
      <c r="A17" s="374">
        <v>11</v>
      </c>
      <c r="B17" s="361" t="s">
        <v>68</v>
      </c>
      <c r="C17" s="1054">
        <v>0</v>
      </c>
      <c r="D17" s="1054">
        <v>0</v>
      </c>
      <c r="E17" s="1055">
        <v>0</v>
      </c>
      <c r="F17" s="1055"/>
      <c r="G17" s="1054"/>
      <c r="H17" s="1056">
        <f t="shared" si="0"/>
        <v>0</v>
      </c>
    </row>
    <row r="18" spans="1:8">
      <c r="A18" s="374">
        <v>12</v>
      </c>
      <c r="B18" s="361" t="s">
        <v>69</v>
      </c>
      <c r="C18" s="1054"/>
      <c r="D18" s="1054"/>
      <c r="E18" s="1055"/>
      <c r="F18" s="1055"/>
      <c r="G18" s="1054"/>
      <c r="H18" s="1056">
        <f t="shared" si="0"/>
        <v>0</v>
      </c>
    </row>
    <row r="19" spans="1:8">
      <c r="A19" s="375">
        <v>13</v>
      </c>
      <c r="B19" s="363" t="s">
        <v>70</v>
      </c>
      <c r="C19" s="1054"/>
      <c r="D19" s="1054"/>
      <c r="E19" s="1055"/>
      <c r="F19" s="1055"/>
      <c r="G19" s="1054"/>
      <c r="H19" s="1056">
        <f t="shared" si="0"/>
        <v>0</v>
      </c>
    </row>
    <row r="20" spans="1:8">
      <c r="A20" s="374">
        <v>14</v>
      </c>
      <c r="B20" s="361" t="s">
        <v>469</v>
      </c>
      <c r="C20" s="1054">
        <v>2058267.6163699999</v>
      </c>
      <c r="D20" s="1054">
        <v>21405439.692217</v>
      </c>
      <c r="E20" s="1055">
        <v>357644.84367475088</v>
      </c>
      <c r="F20" s="1055"/>
      <c r="G20" s="1054"/>
      <c r="H20" s="1056">
        <f t="shared" si="0"/>
        <v>23106062.464912251</v>
      </c>
    </row>
    <row r="21" spans="1:8" s="307" customFormat="1">
      <c r="A21" s="373">
        <v>15</v>
      </c>
      <c r="B21" s="372" t="s">
        <v>66</v>
      </c>
      <c r="C21" s="1057">
        <f t="shared" ref="C21:H21" si="1">SUM(C7:C15)+SUM(C17:C20)</f>
        <v>2568020.8364899997</v>
      </c>
      <c r="D21" s="1057">
        <f t="shared" si="1"/>
        <v>471226617.34199595</v>
      </c>
      <c r="E21" s="1057">
        <f t="shared" si="1"/>
        <v>2114654.205364665</v>
      </c>
      <c r="F21" s="1057">
        <f t="shared" si="1"/>
        <v>0</v>
      </c>
      <c r="G21" s="1057">
        <f t="shared" si="1"/>
        <v>0</v>
      </c>
      <c r="H21" s="1056">
        <f t="shared" si="1"/>
        <v>471679983.97312135</v>
      </c>
    </row>
    <row r="22" spans="1:8">
      <c r="A22" s="371">
        <v>16</v>
      </c>
      <c r="B22" s="370" t="s">
        <v>484</v>
      </c>
      <c r="C22" s="1054">
        <v>1218927.6564899997</v>
      </c>
      <c r="D22" s="1054">
        <v>321017507.84798217</v>
      </c>
      <c r="E22" s="1055">
        <v>1695917.0856026327</v>
      </c>
      <c r="F22" s="1055"/>
      <c r="G22" s="1054"/>
      <c r="H22" s="1056">
        <f>C22+D22-E22-F22</f>
        <v>320540518.41886955</v>
      </c>
    </row>
    <row r="23" spans="1:8" ht="13.5" thickBot="1">
      <c r="A23" s="371">
        <v>17</v>
      </c>
      <c r="B23" s="370" t="s">
        <v>485</v>
      </c>
      <c r="C23" s="1058">
        <v>0</v>
      </c>
      <c r="D23" s="1058">
        <v>47591287.061590739</v>
      </c>
      <c r="E23" s="1059">
        <v>183846.01345074832</v>
      </c>
      <c r="F23" s="1059"/>
      <c r="G23" s="1058"/>
      <c r="H23" s="1060">
        <f>C23+D23-E23-F23</f>
        <v>47407441.048139989</v>
      </c>
    </row>
    <row r="25" spans="1:8">
      <c r="E25" s="303"/>
      <c r="F25" s="303"/>
    </row>
    <row r="26" spans="1:8" ht="42.6" customHeight="1">
      <c r="B26" s="322" t="s">
        <v>647</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80" zoomScaleNormal="80" workbookViewId="0">
      <selection activeCell="A5" sqref="A5:B6"/>
    </sheetView>
  </sheetViews>
  <sheetFormatPr defaultColWidth="9.140625" defaultRowHeight="12.75"/>
  <cols>
    <col min="1" max="1" width="11" style="303" bestFit="1" customWidth="1"/>
    <col min="2" max="2" width="93.42578125" style="303" customWidth="1"/>
    <col min="3" max="4" width="35" style="303" customWidth="1"/>
    <col min="5" max="7" width="22" style="303" customWidth="1"/>
    <col min="8" max="8" width="42.140625" style="303" bestFit="1" customWidth="1"/>
    <col min="9" max="16384" width="9.140625" style="303"/>
  </cols>
  <sheetData>
    <row r="1" spans="1:8" ht="13.5">
      <c r="A1" s="302" t="s">
        <v>97</v>
      </c>
      <c r="B1" s="783" t="str">
        <f>Info!C2</f>
        <v>სს იშბანკი საქართველო</v>
      </c>
      <c r="C1" s="379"/>
      <c r="D1" s="379"/>
      <c r="E1" s="379"/>
      <c r="F1" s="379"/>
      <c r="G1" s="379"/>
      <c r="H1" s="379"/>
    </row>
    <row r="2" spans="1:8" ht="13.5">
      <c r="A2" s="304" t="s">
        <v>98</v>
      </c>
      <c r="B2" s="784">
        <f>'1. key ratios'!B2</f>
        <v>45747</v>
      </c>
      <c r="C2" s="379"/>
      <c r="D2" s="379"/>
      <c r="E2" s="379"/>
      <c r="F2" s="379"/>
      <c r="G2" s="379"/>
      <c r="H2" s="379"/>
    </row>
    <row r="3" spans="1:8">
      <c r="A3" s="305" t="s">
        <v>486</v>
      </c>
      <c r="B3" s="379"/>
      <c r="C3" s="379"/>
      <c r="D3" s="379"/>
      <c r="E3" s="379"/>
      <c r="F3" s="379"/>
      <c r="G3" s="379"/>
      <c r="H3" s="379"/>
    </row>
    <row r="4" spans="1:8">
      <c r="A4" s="379"/>
      <c r="B4" s="379"/>
      <c r="C4" s="378" t="s">
        <v>471</v>
      </c>
      <c r="D4" s="378" t="s">
        <v>472</v>
      </c>
      <c r="E4" s="378" t="s">
        <v>473</v>
      </c>
      <c r="F4" s="378" t="s">
        <v>474</v>
      </c>
      <c r="G4" s="378" t="s">
        <v>475</v>
      </c>
      <c r="H4" s="378" t="s">
        <v>476</v>
      </c>
    </row>
    <row r="5" spans="1:8" ht="41.45" customHeight="1">
      <c r="A5" s="657" t="s">
        <v>837</v>
      </c>
      <c r="B5" s="658"/>
      <c r="C5" s="672" t="s">
        <v>565</v>
      </c>
      <c r="D5" s="673"/>
      <c r="E5" s="669" t="s">
        <v>834</v>
      </c>
      <c r="F5" s="669" t="s">
        <v>833</v>
      </c>
      <c r="G5" s="669" t="s">
        <v>480</v>
      </c>
      <c r="H5" s="376" t="s">
        <v>832</v>
      </c>
    </row>
    <row r="6" spans="1:8" ht="25.5">
      <c r="A6" s="661"/>
      <c r="B6" s="662"/>
      <c r="C6" s="377" t="s">
        <v>481</v>
      </c>
      <c r="D6" s="377" t="s">
        <v>482</v>
      </c>
      <c r="E6" s="670"/>
      <c r="F6" s="670"/>
      <c r="G6" s="670"/>
      <c r="H6" s="376" t="s">
        <v>831</v>
      </c>
    </row>
    <row r="7" spans="1:8">
      <c r="A7" s="368">
        <v>1</v>
      </c>
      <c r="B7" s="383" t="s">
        <v>487</v>
      </c>
      <c r="C7" s="1054">
        <v>5868.55</v>
      </c>
      <c r="D7" s="1054">
        <v>52529807.240880996</v>
      </c>
      <c r="E7" s="1054">
        <v>145647.32609244174</v>
      </c>
      <c r="F7" s="1054"/>
      <c r="G7" s="1054"/>
      <c r="H7" s="1061">
        <f t="shared" ref="H7:H34" si="0">C7+D7-E7-F7</f>
        <v>52390028.464788549</v>
      </c>
    </row>
    <row r="8" spans="1:8">
      <c r="A8" s="368">
        <v>2</v>
      </c>
      <c r="B8" s="383" t="s">
        <v>488</v>
      </c>
      <c r="C8" s="1054">
        <v>0</v>
      </c>
      <c r="D8" s="1054">
        <v>102566925.14243056</v>
      </c>
      <c r="E8" s="1054">
        <v>383180.28170693957</v>
      </c>
      <c r="F8" s="1054"/>
      <c r="G8" s="1054"/>
      <c r="H8" s="1061">
        <f t="shared" si="0"/>
        <v>102183744.86072361</v>
      </c>
    </row>
    <row r="9" spans="1:8">
      <c r="A9" s="368">
        <v>3</v>
      </c>
      <c r="B9" s="383" t="s">
        <v>836</v>
      </c>
      <c r="C9" s="1054"/>
      <c r="D9" s="1054"/>
      <c r="E9" s="1054"/>
      <c r="F9" s="1054"/>
      <c r="G9" s="1054"/>
      <c r="H9" s="1061">
        <f t="shared" si="0"/>
        <v>0</v>
      </c>
    </row>
    <row r="10" spans="1:8">
      <c r="A10" s="368">
        <v>4</v>
      </c>
      <c r="B10" s="383" t="s">
        <v>489</v>
      </c>
      <c r="C10" s="1054">
        <v>294384.32</v>
      </c>
      <c r="D10" s="1054">
        <v>21826365.508150004</v>
      </c>
      <c r="E10" s="1054">
        <v>38320.67254025794</v>
      </c>
      <c r="F10" s="1054"/>
      <c r="G10" s="1054"/>
      <c r="H10" s="1061">
        <f t="shared" si="0"/>
        <v>22082429.155609746</v>
      </c>
    </row>
    <row r="11" spans="1:8">
      <c r="A11" s="368">
        <v>5</v>
      </c>
      <c r="B11" s="383" t="s">
        <v>490</v>
      </c>
      <c r="C11" s="1054">
        <v>0</v>
      </c>
      <c r="D11" s="1054">
        <v>2820201.9403839223</v>
      </c>
      <c r="E11" s="1054">
        <v>12942.855718167888</v>
      </c>
      <c r="F11" s="1054"/>
      <c r="G11" s="1054"/>
      <c r="H11" s="1061">
        <f t="shared" si="0"/>
        <v>2807259.0846657543</v>
      </c>
    </row>
    <row r="12" spans="1:8">
      <c r="A12" s="368">
        <v>6</v>
      </c>
      <c r="B12" s="383" t="s">
        <v>491</v>
      </c>
      <c r="C12" s="1054">
        <v>492015.87276399997</v>
      </c>
      <c r="D12" s="1054">
        <v>532048.00625400001</v>
      </c>
      <c r="E12" s="1054">
        <v>4501.2701275227164</v>
      </c>
      <c r="F12" s="1054"/>
      <c r="G12" s="1054"/>
      <c r="H12" s="1061">
        <f t="shared" si="0"/>
        <v>1019562.6088904772</v>
      </c>
    </row>
    <row r="13" spans="1:8">
      <c r="A13" s="368">
        <v>7</v>
      </c>
      <c r="B13" s="383" t="s">
        <v>492</v>
      </c>
      <c r="C13" s="1054">
        <v>0</v>
      </c>
      <c r="D13" s="1054">
        <v>66752488.361342989</v>
      </c>
      <c r="E13" s="1054">
        <v>224368.69031974123</v>
      </c>
      <c r="F13" s="1054"/>
      <c r="G13" s="1054"/>
      <c r="H13" s="1061">
        <f t="shared" si="0"/>
        <v>66528119.67102325</v>
      </c>
    </row>
    <row r="14" spans="1:8">
      <c r="A14" s="368">
        <v>8</v>
      </c>
      <c r="B14" s="383" t="s">
        <v>493</v>
      </c>
      <c r="C14" s="1054">
        <v>0</v>
      </c>
      <c r="D14" s="1054">
        <v>23815.1</v>
      </c>
      <c r="E14" s="1054">
        <v>4.1249057910547537E-15</v>
      </c>
      <c r="F14" s="1054"/>
      <c r="G14" s="1054"/>
      <c r="H14" s="1061">
        <f t="shared" si="0"/>
        <v>23815.1</v>
      </c>
    </row>
    <row r="15" spans="1:8">
      <c r="A15" s="368">
        <v>9</v>
      </c>
      <c r="B15" s="383" t="s">
        <v>494</v>
      </c>
      <c r="C15" s="1054">
        <v>0</v>
      </c>
      <c r="D15" s="1054">
        <v>0</v>
      </c>
      <c r="E15" s="1054">
        <v>0</v>
      </c>
      <c r="F15" s="1054"/>
      <c r="G15" s="1054"/>
      <c r="H15" s="1061">
        <f t="shared" si="0"/>
        <v>0</v>
      </c>
    </row>
    <row r="16" spans="1:8">
      <c r="A16" s="368">
        <v>10</v>
      </c>
      <c r="B16" s="383" t="s">
        <v>495</v>
      </c>
      <c r="C16" s="1054">
        <v>5894.2199999999993</v>
      </c>
      <c r="D16" s="1054">
        <v>16162933.768703997</v>
      </c>
      <c r="E16" s="1054">
        <v>74154.55840876796</v>
      </c>
      <c r="F16" s="1054"/>
      <c r="G16" s="1054"/>
      <c r="H16" s="1061">
        <f t="shared" si="0"/>
        <v>16094673.430295229</v>
      </c>
    </row>
    <row r="17" spans="1:9">
      <c r="A17" s="368">
        <v>11</v>
      </c>
      <c r="B17" s="383" t="s">
        <v>496</v>
      </c>
      <c r="C17" s="1054">
        <v>8820.2999999999993</v>
      </c>
      <c r="D17" s="1054">
        <v>29592249.576122001</v>
      </c>
      <c r="E17" s="1054">
        <v>82500.760157081415</v>
      </c>
      <c r="F17" s="1054"/>
      <c r="G17" s="1054"/>
      <c r="H17" s="1061">
        <f t="shared" si="0"/>
        <v>29518569.115964919</v>
      </c>
    </row>
    <row r="18" spans="1:9">
      <c r="A18" s="368">
        <v>12</v>
      </c>
      <c r="B18" s="383" t="s">
        <v>497</v>
      </c>
      <c r="C18" s="1054">
        <v>73282.817356</v>
      </c>
      <c r="D18" s="1054">
        <v>17722710.31751471</v>
      </c>
      <c r="E18" s="1054">
        <v>122545.47331790379</v>
      </c>
      <c r="F18" s="1054"/>
      <c r="G18" s="1054"/>
      <c r="H18" s="1061">
        <f t="shared" si="0"/>
        <v>17673447.661552809</v>
      </c>
    </row>
    <row r="19" spans="1:9">
      <c r="A19" s="368">
        <v>13</v>
      </c>
      <c r="B19" s="383" t="s">
        <v>498</v>
      </c>
      <c r="C19" s="1054">
        <v>37329.370000000003</v>
      </c>
      <c r="D19" s="1054">
        <v>642876.05999999994</v>
      </c>
      <c r="E19" s="1054">
        <v>32036.104624785396</v>
      </c>
      <c r="F19" s="1054"/>
      <c r="G19" s="1054"/>
      <c r="H19" s="1061">
        <f t="shared" si="0"/>
        <v>648169.32537521457</v>
      </c>
    </row>
    <row r="20" spans="1:9">
      <c r="A20" s="368">
        <v>14</v>
      </c>
      <c r="B20" s="383" t="s">
        <v>499</v>
      </c>
      <c r="C20" s="1054">
        <v>78723.752146999992</v>
      </c>
      <c r="D20" s="1054">
        <v>1270621.3472259999</v>
      </c>
      <c r="E20" s="1054">
        <v>81183.468722353544</v>
      </c>
      <c r="F20" s="1054"/>
      <c r="G20" s="1054"/>
      <c r="H20" s="1061">
        <f t="shared" si="0"/>
        <v>1268161.6306506465</v>
      </c>
    </row>
    <row r="21" spans="1:9">
      <c r="A21" s="368">
        <v>15</v>
      </c>
      <c r="B21" s="383" t="s">
        <v>500</v>
      </c>
      <c r="C21" s="1054">
        <v>0</v>
      </c>
      <c r="D21" s="1054">
        <v>10013138.850000001</v>
      </c>
      <c r="E21" s="1054">
        <v>55080.502470666586</v>
      </c>
      <c r="F21" s="1054"/>
      <c r="G21" s="1054"/>
      <c r="H21" s="1061">
        <f t="shared" si="0"/>
        <v>9958058.3475293349</v>
      </c>
    </row>
    <row r="22" spans="1:9">
      <c r="A22" s="368">
        <v>16</v>
      </c>
      <c r="B22" s="383" t="s">
        <v>501</v>
      </c>
      <c r="C22" s="1054">
        <v>0</v>
      </c>
      <c r="D22" s="1054">
        <v>0</v>
      </c>
      <c r="E22" s="1054">
        <v>0</v>
      </c>
      <c r="F22" s="1054"/>
      <c r="G22" s="1054"/>
      <c r="H22" s="1061">
        <f t="shared" si="0"/>
        <v>0</v>
      </c>
    </row>
    <row r="23" spans="1:9">
      <c r="A23" s="368">
        <v>17</v>
      </c>
      <c r="B23" s="383" t="s">
        <v>502</v>
      </c>
      <c r="C23" s="1054">
        <v>0</v>
      </c>
      <c r="D23" s="1054">
        <v>0</v>
      </c>
      <c r="E23" s="1054">
        <v>0</v>
      </c>
      <c r="F23" s="1054"/>
      <c r="G23" s="1054"/>
      <c r="H23" s="1061">
        <f t="shared" si="0"/>
        <v>0</v>
      </c>
    </row>
    <row r="24" spans="1:9">
      <c r="A24" s="368">
        <v>18</v>
      </c>
      <c r="B24" s="383" t="s">
        <v>503</v>
      </c>
      <c r="C24" s="1054">
        <v>0</v>
      </c>
      <c r="D24" s="1054">
        <v>62018046.354079999</v>
      </c>
      <c r="E24" s="1054">
        <v>386085.56320974947</v>
      </c>
      <c r="F24" s="1054"/>
      <c r="G24" s="1054"/>
      <c r="H24" s="1061">
        <f t="shared" si="0"/>
        <v>61631960.790870249</v>
      </c>
    </row>
    <row r="25" spans="1:9">
      <c r="A25" s="368">
        <v>19</v>
      </c>
      <c r="B25" s="383" t="s">
        <v>504</v>
      </c>
      <c r="C25" s="1054">
        <v>0</v>
      </c>
      <c r="D25" s="1054">
        <v>22924908.370807998</v>
      </c>
      <c r="E25" s="1054">
        <v>140534.28732505045</v>
      </c>
      <c r="F25" s="1054"/>
      <c r="G25" s="1054"/>
      <c r="H25" s="1061">
        <f t="shared" si="0"/>
        <v>22784374.083482947</v>
      </c>
    </row>
    <row r="26" spans="1:9">
      <c r="A26" s="368">
        <v>20</v>
      </c>
      <c r="B26" s="383" t="s">
        <v>505</v>
      </c>
      <c r="C26" s="1054">
        <v>34116.71</v>
      </c>
      <c r="D26" s="1054">
        <v>23181379.91</v>
      </c>
      <c r="E26" s="1054">
        <v>171392.4529645773</v>
      </c>
      <c r="F26" s="1054"/>
      <c r="G26" s="1054"/>
      <c r="H26" s="1061">
        <f t="shared" si="0"/>
        <v>23044104.167035423</v>
      </c>
      <c r="I26" s="309"/>
    </row>
    <row r="27" spans="1:9">
      <c r="A27" s="368">
        <v>21</v>
      </c>
      <c r="B27" s="383" t="s">
        <v>506</v>
      </c>
      <c r="C27" s="1054">
        <v>90113.49</v>
      </c>
      <c r="D27" s="1054">
        <v>0</v>
      </c>
      <c r="E27" s="1054">
        <v>31696.484631127532</v>
      </c>
      <c r="F27" s="1054"/>
      <c r="G27" s="1054"/>
      <c r="H27" s="1061">
        <f t="shared" si="0"/>
        <v>58417.005368872473</v>
      </c>
      <c r="I27" s="309"/>
    </row>
    <row r="28" spans="1:9">
      <c r="A28" s="368">
        <v>22</v>
      </c>
      <c r="B28" s="383" t="s">
        <v>507</v>
      </c>
      <c r="C28" s="1054">
        <v>0</v>
      </c>
      <c r="D28" s="1054">
        <v>0</v>
      </c>
      <c r="E28" s="1054">
        <v>0</v>
      </c>
      <c r="F28" s="1054"/>
      <c r="G28" s="1054"/>
      <c r="H28" s="1061">
        <f t="shared" si="0"/>
        <v>0</v>
      </c>
      <c r="I28" s="309"/>
    </row>
    <row r="29" spans="1:9">
      <c r="A29" s="368">
        <v>23</v>
      </c>
      <c r="B29" s="383" t="s">
        <v>508</v>
      </c>
      <c r="C29" s="1054">
        <v>35976.660000000003</v>
      </c>
      <c r="D29" s="1054">
        <v>15728893.795625817</v>
      </c>
      <c r="E29" s="1054">
        <v>64773.359735930506</v>
      </c>
      <c r="F29" s="1054"/>
      <c r="G29" s="1054"/>
      <c r="H29" s="1061">
        <f t="shared" si="0"/>
        <v>15700097.095889887</v>
      </c>
      <c r="I29" s="309"/>
    </row>
    <row r="30" spans="1:9">
      <c r="A30" s="368">
        <v>24</v>
      </c>
      <c r="B30" s="383" t="s">
        <v>509</v>
      </c>
      <c r="C30" s="1054">
        <v>0</v>
      </c>
      <c r="D30" s="1054">
        <v>7934674.2811869988</v>
      </c>
      <c r="E30" s="1054">
        <v>1308.4990686004044</v>
      </c>
      <c r="F30" s="1054"/>
      <c r="G30" s="1054"/>
      <c r="H30" s="1061">
        <f t="shared" si="0"/>
        <v>7933365.7821183987</v>
      </c>
      <c r="I30" s="309"/>
    </row>
    <row r="31" spans="1:9">
      <c r="A31" s="368">
        <v>25</v>
      </c>
      <c r="B31" s="383" t="s">
        <v>510</v>
      </c>
      <c r="C31" s="1054">
        <v>62401.594222999993</v>
      </c>
      <c r="D31" s="1054">
        <v>30689.35</v>
      </c>
      <c r="E31" s="1054">
        <v>62401.594222999993</v>
      </c>
      <c r="F31" s="1054"/>
      <c r="G31" s="1054"/>
      <c r="H31" s="1061">
        <f t="shared" si="0"/>
        <v>30689.350000000006</v>
      </c>
      <c r="I31" s="309"/>
    </row>
    <row r="32" spans="1:9">
      <c r="A32" s="368">
        <v>26</v>
      </c>
      <c r="B32" s="383" t="s">
        <v>511</v>
      </c>
      <c r="C32" s="1054">
        <v>0</v>
      </c>
      <c r="D32" s="1054">
        <v>0</v>
      </c>
      <c r="E32" s="1054">
        <v>0</v>
      </c>
      <c r="F32" s="1054"/>
      <c r="G32" s="1054"/>
      <c r="H32" s="1061">
        <f t="shared" si="0"/>
        <v>0</v>
      </c>
      <c r="I32" s="309"/>
    </row>
    <row r="33" spans="1:9">
      <c r="A33" s="368">
        <v>27</v>
      </c>
      <c r="B33" s="369" t="s">
        <v>88</v>
      </c>
      <c r="C33" s="1054">
        <v>1349093.18</v>
      </c>
      <c r="D33" s="1054">
        <v>16951844.061285999</v>
      </c>
      <c r="E33" s="1054"/>
      <c r="F33" s="1054"/>
      <c r="G33" s="1054"/>
      <c r="H33" s="1061">
        <f t="shared" si="0"/>
        <v>18300937.241285998</v>
      </c>
      <c r="I33" s="309"/>
    </row>
    <row r="34" spans="1:9">
      <c r="A34" s="368">
        <v>28</v>
      </c>
      <c r="B34" s="382" t="s">
        <v>66</v>
      </c>
      <c r="C34" s="1057">
        <f>SUM(C7:C33)</f>
        <v>2568020.8364899997</v>
      </c>
      <c r="D34" s="1057">
        <f>SUM(D7:D33)</f>
        <v>471226617.34199607</v>
      </c>
      <c r="E34" s="1057">
        <f>SUM(E7:E33)</f>
        <v>2114654.2053646655</v>
      </c>
      <c r="F34" s="1057">
        <f>SUM(F7:F33)</f>
        <v>0</v>
      </c>
      <c r="G34" s="1057">
        <f>SUM(G7:G33)</f>
        <v>0</v>
      </c>
      <c r="H34" s="1061">
        <f t="shared" si="0"/>
        <v>471679983.9731214</v>
      </c>
      <c r="I34" s="309"/>
    </row>
    <row r="35" spans="1:9">
      <c r="A35" s="309"/>
      <c r="B35" s="309"/>
      <c r="C35" s="309"/>
      <c r="D35" s="309"/>
      <c r="E35" s="309"/>
      <c r="F35" s="309"/>
      <c r="G35" s="309"/>
      <c r="H35" s="309"/>
      <c r="I35" s="309"/>
    </row>
    <row r="36" spans="1:9">
      <c r="A36" s="309"/>
      <c r="B36" s="310"/>
      <c r="C36" s="309"/>
      <c r="D36" s="309"/>
      <c r="E36" s="309"/>
      <c r="F36" s="309"/>
      <c r="G36" s="309"/>
      <c r="H36" s="309"/>
      <c r="I36" s="309"/>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5"/>
  <sheetViews>
    <sheetView showGridLines="0" zoomScale="80" zoomScaleNormal="80" workbookViewId="0">
      <selection activeCell="A5" sqref="A5:B5"/>
    </sheetView>
  </sheetViews>
  <sheetFormatPr defaultColWidth="9.140625" defaultRowHeight="12.75"/>
  <cols>
    <col min="1" max="1" width="11.85546875" style="303" bestFit="1" customWidth="1"/>
    <col min="2" max="2" width="108" style="303" bestFit="1" customWidth="1"/>
    <col min="3" max="3" width="35.5703125" style="303" customWidth="1"/>
    <col min="4" max="4" width="38.42578125" style="308" customWidth="1"/>
    <col min="5" max="16384" width="9.140625" style="303"/>
  </cols>
  <sheetData>
    <row r="1" spans="1:4" ht="13.5">
      <c r="A1" s="302" t="s">
        <v>97</v>
      </c>
      <c r="B1" s="783" t="str">
        <f>Info!C2</f>
        <v>სს იშბანკი საქართველო</v>
      </c>
      <c r="D1" s="303"/>
    </row>
    <row r="2" spans="1:4" ht="13.5">
      <c r="A2" s="304" t="s">
        <v>98</v>
      </c>
      <c r="B2" s="784">
        <f>'1. key ratios'!B2</f>
        <v>45747</v>
      </c>
      <c r="D2" s="303"/>
    </row>
    <row r="3" spans="1:4">
      <c r="A3" s="305" t="s">
        <v>512</v>
      </c>
      <c r="D3" s="303"/>
    </row>
    <row r="5" spans="1:4">
      <c r="A5" s="674" t="s">
        <v>848</v>
      </c>
      <c r="B5" s="674"/>
      <c r="C5" s="391" t="s">
        <v>531</v>
      </c>
      <c r="D5" s="391" t="s">
        <v>847</v>
      </c>
    </row>
    <row r="6" spans="1:4">
      <c r="A6" s="390">
        <v>1</v>
      </c>
      <c r="B6" s="384" t="s">
        <v>846</v>
      </c>
      <c r="C6" s="1062">
        <v>1626874.7574153442</v>
      </c>
      <c r="D6" s="1062">
        <v>218286.72137946135</v>
      </c>
    </row>
    <row r="7" spans="1:4">
      <c r="A7" s="387">
        <v>2</v>
      </c>
      <c r="B7" s="384" t="s">
        <v>845</v>
      </c>
      <c r="C7" s="1062">
        <f>SUM(C8:C9)</f>
        <v>607486.73388920003</v>
      </c>
      <c r="D7" s="1062">
        <f>SUM(D8:D9)</f>
        <v>51.482892409993802</v>
      </c>
    </row>
    <row r="8" spans="1:4">
      <c r="A8" s="389">
        <v>2.1</v>
      </c>
      <c r="B8" s="388" t="s">
        <v>844</v>
      </c>
      <c r="C8" s="1063">
        <v>607486.73388920003</v>
      </c>
      <c r="D8" s="1063">
        <v>51.482892409993802</v>
      </c>
    </row>
    <row r="9" spans="1:4">
      <c r="A9" s="389">
        <v>2.2000000000000002</v>
      </c>
      <c r="B9" s="388" t="s">
        <v>843</v>
      </c>
      <c r="C9" s="1063">
        <v>0</v>
      </c>
      <c r="D9" s="1063">
        <v>0</v>
      </c>
    </row>
    <row r="10" spans="1:4">
      <c r="A10" s="390">
        <v>3</v>
      </c>
      <c r="B10" s="384" t="s">
        <v>842</v>
      </c>
      <c r="C10" s="1062">
        <f>SUM(C11:C13)</f>
        <v>539127.55238059885</v>
      </c>
      <c r="D10" s="1062">
        <f>SUM(D11:D13)</f>
        <v>34886.803919634425</v>
      </c>
    </row>
    <row r="11" spans="1:4">
      <c r="A11" s="389">
        <v>3.1</v>
      </c>
      <c r="B11" s="388" t="s">
        <v>513</v>
      </c>
      <c r="C11" s="1063"/>
      <c r="D11" s="1063"/>
    </row>
    <row r="12" spans="1:4">
      <c r="A12" s="389">
        <v>3.2</v>
      </c>
      <c r="B12" s="388" t="s">
        <v>841</v>
      </c>
      <c r="C12" s="1063">
        <v>539127.55238059885</v>
      </c>
      <c r="D12" s="1063">
        <v>34886.803919634425</v>
      </c>
    </row>
    <row r="13" spans="1:4">
      <c r="A13" s="389">
        <v>3.3</v>
      </c>
      <c r="B13" s="388" t="s">
        <v>840</v>
      </c>
      <c r="C13" s="1063">
        <v>0</v>
      </c>
      <c r="D13" s="1063">
        <v>0</v>
      </c>
    </row>
    <row r="14" spans="1:4">
      <c r="A14" s="387">
        <v>4</v>
      </c>
      <c r="B14" s="386" t="s">
        <v>839</v>
      </c>
      <c r="C14" s="1063">
        <v>683.13787619554103</v>
      </c>
      <c r="D14" s="1063">
        <v>394.61309851128902</v>
      </c>
    </row>
    <row r="15" spans="1:4">
      <c r="A15" s="385">
        <v>5</v>
      </c>
      <c r="B15" s="384" t="s">
        <v>838</v>
      </c>
      <c r="C15" s="1064">
        <f>C6+C7-C10+C14</f>
        <v>1695917.076800141</v>
      </c>
      <c r="D15" s="1064">
        <f>D6+D7-D10+D14</f>
        <v>183846.0134507482</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A5" sqref="A5:B6"/>
    </sheetView>
  </sheetViews>
  <sheetFormatPr defaultColWidth="9.140625" defaultRowHeight="12.75"/>
  <cols>
    <col min="1" max="1" width="11.85546875" style="379" bestFit="1" customWidth="1"/>
    <col min="2" max="2" width="128.85546875" style="379" bestFit="1" customWidth="1"/>
    <col min="3" max="3" width="37" style="379" customWidth="1"/>
    <col min="4" max="4" width="50.5703125" style="379" customWidth="1"/>
    <col min="5" max="16384" width="9.140625" style="379"/>
  </cols>
  <sheetData>
    <row r="1" spans="1:4" ht="13.5">
      <c r="A1" s="302" t="s">
        <v>97</v>
      </c>
      <c r="B1" s="783" t="str">
        <f>Info!C2</f>
        <v>სს იშბანკი საქართველო</v>
      </c>
    </row>
    <row r="2" spans="1:4" ht="13.5">
      <c r="A2" s="304" t="s">
        <v>98</v>
      </c>
      <c r="B2" s="784">
        <f>'1. key ratios'!B2</f>
        <v>45747</v>
      </c>
    </row>
    <row r="3" spans="1:4">
      <c r="A3" s="305" t="s">
        <v>514</v>
      </c>
    </row>
    <row r="4" spans="1:4">
      <c r="A4" s="305"/>
    </row>
    <row r="5" spans="1:4" ht="15" customHeight="1">
      <c r="A5" s="675" t="s">
        <v>515</v>
      </c>
      <c r="B5" s="676"/>
      <c r="C5" s="679" t="s">
        <v>516</v>
      </c>
      <c r="D5" s="679" t="s">
        <v>517</v>
      </c>
    </row>
    <row r="6" spans="1:4">
      <c r="A6" s="677"/>
      <c r="B6" s="678"/>
      <c r="C6" s="679"/>
      <c r="D6" s="679"/>
    </row>
    <row r="7" spans="1:4">
      <c r="A7" s="382">
        <v>1</v>
      </c>
      <c r="B7" s="372" t="s">
        <v>518</v>
      </c>
      <c r="C7" s="1062">
        <v>1039335.5098140002</v>
      </c>
      <c r="D7" s="392"/>
    </row>
    <row r="8" spans="1:4">
      <c r="A8" s="369">
        <v>2</v>
      </c>
      <c r="B8" s="369" t="s">
        <v>519</v>
      </c>
      <c r="C8" s="1062">
        <v>206514.99416399901</v>
      </c>
      <c r="D8" s="392"/>
    </row>
    <row r="9" spans="1:4">
      <c r="A9" s="369">
        <v>3</v>
      </c>
      <c r="B9" s="395" t="s">
        <v>520</v>
      </c>
      <c r="C9" s="1062">
        <v>0</v>
      </c>
      <c r="D9" s="392"/>
    </row>
    <row r="10" spans="1:4">
      <c r="A10" s="369">
        <v>4</v>
      </c>
      <c r="B10" s="369" t="s">
        <v>521</v>
      </c>
      <c r="C10" s="1062">
        <f>SUM(C11:C17)</f>
        <v>26922.847487999963</v>
      </c>
      <c r="D10" s="392"/>
    </row>
    <row r="11" spans="1:4">
      <c r="A11" s="369">
        <v>5</v>
      </c>
      <c r="B11" s="394" t="s">
        <v>849</v>
      </c>
      <c r="C11" s="1063">
        <v>0</v>
      </c>
      <c r="D11" s="392"/>
    </row>
    <row r="12" spans="1:4">
      <c r="A12" s="369">
        <v>6</v>
      </c>
      <c r="B12" s="394" t="s">
        <v>522</v>
      </c>
      <c r="C12" s="1063">
        <v>25544.234682999966</v>
      </c>
      <c r="D12" s="392"/>
    </row>
    <row r="13" spans="1:4">
      <c r="A13" s="369">
        <v>7</v>
      </c>
      <c r="B13" s="394" t="s">
        <v>525</v>
      </c>
      <c r="C13" s="1063">
        <v>0</v>
      </c>
      <c r="D13" s="392"/>
    </row>
    <row r="14" spans="1:4">
      <c r="A14" s="369">
        <v>8</v>
      </c>
      <c r="B14" s="394" t="s">
        <v>523</v>
      </c>
      <c r="C14" s="1063">
        <v>0</v>
      </c>
      <c r="D14" s="369"/>
    </row>
    <row r="15" spans="1:4">
      <c r="A15" s="369">
        <v>9</v>
      </c>
      <c r="B15" s="394" t="s">
        <v>524</v>
      </c>
      <c r="C15" s="1063">
        <v>0</v>
      </c>
      <c r="D15" s="369"/>
    </row>
    <row r="16" spans="1:4">
      <c r="A16" s="369">
        <v>10</v>
      </c>
      <c r="B16" s="394" t="s">
        <v>526</v>
      </c>
      <c r="C16" s="1063">
        <v>0</v>
      </c>
      <c r="D16" s="369"/>
    </row>
    <row r="17" spans="1:4" ht="25.5">
      <c r="A17" s="369">
        <v>11</v>
      </c>
      <c r="B17" s="394" t="s">
        <v>527</v>
      </c>
      <c r="C17" s="1063">
        <v>1378.6128049999952</v>
      </c>
      <c r="D17" s="392"/>
    </row>
    <row r="18" spans="1:4">
      <c r="A18" s="382">
        <v>12</v>
      </c>
      <c r="B18" s="393" t="s">
        <v>528</v>
      </c>
      <c r="C18" s="1064">
        <f>C7+C8+C9-C10</f>
        <v>1218927.6564899993</v>
      </c>
      <c r="D18" s="392"/>
    </row>
    <row r="21" spans="1:4">
      <c r="B21" s="302"/>
    </row>
    <row r="22" spans="1:4">
      <c r="B22" s="304"/>
    </row>
    <row r="23" spans="1:4">
      <c r="B23" s="30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80" zoomScaleNormal="80" workbookViewId="0">
      <selection activeCell="A5" sqref="A5:B7"/>
    </sheetView>
  </sheetViews>
  <sheetFormatPr defaultColWidth="9.140625" defaultRowHeight="12.75"/>
  <cols>
    <col min="1" max="1" width="11.85546875" style="379" bestFit="1" customWidth="1"/>
    <col min="2" max="2" width="63.85546875" style="379" customWidth="1"/>
    <col min="3" max="3" width="15.5703125" style="379" customWidth="1"/>
    <col min="4" max="18" width="22.140625" style="379" customWidth="1"/>
    <col min="19" max="19" width="23.140625" style="379" bestFit="1" customWidth="1"/>
    <col min="20" max="26" width="22.140625" style="379" customWidth="1"/>
    <col min="27" max="27" width="23.140625" style="379" bestFit="1" customWidth="1"/>
    <col min="28" max="28" width="20" style="379" customWidth="1"/>
    <col min="29" max="16384" width="9.140625" style="379"/>
  </cols>
  <sheetData>
    <row r="1" spans="1:28" ht="13.5">
      <c r="A1" s="302" t="s">
        <v>97</v>
      </c>
      <c r="B1" s="783" t="str">
        <f>Info!C2</f>
        <v>სს იშბანკი საქართველო</v>
      </c>
    </row>
    <row r="2" spans="1:28" ht="13.5">
      <c r="A2" s="304" t="s">
        <v>98</v>
      </c>
      <c r="B2" s="784">
        <f>'1. key ratios'!B2</f>
        <v>45747</v>
      </c>
      <c r="C2" s="380"/>
    </row>
    <row r="3" spans="1:28">
      <c r="A3" s="305" t="s">
        <v>529</v>
      </c>
    </row>
    <row r="5" spans="1:28" ht="15" customHeight="1">
      <c r="A5" s="680" t="s">
        <v>862</v>
      </c>
      <c r="B5" s="681"/>
      <c r="C5" s="686" t="s">
        <v>861</v>
      </c>
      <c r="D5" s="687"/>
      <c r="E5" s="687"/>
      <c r="F5" s="687"/>
      <c r="G5" s="687"/>
      <c r="H5" s="687"/>
      <c r="I5" s="687"/>
      <c r="J5" s="687"/>
      <c r="K5" s="687"/>
      <c r="L5" s="687"/>
      <c r="M5" s="687"/>
      <c r="N5" s="687"/>
      <c r="O5" s="687"/>
      <c r="P5" s="687"/>
      <c r="Q5" s="687"/>
      <c r="R5" s="687"/>
      <c r="S5" s="687"/>
      <c r="T5" s="409"/>
      <c r="U5" s="409"/>
      <c r="V5" s="409"/>
      <c r="W5" s="409"/>
      <c r="X5" s="409"/>
      <c r="Y5" s="409"/>
      <c r="Z5" s="409"/>
      <c r="AA5" s="408"/>
      <c r="AB5" s="399"/>
    </row>
    <row r="6" spans="1:28">
      <c r="A6" s="682"/>
      <c r="B6" s="683"/>
      <c r="C6" s="688" t="s">
        <v>66</v>
      </c>
      <c r="D6" s="690" t="s">
        <v>860</v>
      </c>
      <c r="E6" s="690"/>
      <c r="F6" s="690"/>
      <c r="G6" s="690"/>
      <c r="H6" s="691" t="s">
        <v>859</v>
      </c>
      <c r="I6" s="692"/>
      <c r="J6" s="692"/>
      <c r="K6" s="693"/>
      <c r="L6" s="407"/>
      <c r="M6" s="694" t="s">
        <v>858</v>
      </c>
      <c r="N6" s="694"/>
      <c r="O6" s="694"/>
      <c r="P6" s="694"/>
      <c r="Q6" s="694"/>
      <c r="R6" s="694"/>
      <c r="S6" s="670"/>
      <c r="T6" s="406"/>
      <c r="U6" s="673" t="s">
        <v>857</v>
      </c>
      <c r="V6" s="673"/>
      <c r="W6" s="673"/>
      <c r="X6" s="673"/>
      <c r="Y6" s="673"/>
      <c r="Z6" s="673"/>
      <c r="AA6" s="671"/>
      <c r="AB6" s="405"/>
    </row>
    <row r="7" spans="1:28" ht="25.5">
      <c r="A7" s="684"/>
      <c r="B7" s="685"/>
      <c r="C7" s="689"/>
      <c r="D7" s="404"/>
      <c r="E7" s="400" t="s">
        <v>530</v>
      </c>
      <c r="F7" s="376" t="s">
        <v>855</v>
      </c>
      <c r="G7" s="376" t="s">
        <v>856</v>
      </c>
      <c r="H7" s="403"/>
      <c r="I7" s="400" t="s">
        <v>530</v>
      </c>
      <c r="J7" s="376" t="s">
        <v>855</v>
      </c>
      <c r="K7" s="376" t="s">
        <v>856</v>
      </c>
      <c r="L7" s="402"/>
      <c r="M7" s="400" t="s">
        <v>530</v>
      </c>
      <c r="N7" s="376" t="s">
        <v>855</v>
      </c>
      <c r="O7" s="376" t="s">
        <v>854</v>
      </c>
      <c r="P7" s="376" t="s">
        <v>853</v>
      </c>
      <c r="Q7" s="376" t="s">
        <v>852</v>
      </c>
      <c r="R7" s="376" t="s">
        <v>851</v>
      </c>
      <c r="S7" s="376" t="s">
        <v>850</v>
      </c>
      <c r="T7" s="401"/>
      <c r="U7" s="400" t="s">
        <v>530</v>
      </c>
      <c r="V7" s="376" t="s">
        <v>855</v>
      </c>
      <c r="W7" s="376" t="s">
        <v>854</v>
      </c>
      <c r="X7" s="376" t="s">
        <v>853</v>
      </c>
      <c r="Y7" s="376" t="s">
        <v>852</v>
      </c>
      <c r="Z7" s="376" t="s">
        <v>851</v>
      </c>
      <c r="AA7" s="376" t="s">
        <v>850</v>
      </c>
      <c r="AB7" s="399"/>
    </row>
    <row r="8" spans="1:28">
      <c r="A8" s="398">
        <v>1</v>
      </c>
      <c r="B8" s="372" t="s">
        <v>531</v>
      </c>
      <c r="C8" s="1065">
        <f>SUM(C9:C14)</f>
        <v>322236435.50447202</v>
      </c>
      <c r="D8" s="1065">
        <f t="shared" ref="D8:S8" si="0">SUM(D9:D14)</f>
        <v>320600981.02628905</v>
      </c>
      <c r="E8" s="1065">
        <f t="shared" si="0"/>
        <v>216209.84082500002</v>
      </c>
      <c r="F8" s="1065">
        <f t="shared" si="0"/>
        <v>0</v>
      </c>
      <c r="G8" s="1065">
        <f t="shared" si="0"/>
        <v>0</v>
      </c>
      <c r="H8" s="1065">
        <f t="shared" si="0"/>
        <v>416526.82169299992</v>
      </c>
      <c r="I8" s="1065">
        <f t="shared" si="0"/>
        <v>385837.47169299994</v>
      </c>
      <c r="J8" s="1065">
        <f t="shared" si="0"/>
        <v>0</v>
      </c>
      <c r="K8" s="1065">
        <f t="shared" si="0"/>
        <v>0</v>
      </c>
      <c r="L8" s="1065">
        <f t="shared" si="0"/>
        <v>1218927.65649</v>
      </c>
      <c r="M8" s="1065">
        <f t="shared" si="0"/>
        <v>0</v>
      </c>
      <c r="N8" s="1065">
        <f t="shared" si="0"/>
        <v>1133.9699999999998</v>
      </c>
      <c r="O8" s="1065">
        <f t="shared" si="0"/>
        <v>812314.472267</v>
      </c>
      <c r="P8" s="1065">
        <f t="shared" si="0"/>
        <v>0</v>
      </c>
      <c r="Q8" s="1065">
        <f t="shared" si="0"/>
        <v>0</v>
      </c>
      <c r="R8" s="1065">
        <f t="shared" si="0"/>
        <v>6376.13</v>
      </c>
      <c r="S8" s="1065">
        <f t="shared" si="0"/>
        <v>0</v>
      </c>
      <c r="T8" s="368"/>
      <c r="U8" s="368"/>
      <c r="V8" s="368"/>
      <c r="W8" s="368"/>
      <c r="X8" s="368"/>
      <c r="Y8" s="368"/>
      <c r="Z8" s="368"/>
      <c r="AA8" s="368"/>
      <c r="AB8" s="396"/>
    </row>
    <row r="9" spans="1:28">
      <c r="A9" s="368">
        <v>1.1000000000000001</v>
      </c>
      <c r="B9" s="397" t="s">
        <v>532</v>
      </c>
      <c r="C9" s="1066"/>
      <c r="D9" s="1054"/>
      <c r="E9" s="1054"/>
      <c r="F9" s="1054"/>
      <c r="G9" s="1054"/>
      <c r="H9" s="1054"/>
      <c r="I9" s="1054"/>
      <c r="J9" s="1054"/>
      <c r="K9" s="1054"/>
      <c r="L9" s="1054"/>
      <c r="M9" s="1054"/>
      <c r="N9" s="1054"/>
      <c r="O9" s="1054"/>
      <c r="P9" s="1054"/>
      <c r="Q9" s="1054"/>
      <c r="R9" s="1054"/>
      <c r="S9" s="1054"/>
      <c r="T9" s="368"/>
      <c r="U9" s="368"/>
      <c r="V9" s="368"/>
      <c r="W9" s="368"/>
      <c r="X9" s="368"/>
      <c r="Y9" s="368"/>
      <c r="Z9" s="368"/>
      <c r="AA9" s="368"/>
      <c r="AB9" s="396"/>
    </row>
    <row r="10" spans="1:28">
      <c r="A10" s="368">
        <v>1.2</v>
      </c>
      <c r="B10" s="397" t="s">
        <v>533</v>
      </c>
      <c r="C10" s="1066"/>
      <c r="D10" s="1054"/>
      <c r="E10" s="1054"/>
      <c r="F10" s="1054"/>
      <c r="G10" s="1054"/>
      <c r="H10" s="1054"/>
      <c r="I10" s="1054"/>
      <c r="J10" s="1054"/>
      <c r="K10" s="1054"/>
      <c r="L10" s="1054"/>
      <c r="M10" s="1054"/>
      <c r="N10" s="1054"/>
      <c r="O10" s="1054"/>
      <c r="P10" s="1054"/>
      <c r="Q10" s="1054"/>
      <c r="R10" s="1054"/>
      <c r="S10" s="1054"/>
      <c r="T10" s="368"/>
      <c r="U10" s="368"/>
      <c r="V10" s="368"/>
      <c r="W10" s="368"/>
      <c r="X10" s="368"/>
      <c r="Y10" s="368"/>
      <c r="Z10" s="368"/>
      <c r="AA10" s="368"/>
      <c r="AB10" s="396"/>
    </row>
    <row r="11" spans="1:28">
      <c r="A11" s="368">
        <v>1.3</v>
      </c>
      <c r="B11" s="397" t="s">
        <v>534</v>
      </c>
      <c r="C11" s="1066">
        <v>0</v>
      </c>
      <c r="D11" s="1054">
        <v>0</v>
      </c>
      <c r="E11" s="1054">
        <v>0</v>
      </c>
      <c r="F11" s="1054">
        <v>0</v>
      </c>
      <c r="G11" s="1054">
        <v>0</v>
      </c>
      <c r="H11" s="1054">
        <v>0</v>
      </c>
      <c r="I11" s="1054">
        <v>0</v>
      </c>
      <c r="J11" s="1054">
        <v>0</v>
      </c>
      <c r="K11" s="1054">
        <v>0</v>
      </c>
      <c r="L11" s="1054">
        <v>0</v>
      </c>
      <c r="M11" s="1054">
        <v>0</v>
      </c>
      <c r="N11" s="1054">
        <v>0</v>
      </c>
      <c r="O11" s="1054">
        <v>0</v>
      </c>
      <c r="P11" s="1054">
        <v>0</v>
      </c>
      <c r="Q11" s="1054">
        <v>0</v>
      </c>
      <c r="R11" s="1054">
        <v>0</v>
      </c>
      <c r="S11" s="1054">
        <v>0</v>
      </c>
      <c r="T11" s="368"/>
      <c r="U11" s="368"/>
      <c r="V11" s="368"/>
      <c r="W11" s="368"/>
      <c r="X11" s="368"/>
      <c r="Y11" s="368"/>
      <c r="Z11" s="368"/>
      <c r="AA11" s="368"/>
      <c r="AB11" s="396"/>
    </row>
    <row r="12" spans="1:28">
      <c r="A12" s="368">
        <v>1.4</v>
      </c>
      <c r="B12" s="397" t="s">
        <v>535</v>
      </c>
      <c r="C12" s="1066">
        <v>33692425.249538004</v>
      </c>
      <c r="D12" s="1054">
        <v>33692425.249538004</v>
      </c>
      <c r="E12" s="1054">
        <v>0</v>
      </c>
      <c r="F12" s="1054">
        <v>0</v>
      </c>
      <c r="G12" s="1054">
        <v>0</v>
      </c>
      <c r="H12" s="1054">
        <v>0</v>
      </c>
      <c r="I12" s="1054">
        <v>0</v>
      </c>
      <c r="J12" s="1054">
        <v>0</v>
      </c>
      <c r="K12" s="1054">
        <v>0</v>
      </c>
      <c r="L12" s="1054">
        <v>0</v>
      </c>
      <c r="M12" s="1054">
        <v>0</v>
      </c>
      <c r="N12" s="1054">
        <v>0</v>
      </c>
      <c r="O12" s="1054">
        <v>0</v>
      </c>
      <c r="P12" s="1054">
        <v>0</v>
      </c>
      <c r="Q12" s="1054">
        <v>0</v>
      </c>
      <c r="R12" s="1054">
        <v>0</v>
      </c>
      <c r="S12" s="1054">
        <v>0</v>
      </c>
      <c r="T12" s="368"/>
      <c r="U12" s="368"/>
      <c r="V12" s="368"/>
      <c r="W12" s="368"/>
      <c r="X12" s="368"/>
      <c r="Y12" s="368"/>
      <c r="Z12" s="368"/>
      <c r="AA12" s="368"/>
      <c r="AB12" s="396"/>
    </row>
    <row r="13" spans="1:28">
      <c r="A13" s="368">
        <v>1.5</v>
      </c>
      <c r="B13" s="397" t="s">
        <v>536</v>
      </c>
      <c r="C13" s="1066">
        <v>283381240.18763304</v>
      </c>
      <c r="D13" s="1054">
        <v>282485649.49582005</v>
      </c>
      <c r="E13" s="1054">
        <v>216209.84082500002</v>
      </c>
      <c r="F13" s="1054">
        <v>0</v>
      </c>
      <c r="G13" s="1054">
        <v>0</v>
      </c>
      <c r="H13" s="1054">
        <v>385837.47169299994</v>
      </c>
      <c r="I13" s="1054">
        <v>385837.47169299994</v>
      </c>
      <c r="J13" s="1054">
        <v>0</v>
      </c>
      <c r="K13" s="1054">
        <v>0</v>
      </c>
      <c r="L13" s="1054">
        <v>509753.22011999995</v>
      </c>
      <c r="M13" s="1054">
        <v>0</v>
      </c>
      <c r="N13" s="1054">
        <v>0</v>
      </c>
      <c r="O13" s="1054">
        <v>509753.22011999995</v>
      </c>
      <c r="P13" s="1054">
        <v>0</v>
      </c>
      <c r="Q13" s="1054">
        <v>0</v>
      </c>
      <c r="R13" s="1054">
        <v>0</v>
      </c>
      <c r="S13" s="1054">
        <v>0</v>
      </c>
      <c r="T13" s="368"/>
      <c r="U13" s="368"/>
      <c r="V13" s="368"/>
      <c r="W13" s="368"/>
      <c r="X13" s="368"/>
      <c r="Y13" s="368"/>
      <c r="Z13" s="368"/>
      <c r="AA13" s="368"/>
      <c r="AB13" s="396"/>
    </row>
    <row r="14" spans="1:28">
      <c r="A14" s="368">
        <v>1.6</v>
      </c>
      <c r="B14" s="397" t="s">
        <v>537</v>
      </c>
      <c r="C14" s="1066">
        <v>5162770.0673010014</v>
      </c>
      <c r="D14" s="1054">
        <v>4422906.2809309997</v>
      </c>
      <c r="E14" s="1054">
        <v>0</v>
      </c>
      <c r="F14" s="1054">
        <v>0</v>
      </c>
      <c r="G14" s="1054">
        <v>0</v>
      </c>
      <c r="H14" s="1054">
        <v>30689.35</v>
      </c>
      <c r="I14" s="1054">
        <v>0</v>
      </c>
      <c r="J14" s="1054">
        <v>0</v>
      </c>
      <c r="K14" s="1054">
        <v>0</v>
      </c>
      <c r="L14" s="1054">
        <v>709174.43636999989</v>
      </c>
      <c r="M14" s="1054">
        <v>0</v>
      </c>
      <c r="N14" s="1054">
        <v>1133.9699999999998</v>
      </c>
      <c r="O14" s="1054">
        <v>302561.25214699999</v>
      </c>
      <c r="P14" s="1054">
        <v>0</v>
      </c>
      <c r="Q14" s="1054">
        <v>0</v>
      </c>
      <c r="R14" s="1054">
        <v>6376.13</v>
      </c>
      <c r="S14" s="1054">
        <v>0</v>
      </c>
      <c r="T14" s="368"/>
      <c r="U14" s="368"/>
      <c r="V14" s="368"/>
      <c r="W14" s="368"/>
      <c r="X14" s="368"/>
      <c r="Y14" s="368"/>
      <c r="Z14" s="368"/>
      <c r="AA14" s="368"/>
      <c r="AB14" s="396"/>
    </row>
    <row r="15" spans="1:28">
      <c r="A15" s="398">
        <v>2</v>
      </c>
      <c r="B15" s="382" t="s">
        <v>538</v>
      </c>
      <c r="C15" s="1065">
        <f>SUM(C16:C21)</f>
        <v>47591287.061590746</v>
      </c>
      <c r="D15" s="1065">
        <f t="shared" ref="D15:S15" si="1">SUM(D16:D21)</f>
        <v>47591287.061590746</v>
      </c>
      <c r="E15" s="1065">
        <f t="shared" si="1"/>
        <v>0</v>
      </c>
      <c r="F15" s="1065">
        <f t="shared" si="1"/>
        <v>0</v>
      </c>
      <c r="G15" s="1065">
        <f t="shared" si="1"/>
        <v>0</v>
      </c>
      <c r="H15" s="1065">
        <f t="shared" si="1"/>
        <v>0</v>
      </c>
      <c r="I15" s="1065">
        <f t="shared" si="1"/>
        <v>0</v>
      </c>
      <c r="J15" s="1065">
        <f t="shared" si="1"/>
        <v>0</v>
      </c>
      <c r="K15" s="1065">
        <f t="shared" si="1"/>
        <v>0</v>
      </c>
      <c r="L15" s="1065">
        <f t="shared" si="1"/>
        <v>0</v>
      </c>
      <c r="M15" s="1065">
        <f t="shared" si="1"/>
        <v>0</v>
      </c>
      <c r="N15" s="1065">
        <f t="shared" si="1"/>
        <v>0</v>
      </c>
      <c r="O15" s="1065">
        <f t="shared" si="1"/>
        <v>0</v>
      </c>
      <c r="P15" s="1065">
        <f t="shared" si="1"/>
        <v>0</v>
      </c>
      <c r="Q15" s="1065">
        <f t="shared" si="1"/>
        <v>0</v>
      </c>
      <c r="R15" s="1065">
        <f t="shared" si="1"/>
        <v>0</v>
      </c>
      <c r="S15" s="1065">
        <f t="shared" si="1"/>
        <v>0</v>
      </c>
      <c r="T15" s="368"/>
      <c r="U15" s="368"/>
      <c r="V15" s="368"/>
      <c r="W15" s="368"/>
      <c r="X15" s="368"/>
      <c r="Y15" s="368"/>
      <c r="Z15" s="368"/>
      <c r="AA15" s="368"/>
      <c r="AB15" s="396"/>
    </row>
    <row r="16" spans="1:28">
      <c r="A16" s="368">
        <v>2.1</v>
      </c>
      <c r="B16" s="397" t="s">
        <v>532</v>
      </c>
      <c r="C16" s="1066">
        <v>0</v>
      </c>
      <c r="D16" s="1054">
        <v>0</v>
      </c>
      <c r="E16" s="1054"/>
      <c r="F16" s="1054"/>
      <c r="G16" s="1054"/>
      <c r="H16" s="1054">
        <v>0</v>
      </c>
      <c r="I16" s="1054"/>
      <c r="J16" s="1054"/>
      <c r="K16" s="1054"/>
      <c r="L16" s="1054">
        <v>0</v>
      </c>
      <c r="M16" s="1054"/>
      <c r="N16" s="1054"/>
      <c r="O16" s="1054"/>
      <c r="P16" s="1054"/>
      <c r="Q16" s="1054"/>
      <c r="R16" s="1054"/>
      <c r="S16" s="1054"/>
      <c r="T16" s="368"/>
      <c r="U16" s="368"/>
      <c r="V16" s="368"/>
      <c r="W16" s="368"/>
      <c r="X16" s="368"/>
      <c r="Y16" s="368"/>
      <c r="Z16" s="368"/>
      <c r="AA16" s="368"/>
      <c r="AB16" s="396"/>
    </row>
    <row r="17" spans="1:28">
      <c r="A17" s="368">
        <v>2.2000000000000002</v>
      </c>
      <c r="B17" s="397" t="s">
        <v>533</v>
      </c>
      <c r="C17" s="1066">
        <v>0</v>
      </c>
      <c r="D17" s="1054">
        <v>0</v>
      </c>
      <c r="E17" s="1054"/>
      <c r="F17" s="1054"/>
      <c r="G17" s="1054"/>
      <c r="H17" s="1054">
        <v>0</v>
      </c>
      <c r="I17" s="1054"/>
      <c r="J17" s="1054"/>
      <c r="K17" s="1054"/>
      <c r="L17" s="1054">
        <v>0</v>
      </c>
      <c r="M17" s="1054"/>
      <c r="N17" s="1054"/>
      <c r="O17" s="1054"/>
      <c r="P17" s="1054"/>
      <c r="Q17" s="1054"/>
      <c r="R17" s="1054"/>
      <c r="S17" s="1054"/>
      <c r="T17" s="368"/>
      <c r="U17" s="368"/>
      <c r="V17" s="368"/>
      <c r="W17" s="368"/>
      <c r="X17" s="368"/>
      <c r="Y17" s="368"/>
      <c r="Z17" s="368"/>
      <c r="AA17" s="368"/>
      <c r="AB17" s="396"/>
    </row>
    <row r="18" spans="1:28">
      <c r="A18" s="368">
        <v>2.2999999999999998</v>
      </c>
      <c r="B18" s="397" t="s">
        <v>534</v>
      </c>
      <c r="C18" s="1066">
        <v>2802569.8114593495</v>
      </c>
      <c r="D18" s="1054">
        <v>2802569.8114593495</v>
      </c>
      <c r="E18" s="1054"/>
      <c r="F18" s="1054"/>
      <c r="G18" s="1054"/>
      <c r="H18" s="1054"/>
      <c r="I18" s="1054"/>
      <c r="J18" s="1054"/>
      <c r="K18" s="1054"/>
      <c r="L18" s="1054"/>
      <c r="M18" s="1054"/>
      <c r="N18" s="1054"/>
      <c r="O18" s="1054"/>
      <c r="P18" s="1054"/>
      <c r="Q18" s="1054"/>
      <c r="R18" s="1054"/>
      <c r="S18" s="1054"/>
      <c r="T18" s="368"/>
      <c r="U18" s="368"/>
      <c r="V18" s="368"/>
      <c r="W18" s="368"/>
      <c r="X18" s="368"/>
      <c r="Y18" s="368"/>
      <c r="Z18" s="368"/>
      <c r="AA18" s="368"/>
      <c r="AB18" s="396"/>
    </row>
    <row r="19" spans="1:28">
      <c r="A19" s="368">
        <v>2.4</v>
      </c>
      <c r="B19" s="397" t="s">
        <v>535</v>
      </c>
      <c r="C19" s="1066">
        <v>31123002.115601901</v>
      </c>
      <c r="D19" s="1054">
        <v>31123002.115601901</v>
      </c>
      <c r="E19" s="1054"/>
      <c r="F19" s="1054"/>
      <c r="G19" s="1054"/>
      <c r="H19" s="1054"/>
      <c r="I19" s="1054"/>
      <c r="J19" s="1054"/>
      <c r="K19" s="1054"/>
      <c r="L19" s="1054"/>
      <c r="M19" s="1054"/>
      <c r="N19" s="1054"/>
      <c r="O19" s="1054"/>
      <c r="P19" s="1054"/>
      <c r="Q19" s="1054"/>
      <c r="R19" s="1054"/>
      <c r="S19" s="1054"/>
      <c r="T19" s="368"/>
      <c r="U19" s="368"/>
      <c r="V19" s="368"/>
      <c r="W19" s="368"/>
      <c r="X19" s="368"/>
      <c r="Y19" s="368"/>
      <c r="Z19" s="368"/>
      <c r="AA19" s="368"/>
      <c r="AB19" s="396"/>
    </row>
    <row r="20" spans="1:28">
      <c r="A20" s="368">
        <v>2.5</v>
      </c>
      <c r="B20" s="397" t="s">
        <v>536</v>
      </c>
      <c r="C20" s="1066">
        <v>13665715.13452949</v>
      </c>
      <c r="D20" s="1054">
        <v>13665715.13452949</v>
      </c>
      <c r="E20" s="1054"/>
      <c r="F20" s="1054"/>
      <c r="G20" s="1054"/>
      <c r="H20" s="1054">
        <v>0</v>
      </c>
      <c r="I20" s="1054"/>
      <c r="J20" s="1054"/>
      <c r="K20" s="1054"/>
      <c r="L20" s="1054">
        <v>0</v>
      </c>
      <c r="M20" s="1054"/>
      <c r="N20" s="1054"/>
      <c r="O20" s="1054"/>
      <c r="P20" s="1054"/>
      <c r="Q20" s="1054"/>
      <c r="R20" s="1054"/>
      <c r="S20" s="1054"/>
      <c r="T20" s="368"/>
      <c r="U20" s="368"/>
      <c r="V20" s="368"/>
      <c r="W20" s="368"/>
      <c r="X20" s="368"/>
      <c r="Y20" s="368"/>
      <c r="Z20" s="368"/>
      <c r="AA20" s="368"/>
      <c r="AB20" s="396"/>
    </row>
    <row r="21" spans="1:28">
      <c r="A21" s="368">
        <v>2.6</v>
      </c>
      <c r="B21" s="397" t="s">
        <v>537</v>
      </c>
      <c r="C21" s="1066"/>
      <c r="D21" s="1054"/>
      <c r="E21" s="1054"/>
      <c r="F21" s="1054"/>
      <c r="G21" s="1054"/>
      <c r="H21" s="1054"/>
      <c r="I21" s="1054"/>
      <c r="J21" s="1054"/>
      <c r="K21" s="1054"/>
      <c r="L21" s="1054"/>
      <c r="M21" s="1054"/>
      <c r="N21" s="1054"/>
      <c r="O21" s="1054"/>
      <c r="P21" s="1054"/>
      <c r="Q21" s="1054"/>
      <c r="R21" s="1054"/>
      <c r="S21" s="1054"/>
      <c r="T21" s="368"/>
      <c r="U21" s="368"/>
      <c r="V21" s="368"/>
      <c r="W21" s="368"/>
      <c r="X21" s="368"/>
      <c r="Y21" s="368"/>
      <c r="Z21" s="368"/>
      <c r="AA21" s="368"/>
      <c r="AB21" s="396"/>
    </row>
    <row r="22" spans="1:28">
      <c r="A22" s="398">
        <v>3</v>
      </c>
      <c r="B22" s="372" t="s">
        <v>539</v>
      </c>
      <c r="C22" s="1057">
        <f>SUM(C23:C28)</f>
        <v>150242411.730115</v>
      </c>
      <c r="D22" s="1057">
        <f t="shared" ref="D22:S22" si="2">SUM(D23:D28)</f>
        <v>150242411.730115</v>
      </c>
      <c r="E22" s="1067">
        <f t="shared" si="2"/>
        <v>0</v>
      </c>
      <c r="F22" s="1067">
        <f t="shared" si="2"/>
        <v>0</v>
      </c>
      <c r="G22" s="1067">
        <f t="shared" si="2"/>
        <v>0</v>
      </c>
      <c r="H22" s="1057">
        <f t="shared" si="2"/>
        <v>0</v>
      </c>
      <c r="I22" s="1067">
        <f t="shared" si="2"/>
        <v>0</v>
      </c>
      <c r="J22" s="1067">
        <f t="shared" si="2"/>
        <v>0</v>
      </c>
      <c r="K22" s="1067">
        <f t="shared" si="2"/>
        <v>0</v>
      </c>
      <c r="L22" s="1057">
        <f t="shared" si="2"/>
        <v>0</v>
      </c>
      <c r="M22" s="1067">
        <f t="shared" si="2"/>
        <v>0</v>
      </c>
      <c r="N22" s="1067">
        <f t="shared" si="2"/>
        <v>0</v>
      </c>
      <c r="O22" s="1067">
        <f t="shared" si="2"/>
        <v>0</v>
      </c>
      <c r="P22" s="1067">
        <f t="shared" si="2"/>
        <v>0</v>
      </c>
      <c r="Q22" s="1067">
        <f t="shared" si="2"/>
        <v>0</v>
      </c>
      <c r="R22" s="1067">
        <f t="shared" si="2"/>
        <v>0</v>
      </c>
      <c r="S22" s="1067">
        <f t="shared" si="2"/>
        <v>0</v>
      </c>
      <c r="T22" s="372"/>
      <c r="U22" s="1068"/>
      <c r="V22" s="1068"/>
      <c r="W22" s="1068"/>
      <c r="X22" s="1068"/>
      <c r="Y22" s="1068"/>
      <c r="Z22" s="1068"/>
      <c r="AA22" s="1068"/>
      <c r="AB22" s="396"/>
    </row>
    <row r="23" spans="1:28">
      <c r="A23" s="368">
        <v>3.1</v>
      </c>
      <c r="B23" s="397" t="s">
        <v>532</v>
      </c>
      <c r="C23" s="1066"/>
      <c r="D23" s="1057"/>
      <c r="E23" s="1067"/>
      <c r="F23" s="1067"/>
      <c r="G23" s="1067"/>
      <c r="H23" s="1057"/>
      <c r="I23" s="1067"/>
      <c r="J23" s="1067"/>
      <c r="K23" s="1067"/>
      <c r="L23" s="1057"/>
      <c r="M23" s="1067"/>
      <c r="N23" s="1067"/>
      <c r="O23" s="1067"/>
      <c r="P23" s="1067"/>
      <c r="Q23" s="1067"/>
      <c r="R23" s="1067"/>
      <c r="S23" s="1067"/>
      <c r="T23" s="372"/>
      <c r="U23" s="1068"/>
      <c r="V23" s="1068"/>
      <c r="W23" s="1068"/>
      <c r="X23" s="1068"/>
      <c r="Y23" s="1068"/>
      <c r="Z23" s="1068"/>
      <c r="AA23" s="1068"/>
      <c r="AB23" s="396"/>
    </row>
    <row r="24" spans="1:28">
      <c r="A24" s="368">
        <v>3.2</v>
      </c>
      <c r="B24" s="397" t="s">
        <v>533</v>
      </c>
      <c r="C24" s="1066"/>
      <c r="D24" s="1057"/>
      <c r="E24" s="1067"/>
      <c r="F24" s="1067"/>
      <c r="G24" s="1067"/>
      <c r="H24" s="1057"/>
      <c r="I24" s="1067"/>
      <c r="J24" s="1067"/>
      <c r="K24" s="1067"/>
      <c r="L24" s="1057"/>
      <c r="M24" s="1067"/>
      <c r="N24" s="1067"/>
      <c r="O24" s="1067"/>
      <c r="P24" s="1067"/>
      <c r="Q24" s="1067"/>
      <c r="R24" s="1067"/>
      <c r="S24" s="1067"/>
      <c r="T24" s="372"/>
      <c r="U24" s="1068"/>
      <c r="V24" s="1068"/>
      <c r="W24" s="1068"/>
      <c r="X24" s="1068"/>
      <c r="Y24" s="1068"/>
      <c r="Z24" s="1068"/>
      <c r="AA24" s="1068"/>
      <c r="AB24" s="396"/>
    </row>
    <row r="25" spans="1:28">
      <c r="A25" s="368">
        <v>3.3</v>
      </c>
      <c r="B25" s="397" t="s">
        <v>534</v>
      </c>
      <c r="C25" s="1066">
        <v>130893410.395918</v>
      </c>
      <c r="D25" s="1069">
        <v>130893410.395918</v>
      </c>
      <c r="E25" s="1067"/>
      <c r="F25" s="1067"/>
      <c r="G25" s="1067"/>
      <c r="H25" s="1057">
        <v>0</v>
      </c>
      <c r="I25" s="1067"/>
      <c r="J25" s="1067"/>
      <c r="K25" s="1067"/>
      <c r="L25" s="1057">
        <v>0</v>
      </c>
      <c r="M25" s="1067"/>
      <c r="N25" s="1067"/>
      <c r="O25" s="1067"/>
      <c r="P25" s="1067"/>
      <c r="Q25" s="1067"/>
      <c r="R25" s="1067"/>
      <c r="S25" s="1067"/>
      <c r="T25" s="372"/>
      <c r="U25" s="1068"/>
      <c r="V25" s="1068"/>
      <c r="W25" s="1068"/>
      <c r="X25" s="1068"/>
      <c r="Y25" s="1068"/>
      <c r="Z25" s="1068"/>
      <c r="AA25" s="1068"/>
      <c r="AB25" s="396"/>
    </row>
    <row r="26" spans="1:28">
      <c r="A26" s="368">
        <v>3.4</v>
      </c>
      <c r="B26" s="397" t="s">
        <v>535</v>
      </c>
      <c r="C26" s="1066">
        <v>0</v>
      </c>
      <c r="D26" s="1069">
        <v>0</v>
      </c>
      <c r="E26" s="1067"/>
      <c r="F26" s="1067"/>
      <c r="G26" s="1067"/>
      <c r="H26" s="1057">
        <v>0</v>
      </c>
      <c r="I26" s="1067"/>
      <c r="J26" s="1067"/>
      <c r="K26" s="1067"/>
      <c r="L26" s="1057">
        <v>0</v>
      </c>
      <c r="M26" s="1067"/>
      <c r="N26" s="1067"/>
      <c r="O26" s="1067"/>
      <c r="P26" s="1067"/>
      <c r="Q26" s="1067"/>
      <c r="R26" s="1067"/>
      <c r="S26" s="1067"/>
      <c r="T26" s="372"/>
      <c r="U26" s="1068"/>
      <c r="V26" s="1068"/>
      <c r="W26" s="1068"/>
      <c r="X26" s="1068"/>
      <c r="Y26" s="1068"/>
      <c r="Z26" s="1068"/>
      <c r="AA26" s="1068"/>
      <c r="AB26" s="396"/>
    </row>
    <row r="27" spans="1:28">
      <c r="A27" s="368">
        <v>3.5</v>
      </c>
      <c r="B27" s="397" t="s">
        <v>536</v>
      </c>
      <c r="C27" s="1066">
        <v>19349001.334197</v>
      </c>
      <c r="D27" s="1069">
        <v>19349001.334197</v>
      </c>
      <c r="E27" s="1067"/>
      <c r="F27" s="1067"/>
      <c r="G27" s="1067"/>
      <c r="H27" s="1057">
        <v>0</v>
      </c>
      <c r="I27" s="1067"/>
      <c r="J27" s="1067"/>
      <c r="K27" s="1067"/>
      <c r="L27" s="1057">
        <v>0</v>
      </c>
      <c r="M27" s="1067"/>
      <c r="N27" s="1067"/>
      <c r="O27" s="1067"/>
      <c r="P27" s="1067"/>
      <c r="Q27" s="1067"/>
      <c r="R27" s="1067"/>
      <c r="S27" s="1067"/>
      <c r="T27" s="372"/>
      <c r="U27" s="1068"/>
      <c r="V27" s="1068"/>
      <c r="W27" s="1068"/>
      <c r="X27" s="1068"/>
      <c r="Y27" s="1068"/>
      <c r="Z27" s="1068"/>
      <c r="AA27" s="1068"/>
      <c r="AB27" s="396"/>
    </row>
    <row r="28" spans="1:28">
      <c r="A28" s="368">
        <v>3.6</v>
      </c>
      <c r="B28" s="397" t="s">
        <v>537</v>
      </c>
      <c r="C28" s="1066">
        <v>0</v>
      </c>
      <c r="D28" s="1069">
        <v>0</v>
      </c>
      <c r="E28" s="1067"/>
      <c r="F28" s="1067"/>
      <c r="G28" s="1067"/>
      <c r="H28" s="1057">
        <v>0</v>
      </c>
      <c r="I28" s="1067"/>
      <c r="J28" s="1067"/>
      <c r="K28" s="1067"/>
      <c r="L28" s="1057">
        <v>0</v>
      </c>
      <c r="M28" s="1067"/>
      <c r="N28" s="1067"/>
      <c r="O28" s="1067"/>
      <c r="P28" s="1067"/>
      <c r="Q28" s="1067"/>
      <c r="R28" s="1067"/>
      <c r="S28" s="1067"/>
      <c r="T28" s="372"/>
      <c r="U28" s="1068"/>
      <c r="V28" s="1068"/>
      <c r="W28" s="1068"/>
      <c r="X28" s="1068"/>
      <c r="Y28" s="1068"/>
      <c r="Z28" s="1068"/>
      <c r="AA28" s="1068"/>
      <c r="AB28" s="396"/>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80" zoomScaleNormal="80" workbookViewId="0">
      <selection activeCell="A5" sqref="A5:B7"/>
    </sheetView>
  </sheetViews>
  <sheetFormatPr defaultColWidth="9.140625" defaultRowHeight="12.75"/>
  <cols>
    <col min="1" max="1" width="11.85546875" style="379" bestFit="1" customWidth="1"/>
    <col min="2" max="2" width="90.140625" style="379" bestFit="1" customWidth="1"/>
    <col min="3" max="3" width="20.140625" style="379" customWidth="1"/>
    <col min="4" max="4" width="22.140625" style="379" customWidth="1"/>
    <col min="5" max="7" width="17.140625" style="379" customWidth="1"/>
    <col min="8" max="8" width="22.140625" style="379" customWidth="1"/>
    <col min="9" max="10" width="17.140625" style="379" customWidth="1"/>
    <col min="11" max="27" width="22.140625" style="379" customWidth="1"/>
    <col min="28" max="16384" width="9.140625" style="379"/>
  </cols>
  <sheetData>
    <row r="1" spans="1:27" ht="13.5">
      <c r="A1" s="302" t="s">
        <v>97</v>
      </c>
      <c r="B1" s="783" t="str">
        <f>Info!C2</f>
        <v>სს იშბანკი საქართველო</v>
      </c>
    </row>
    <row r="2" spans="1:27" ht="13.5">
      <c r="A2" s="304" t="s">
        <v>98</v>
      </c>
      <c r="B2" s="784">
        <f>'1. key ratios'!B2</f>
        <v>45747</v>
      </c>
    </row>
    <row r="3" spans="1:27">
      <c r="A3" s="305" t="s">
        <v>540</v>
      </c>
      <c r="C3" s="381"/>
    </row>
    <row r="4" spans="1:27" ht="13.5" thickBot="1">
      <c r="A4" s="305"/>
      <c r="B4" s="381"/>
      <c r="C4" s="381"/>
    </row>
    <row r="5" spans="1:27" s="410" customFormat="1" ht="13.5" customHeight="1">
      <c r="A5" s="699" t="s">
        <v>869</v>
      </c>
      <c r="B5" s="700"/>
      <c r="C5" s="696" t="s">
        <v>541</v>
      </c>
      <c r="D5" s="697"/>
      <c r="E5" s="697"/>
      <c r="F5" s="697"/>
      <c r="G5" s="697"/>
      <c r="H5" s="697"/>
      <c r="I5" s="697"/>
      <c r="J5" s="697"/>
      <c r="K5" s="697"/>
      <c r="L5" s="697"/>
      <c r="M5" s="697"/>
      <c r="N5" s="697"/>
      <c r="O5" s="697"/>
      <c r="P5" s="697"/>
      <c r="Q5" s="697"/>
      <c r="R5" s="697"/>
      <c r="S5" s="697"/>
      <c r="T5" s="697"/>
      <c r="U5" s="697"/>
      <c r="V5" s="697"/>
      <c r="W5" s="697"/>
      <c r="X5" s="697"/>
      <c r="Y5" s="697"/>
      <c r="Z5" s="697"/>
      <c r="AA5" s="698"/>
    </row>
    <row r="6" spans="1:27" s="410" customFormat="1" ht="12" customHeight="1">
      <c r="A6" s="701"/>
      <c r="B6" s="702"/>
      <c r="C6" s="706" t="s">
        <v>66</v>
      </c>
      <c r="D6" s="705" t="s">
        <v>860</v>
      </c>
      <c r="E6" s="705"/>
      <c r="F6" s="705"/>
      <c r="G6" s="705"/>
      <c r="H6" s="691" t="s">
        <v>859</v>
      </c>
      <c r="I6" s="692"/>
      <c r="J6" s="692"/>
      <c r="K6" s="692"/>
      <c r="L6" s="406"/>
      <c r="M6" s="673" t="s">
        <v>858</v>
      </c>
      <c r="N6" s="673"/>
      <c r="O6" s="673"/>
      <c r="P6" s="673"/>
      <c r="Q6" s="673"/>
      <c r="R6" s="673"/>
      <c r="S6" s="671"/>
      <c r="T6" s="406"/>
      <c r="U6" s="673" t="s">
        <v>857</v>
      </c>
      <c r="V6" s="673"/>
      <c r="W6" s="673"/>
      <c r="X6" s="673"/>
      <c r="Y6" s="673"/>
      <c r="Z6" s="673"/>
      <c r="AA6" s="695"/>
    </row>
    <row r="7" spans="1:27" s="410" customFormat="1" ht="38.25">
      <c r="A7" s="703"/>
      <c r="B7" s="704"/>
      <c r="C7" s="707"/>
      <c r="D7" s="404"/>
      <c r="E7" s="400" t="s">
        <v>530</v>
      </c>
      <c r="F7" s="376" t="s">
        <v>855</v>
      </c>
      <c r="G7" s="376" t="s">
        <v>856</v>
      </c>
      <c r="H7" s="439"/>
      <c r="I7" s="400" t="s">
        <v>530</v>
      </c>
      <c r="J7" s="376" t="s">
        <v>855</v>
      </c>
      <c r="K7" s="376" t="s">
        <v>856</v>
      </c>
      <c r="L7" s="401"/>
      <c r="M7" s="400" t="s">
        <v>530</v>
      </c>
      <c r="N7" s="376" t="s">
        <v>868</v>
      </c>
      <c r="O7" s="376" t="s">
        <v>867</v>
      </c>
      <c r="P7" s="376" t="s">
        <v>866</v>
      </c>
      <c r="Q7" s="376" t="s">
        <v>865</v>
      </c>
      <c r="R7" s="376" t="s">
        <v>864</v>
      </c>
      <c r="S7" s="376" t="s">
        <v>850</v>
      </c>
      <c r="T7" s="401"/>
      <c r="U7" s="400" t="s">
        <v>530</v>
      </c>
      <c r="V7" s="376" t="s">
        <v>868</v>
      </c>
      <c r="W7" s="376" t="s">
        <v>867</v>
      </c>
      <c r="X7" s="376" t="s">
        <v>866</v>
      </c>
      <c r="Y7" s="376" t="s">
        <v>865</v>
      </c>
      <c r="Z7" s="376" t="s">
        <v>864</v>
      </c>
      <c r="AA7" s="376" t="s">
        <v>850</v>
      </c>
    </row>
    <row r="8" spans="1:27">
      <c r="A8" s="438">
        <v>1</v>
      </c>
      <c r="B8" s="437" t="s">
        <v>531</v>
      </c>
      <c r="C8" s="1070">
        <v>322236435.50447202</v>
      </c>
      <c r="D8" s="1065">
        <v>320600981.02628905</v>
      </c>
      <c r="E8" s="1065">
        <v>216209.84082500002</v>
      </c>
      <c r="F8" s="1065">
        <v>0</v>
      </c>
      <c r="G8" s="1065">
        <v>0</v>
      </c>
      <c r="H8" s="1065">
        <v>416526.82169299992</v>
      </c>
      <c r="I8" s="1065">
        <v>385837.47169299994</v>
      </c>
      <c r="J8" s="1065">
        <v>0</v>
      </c>
      <c r="K8" s="1065">
        <v>0</v>
      </c>
      <c r="L8" s="1065">
        <v>1218927.65649</v>
      </c>
      <c r="M8" s="1065">
        <v>0</v>
      </c>
      <c r="N8" s="1065">
        <v>1133.9699999999998</v>
      </c>
      <c r="O8" s="1065">
        <v>812314.472267</v>
      </c>
      <c r="P8" s="1065">
        <v>0</v>
      </c>
      <c r="Q8" s="1065">
        <v>0</v>
      </c>
      <c r="R8" s="1065">
        <v>6376.13</v>
      </c>
      <c r="S8" s="1071">
        <v>0</v>
      </c>
      <c r="T8" s="368"/>
      <c r="U8" s="368"/>
      <c r="V8" s="368"/>
      <c r="W8" s="368"/>
      <c r="X8" s="368"/>
      <c r="Y8" s="368"/>
      <c r="Z8" s="368"/>
      <c r="AA8" s="429"/>
    </row>
    <row r="9" spans="1:27">
      <c r="A9" s="435">
        <v>1.1000000000000001</v>
      </c>
      <c r="B9" s="436" t="s">
        <v>542</v>
      </c>
      <c r="C9" s="1072">
        <v>269259874.60262513</v>
      </c>
      <c r="D9" s="1054">
        <v>267893021.13151589</v>
      </c>
      <c r="E9" s="1054">
        <v>214260.49935900001</v>
      </c>
      <c r="F9" s="1054">
        <v>0</v>
      </c>
      <c r="G9" s="1054">
        <v>0</v>
      </c>
      <c r="H9" s="1054">
        <v>415097.28622399992</v>
      </c>
      <c r="I9" s="1054">
        <v>384574.11622399994</v>
      </c>
      <c r="J9" s="1054">
        <v>0</v>
      </c>
      <c r="K9" s="1054">
        <v>0</v>
      </c>
      <c r="L9" s="1054">
        <v>951756.18488499988</v>
      </c>
      <c r="M9" s="1054">
        <v>0</v>
      </c>
      <c r="N9" s="1054">
        <v>0</v>
      </c>
      <c r="O9" s="1054">
        <v>550204.21066199988</v>
      </c>
      <c r="P9" s="1054">
        <v>0</v>
      </c>
      <c r="Q9" s="1054">
        <v>0</v>
      </c>
      <c r="R9" s="1054">
        <v>4393.1400000000003</v>
      </c>
      <c r="S9" s="1073">
        <v>0</v>
      </c>
      <c r="T9" s="368"/>
      <c r="U9" s="368"/>
      <c r="V9" s="368"/>
      <c r="W9" s="368"/>
      <c r="X9" s="368"/>
      <c r="Y9" s="368"/>
      <c r="Z9" s="368"/>
      <c r="AA9" s="429"/>
    </row>
    <row r="10" spans="1:27">
      <c r="A10" s="433" t="s">
        <v>146</v>
      </c>
      <c r="B10" s="434" t="s">
        <v>543</v>
      </c>
      <c r="C10" s="1074">
        <v>157892597.94538805</v>
      </c>
      <c r="D10" s="1054">
        <v>156976690.97050303</v>
      </c>
      <c r="E10" s="1054">
        <v>214260.49935900001</v>
      </c>
      <c r="F10" s="1054">
        <v>0</v>
      </c>
      <c r="G10" s="1054">
        <v>0</v>
      </c>
      <c r="H10" s="1054">
        <v>30523.17</v>
      </c>
      <c r="I10" s="1054">
        <v>0</v>
      </c>
      <c r="J10" s="1054">
        <v>0</v>
      </c>
      <c r="K10" s="1054">
        <v>0</v>
      </c>
      <c r="L10" s="1054">
        <v>885383.80488499987</v>
      </c>
      <c r="M10" s="1054">
        <v>0</v>
      </c>
      <c r="N10" s="1054">
        <v>0</v>
      </c>
      <c r="O10" s="1054">
        <v>488224.97066199995</v>
      </c>
      <c r="P10" s="1054">
        <v>0</v>
      </c>
      <c r="Q10" s="1054">
        <v>0</v>
      </c>
      <c r="R10" s="1054">
        <v>0</v>
      </c>
      <c r="S10" s="1073">
        <v>0</v>
      </c>
      <c r="T10" s="368"/>
      <c r="U10" s="368"/>
      <c r="V10" s="368"/>
      <c r="W10" s="368"/>
      <c r="X10" s="368"/>
      <c r="Y10" s="368"/>
      <c r="Z10" s="368"/>
      <c r="AA10" s="429"/>
    </row>
    <row r="11" spans="1:27">
      <c r="A11" s="432" t="s">
        <v>544</v>
      </c>
      <c r="B11" s="431" t="s">
        <v>545</v>
      </c>
      <c r="C11" s="1075">
        <v>58997636.526107989</v>
      </c>
      <c r="D11" s="1054">
        <v>58162834.29122299</v>
      </c>
      <c r="E11" s="1054">
        <v>214260.49935900001</v>
      </c>
      <c r="F11" s="1054">
        <v>0</v>
      </c>
      <c r="G11" s="1054">
        <v>0</v>
      </c>
      <c r="H11" s="1054">
        <v>30523.17</v>
      </c>
      <c r="I11" s="1054">
        <v>0</v>
      </c>
      <c r="J11" s="1054">
        <v>0</v>
      </c>
      <c r="K11" s="1054">
        <v>0</v>
      </c>
      <c r="L11" s="1054">
        <v>804279.06488499988</v>
      </c>
      <c r="M11" s="1054">
        <v>0</v>
      </c>
      <c r="N11" s="1054">
        <v>0</v>
      </c>
      <c r="O11" s="1054">
        <v>407120.23066199996</v>
      </c>
      <c r="P11" s="1054">
        <v>0</v>
      </c>
      <c r="Q11" s="1054">
        <v>0</v>
      </c>
      <c r="R11" s="1054">
        <v>0</v>
      </c>
      <c r="S11" s="1073">
        <v>0</v>
      </c>
      <c r="T11" s="368"/>
      <c r="U11" s="368"/>
      <c r="V11" s="368"/>
      <c r="W11" s="368"/>
      <c r="X11" s="368"/>
      <c r="Y11" s="368"/>
      <c r="Z11" s="368"/>
      <c r="AA11" s="429"/>
    </row>
    <row r="12" spans="1:27">
      <c r="A12" s="432" t="s">
        <v>546</v>
      </c>
      <c r="B12" s="431" t="s">
        <v>547</v>
      </c>
      <c r="C12" s="1075">
        <v>11148497.749522001</v>
      </c>
      <c r="D12" s="1054">
        <v>11067393.009522</v>
      </c>
      <c r="E12" s="1054">
        <v>0</v>
      </c>
      <c r="F12" s="1054">
        <v>0</v>
      </c>
      <c r="G12" s="1054">
        <v>0</v>
      </c>
      <c r="H12" s="1054">
        <v>0</v>
      </c>
      <c r="I12" s="1054">
        <v>0</v>
      </c>
      <c r="J12" s="1054">
        <v>0</v>
      </c>
      <c r="K12" s="1054">
        <v>0</v>
      </c>
      <c r="L12" s="1054">
        <v>81104.740000000005</v>
      </c>
      <c r="M12" s="1054">
        <v>0</v>
      </c>
      <c r="N12" s="1054">
        <v>0</v>
      </c>
      <c r="O12" s="1054">
        <v>81104.740000000005</v>
      </c>
      <c r="P12" s="1054">
        <v>0</v>
      </c>
      <c r="Q12" s="1054">
        <v>0</v>
      </c>
      <c r="R12" s="1054">
        <v>0</v>
      </c>
      <c r="S12" s="1073">
        <v>0</v>
      </c>
      <c r="T12" s="368"/>
      <c r="U12" s="368"/>
      <c r="V12" s="368"/>
      <c r="W12" s="368"/>
      <c r="X12" s="368"/>
      <c r="Y12" s="368"/>
      <c r="Z12" s="368"/>
      <c r="AA12" s="429"/>
    </row>
    <row r="13" spans="1:27">
      <c r="A13" s="432" t="s">
        <v>548</v>
      </c>
      <c r="B13" s="431" t="s">
        <v>549</v>
      </c>
      <c r="C13" s="1075">
        <v>10639180.650000002</v>
      </c>
      <c r="D13" s="1054">
        <v>10639180.650000002</v>
      </c>
      <c r="E13" s="1054">
        <v>0</v>
      </c>
      <c r="F13" s="1054">
        <v>0</v>
      </c>
      <c r="G13" s="1054">
        <v>0</v>
      </c>
      <c r="H13" s="1054">
        <v>0</v>
      </c>
      <c r="I13" s="1054">
        <v>0</v>
      </c>
      <c r="J13" s="1054">
        <v>0</v>
      </c>
      <c r="K13" s="1054">
        <v>0</v>
      </c>
      <c r="L13" s="1054">
        <v>0</v>
      </c>
      <c r="M13" s="1054">
        <v>0</v>
      </c>
      <c r="N13" s="1054">
        <v>0</v>
      </c>
      <c r="O13" s="1054">
        <v>0</v>
      </c>
      <c r="P13" s="1054">
        <v>0</v>
      </c>
      <c r="Q13" s="1054">
        <v>0</v>
      </c>
      <c r="R13" s="1054">
        <v>0</v>
      </c>
      <c r="S13" s="1073">
        <v>0</v>
      </c>
      <c r="T13" s="368"/>
      <c r="U13" s="368"/>
      <c r="V13" s="368"/>
      <c r="W13" s="368"/>
      <c r="X13" s="368"/>
      <c r="Y13" s="368"/>
      <c r="Z13" s="368"/>
      <c r="AA13" s="429"/>
    </row>
    <row r="14" spans="1:27">
      <c r="A14" s="432" t="s">
        <v>550</v>
      </c>
      <c r="B14" s="431" t="s">
        <v>551</v>
      </c>
      <c r="C14" s="1075">
        <v>77107283.019758001</v>
      </c>
      <c r="D14" s="1054">
        <v>77107283.019758001</v>
      </c>
      <c r="E14" s="1054">
        <v>0</v>
      </c>
      <c r="F14" s="1054">
        <v>0</v>
      </c>
      <c r="G14" s="1054">
        <v>0</v>
      </c>
      <c r="H14" s="1054">
        <v>0</v>
      </c>
      <c r="I14" s="1054">
        <v>0</v>
      </c>
      <c r="J14" s="1054">
        <v>0</v>
      </c>
      <c r="K14" s="1054">
        <v>0</v>
      </c>
      <c r="L14" s="1054">
        <v>0</v>
      </c>
      <c r="M14" s="1054">
        <v>0</v>
      </c>
      <c r="N14" s="1054">
        <v>0</v>
      </c>
      <c r="O14" s="1054">
        <v>0</v>
      </c>
      <c r="P14" s="1054">
        <v>0</v>
      </c>
      <c r="Q14" s="1054">
        <v>0</v>
      </c>
      <c r="R14" s="1054">
        <v>0</v>
      </c>
      <c r="S14" s="1073">
        <v>0</v>
      </c>
      <c r="T14" s="368"/>
      <c r="U14" s="368"/>
      <c r="V14" s="368"/>
      <c r="W14" s="368"/>
      <c r="X14" s="368"/>
      <c r="Y14" s="368"/>
      <c r="Z14" s="368"/>
      <c r="AA14" s="429"/>
    </row>
    <row r="15" spans="1:27">
      <c r="A15" s="430">
        <v>1.2</v>
      </c>
      <c r="B15" s="427" t="s">
        <v>863</v>
      </c>
      <c r="C15" s="1076">
        <v>1329062.542031623</v>
      </c>
      <c r="D15" s="1054">
        <v>1057936.3316265424</v>
      </c>
      <c r="E15" s="1054">
        <v>0.19265606432285487</v>
      </c>
      <c r="F15" s="1054">
        <v>0</v>
      </c>
      <c r="G15" s="1054">
        <v>0</v>
      </c>
      <c r="H15" s="1054">
        <v>6266.5490931509448</v>
      </c>
      <c r="I15" s="1054">
        <v>6266.5490931509448</v>
      </c>
      <c r="J15" s="1054">
        <v>0</v>
      </c>
      <c r="K15" s="1054">
        <v>0</v>
      </c>
      <c r="L15" s="1054">
        <v>264859.66131192952</v>
      </c>
      <c r="M15" s="1054">
        <v>0</v>
      </c>
      <c r="N15" s="1054">
        <v>0</v>
      </c>
      <c r="O15" s="1054">
        <v>158059.84472824165</v>
      </c>
      <c r="P15" s="1054">
        <v>0</v>
      </c>
      <c r="Q15" s="1054">
        <v>0</v>
      </c>
      <c r="R15" s="1054">
        <v>2081.0507854786501</v>
      </c>
      <c r="S15" s="1073">
        <v>0</v>
      </c>
      <c r="T15" s="368"/>
      <c r="U15" s="368"/>
      <c r="V15" s="368"/>
      <c r="W15" s="368"/>
      <c r="X15" s="368"/>
      <c r="Y15" s="368"/>
      <c r="Z15" s="368"/>
      <c r="AA15" s="429"/>
    </row>
    <row r="16" spans="1:27">
      <c r="A16" s="428">
        <v>1.3</v>
      </c>
      <c r="B16" s="427" t="s">
        <v>552</v>
      </c>
      <c r="C16" s="1077"/>
      <c r="D16" s="1078"/>
      <c r="E16" s="1078"/>
      <c r="F16" s="1078"/>
      <c r="G16" s="1078"/>
      <c r="H16" s="1078"/>
      <c r="I16" s="1078"/>
      <c r="J16" s="1078"/>
      <c r="K16" s="1078"/>
      <c r="L16" s="1078"/>
      <c r="M16" s="1078"/>
      <c r="N16" s="1078"/>
      <c r="O16" s="1078"/>
      <c r="P16" s="1078"/>
      <c r="Q16" s="1078"/>
      <c r="R16" s="1078"/>
      <c r="S16" s="1079"/>
      <c r="T16" s="426"/>
      <c r="U16" s="426"/>
      <c r="V16" s="426"/>
      <c r="W16" s="426"/>
      <c r="X16" s="426"/>
      <c r="Y16" s="426"/>
      <c r="Z16" s="426"/>
      <c r="AA16" s="425"/>
    </row>
    <row r="17" spans="1:27" s="410" customFormat="1" ht="25.5">
      <c r="A17" s="423" t="s">
        <v>553</v>
      </c>
      <c r="B17" s="424" t="s">
        <v>554</v>
      </c>
      <c r="C17" s="1080">
        <v>264699993.77623543</v>
      </c>
      <c r="D17" s="1055">
        <v>263333140.30512643</v>
      </c>
      <c r="E17" s="1055">
        <v>214260.49935900001</v>
      </c>
      <c r="F17" s="1055">
        <v>0</v>
      </c>
      <c r="G17" s="1055">
        <v>0</v>
      </c>
      <c r="H17" s="1055">
        <v>415097.28622399992</v>
      </c>
      <c r="I17" s="1055">
        <v>384574.11622399994</v>
      </c>
      <c r="J17" s="1055">
        <v>0</v>
      </c>
      <c r="K17" s="1055">
        <v>0</v>
      </c>
      <c r="L17" s="1055">
        <v>951756.18488499988</v>
      </c>
      <c r="M17" s="1055">
        <v>0</v>
      </c>
      <c r="N17" s="1055">
        <v>0</v>
      </c>
      <c r="O17" s="1055">
        <v>550204.21066199988</v>
      </c>
      <c r="P17" s="1055">
        <v>0</v>
      </c>
      <c r="Q17" s="1055">
        <v>0</v>
      </c>
      <c r="R17" s="1055">
        <v>4393.1400000000003</v>
      </c>
      <c r="S17" s="1081">
        <v>0</v>
      </c>
      <c r="T17" s="369"/>
      <c r="U17" s="369"/>
      <c r="V17" s="369"/>
      <c r="W17" s="369"/>
      <c r="X17" s="369"/>
      <c r="Y17" s="369"/>
      <c r="Z17" s="369"/>
      <c r="AA17" s="416"/>
    </row>
    <row r="18" spans="1:27" s="410" customFormat="1" ht="25.5">
      <c r="A18" s="420" t="s">
        <v>555</v>
      </c>
      <c r="B18" s="421" t="s">
        <v>556</v>
      </c>
      <c r="C18" s="1082">
        <v>112863284.49489577</v>
      </c>
      <c r="D18" s="1055">
        <v>111947377.52001077</v>
      </c>
      <c r="E18" s="1055">
        <v>214260.49935900001</v>
      </c>
      <c r="F18" s="1055">
        <v>0</v>
      </c>
      <c r="G18" s="1055">
        <v>0</v>
      </c>
      <c r="H18" s="1055">
        <v>30523.17</v>
      </c>
      <c r="I18" s="1055">
        <v>0</v>
      </c>
      <c r="J18" s="1055">
        <v>0</v>
      </c>
      <c r="K18" s="1055">
        <v>0</v>
      </c>
      <c r="L18" s="1055">
        <v>885383.80488499987</v>
      </c>
      <c r="M18" s="1055">
        <v>0</v>
      </c>
      <c r="N18" s="1055">
        <v>0</v>
      </c>
      <c r="O18" s="1055">
        <v>488224.97066199995</v>
      </c>
      <c r="P18" s="1055">
        <v>0</v>
      </c>
      <c r="Q18" s="1055">
        <v>0</v>
      </c>
      <c r="R18" s="1055">
        <v>0</v>
      </c>
      <c r="S18" s="1081">
        <v>0</v>
      </c>
      <c r="T18" s="369"/>
      <c r="U18" s="369"/>
      <c r="V18" s="369"/>
      <c r="W18" s="369"/>
      <c r="X18" s="369"/>
      <c r="Y18" s="369"/>
      <c r="Z18" s="369"/>
      <c r="AA18" s="416"/>
    </row>
    <row r="19" spans="1:27" s="410" customFormat="1">
      <c r="A19" s="423" t="s">
        <v>557</v>
      </c>
      <c r="B19" s="422" t="s">
        <v>558</v>
      </c>
      <c r="C19" s="1083">
        <v>241025433.26993629</v>
      </c>
      <c r="D19" s="1055">
        <v>238625245.92030093</v>
      </c>
      <c r="E19" s="1055">
        <v>547546.881930392</v>
      </c>
      <c r="F19" s="1055">
        <v>0</v>
      </c>
      <c r="G19" s="1055">
        <v>0</v>
      </c>
      <c r="H19" s="1055">
        <v>145018.60486770276</v>
      </c>
      <c r="I19" s="1055">
        <v>0</v>
      </c>
      <c r="J19" s="1055">
        <v>0</v>
      </c>
      <c r="K19" s="1055">
        <v>0</v>
      </c>
      <c r="L19" s="1055">
        <v>2255168.7447676356</v>
      </c>
      <c r="M19" s="1055">
        <v>0</v>
      </c>
      <c r="N19" s="1055">
        <v>0</v>
      </c>
      <c r="O19" s="1055">
        <v>1844796.5452056609</v>
      </c>
      <c r="P19" s="1055">
        <v>0</v>
      </c>
      <c r="Q19" s="1055">
        <v>0</v>
      </c>
      <c r="R19" s="1055">
        <v>0</v>
      </c>
      <c r="S19" s="1081">
        <v>0</v>
      </c>
      <c r="T19" s="369"/>
      <c r="U19" s="369"/>
      <c r="V19" s="369"/>
      <c r="W19" s="369"/>
      <c r="X19" s="369"/>
      <c r="Y19" s="369"/>
      <c r="Z19" s="369"/>
      <c r="AA19" s="416"/>
    </row>
    <row r="20" spans="1:27" s="410" customFormat="1">
      <c r="A20" s="420" t="s">
        <v>559</v>
      </c>
      <c r="B20" s="421" t="s">
        <v>560</v>
      </c>
      <c r="C20" s="1082">
        <v>133061727.79611449</v>
      </c>
      <c r="D20" s="1055">
        <v>131099183.84714115</v>
      </c>
      <c r="E20" s="1055">
        <v>246546.28246360709</v>
      </c>
      <c r="F20" s="1055">
        <v>0</v>
      </c>
      <c r="G20" s="1055">
        <v>0</v>
      </c>
      <c r="H20" s="1055">
        <v>114495.43486770276</v>
      </c>
      <c r="I20" s="1055">
        <v>0</v>
      </c>
      <c r="J20" s="1055">
        <v>0</v>
      </c>
      <c r="K20" s="1055">
        <v>0</v>
      </c>
      <c r="L20" s="1055">
        <v>1848048.5141056355</v>
      </c>
      <c r="M20" s="1055">
        <v>0</v>
      </c>
      <c r="N20" s="1055">
        <v>0</v>
      </c>
      <c r="O20" s="1055">
        <v>1437676.314543661</v>
      </c>
      <c r="P20" s="1055">
        <v>0</v>
      </c>
      <c r="Q20" s="1055">
        <v>0</v>
      </c>
      <c r="R20" s="1055">
        <v>0</v>
      </c>
      <c r="S20" s="1081">
        <v>0</v>
      </c>
      <c r="T20" s="369"/>
      <c r="U20" s="369"/>
      <c r="V20" s="369"/>
      <c r="W20" s="369"/>
      <c r="X20" s="369"/>
      <c r="Y20" s="369"/>
      <c r="Z20" s="369"/>
      <c r="AA20" s="416"/>
    </row>
    <row r="21" spans="1:27" s="410" customFormat="1">
      <c r="A21" s="419">
        <v>1.4</v>
      </c>
      <c r="B21" s="418" t="s">
        <v>649</v>
      </c>
      <c r="C21" s="417"/>
      <c r="D21" s="369"/>
      <c r="E21" s="369"/>
      <c r="F21" s="369"/>
      <c r="G21" s="369"/>
      <c r="H21" s="369"/>
      <c r="I21" s="369"/>
      <c r="J21" s="369"/>
      <c r="K21" s="369"/>
      <c r="L21" s="369"/>
      <c r="M21" s="369"/>
      <c r="N21" s="369"/>
      <c r="O21" s="369"/>
      <c r="P21" s="369"/>
      <c r="Q21" s="369"/>
      <c r="R21" s="369"/>
      <c r="S21" s="416"/>
      <c r="T21" s="369"/>
      <c r="U21" s="369"/>
      <c r="V21" s="369"/>
      <c r="W21" s="369"/>
      <c r="X21" s="369"/>
      <c r="Y21" s="369"/>
      <c r="Z21" s="369"/>
      <c r="AA21" s="416"/>
    </row>
    <row r="22" spans="1:27" s="410" customFormat="1" ht="13.5" thickBot="1">
      <c r="A22" s="415">
        <v>1.5</v>
      </c>
      <c r="B22" s="414" t="s">
        <v>650</v>
      </c>
      <c r="C22" s="413"/>
      <c r="D22" s="412"/>
      <c r="E22" s="412"/>
      <c r="F22" s="412"/>
      <c r="G22" s="412"/>
      <c r="H22" s="412"/>
      <c r="I22" s="412"/>
      <c r="J22" s="412"/>
      <c r="K22" s="412"/>
      <c r="L22" s="412"/>
      <c r="M22" s="412"/>
      <c r="N22" s="412"/>
      <c r="O22" s="412"/>
      <c r="P22" s="412"/>
      <c r="Q22" s="412"/>
      <c r="R22" s="412"/>
      <c r="S22" s="411"/>
      <c r="T22" s="412"/>
      <c r="U22" s="412"/>
      <c r="V22" s="412"/>
      <c r="W22" s="412"/>
      <c r="X22" s="412"/>
      <c r="Y22" s="412"/>
      <c r="Z22" s="412"/>
      <c r="AA22" s="411"/>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69"/>
  <sheetViews>
    <sheetView showGridLines="0" zoomScale="80" zoomScaleNormal="80" workbookViewId="0">
      <selection activeCell="B4" sqref="B4:B5"/>
    </sheetView>
  </sheetViews>
  <sheetFormatPr defaultRowHeight="15"/>
  <cols>
    <col min="1" max="1" width="8.85546875" style="353"/>
    <col min="2" max="2" width="69.140625" style="341" customWidth="1"/>
    <col min="3" max="3" width="13.5703125" customWidth="1"/>
    <col min="4" max="4" width="14.42578125" customWidth="1"/>
    <col min="5" max="8" width="13.140625" customWidth="1"/>
  </cols>
  <sheetData>
    <row r="1" spans="1:8" ht="15.75">
      <c r="A1" s="17" t="s">
        <v>97</v>
      </c>
      <c r="B1" s="783" t="str">
        <f>Info!C2</f>
        <v>სს იშბანკი საქართველო</v>
      </c>
      <c r="C1" s="16"/>
      <c r="D1" s="183"/>
      <c r="E1" s="183"/>
      <c r="F1" s="183"/>
      <c r="G1" s="183"/>
    </row>
    <row r="2" spans="1:8" ht="15.75">
      <c r="A2" s="17" t="s">
        <v>98</v>
      </c>
      <c r="B2" s="784">
        <f>'1. key ratios'!B2</f>
        <v>45747</v>
      </c>
      <c r="C2" s="28"/>
      <c r="D2" s="18"/>
      <c r="E2" s="18"/>
      <c r="F2" s="18"/>
      <c r="G2" s="18"/>
      <c r="H2" s="1"/>
    </row>
    <row r="3" spans="1:8" ht="16.5" thickBot="1">
      <c r="A3" s="17"/>
      <c r="B3" s="16"/>
      <c r="C3" s="28"/>
      <c r="D3" s="18"/>
      <c r="E3" s="18"/>
      <c r="F3" s="18"/>
      <c r="G3" s="18"/>
      <c r="H3" s="1"/>
    </row>
    <row r="4" spans="1:8" ht="21" customHeight="1">
      <c r="A4" s="850" t="s">
        <v>25</v>
      </c>
      <c r="B4" s="851" t="s">
        <v>697</v>
      </c>
      <c r="C4" s="609" t="s">
        <v>103</v>
      </c>
      <c r="D4" s="609"/>
      <c r="E4" s="609"/>
      <c r="F4" s="609" t="s">
        <v>104</v>
      </c>
      <c r="G4" s="609"/>
      <c r="H4" s="610"/>
    </row>
    <row r="5" spans="1:8" ht="21" customHeight="1">
      <c r="A5" s="852"/>
      <c r="B5" s="608"/>
      <c r="C5" s="853" t="s">
        <v>26</v>
      </c>
      <c r="D5" s="853" t="s">
        <v>77</v>
      </c>
      <c r="E5" s="853" t="s">
        <v>66</v>
      </c>
      <c r="F5" s="853" t="s">
        <v>26</v>
      </c>
      <c r="G5" s="853" t="s">
        <v>77</v>
      </c>
      <c r="H5" s="854" t="s">
        <v>66</v>
      </c>
    </row>
    <row r="6" spans="1:8" ht="26.45" customHeight="1">
      <c r="A6" s="852"/>
      <c r="B6" s="855" t="s">
        <v>84</v>
      </c>
      <c r="C6" s="856"/>
      <c r="D6" s="857"/>
      <c r="E6" s="857"/>
      <c r="F6" s="857"/>
      <c r="G6" s="857"/>
      <c r="H6" s="858"/>
    </row>
    <row r="7" spans="1:8" ht="23.1" customHeight="1">
      <c r="A7" s="859">
        <v>1</v>
      </c>
      <c r="B7" s="860" t="s">
        <v>811</v>
      </c>
      <c r="C7" s="829">
        <f>SUM(C8:C10)</f>
        <v>17267181.871416401</v>
      </c>
      <c r="D7" s="830">
        <f>SUM(D8:D10)</f>
        <v>68982678.887909532</v>
      </c>
      <c r="E7" s="831">
        <f>C7+D7</f>
        <v>86249860.759325936</v>
      </c>
      <c r="F7" s="832">
        <f>SUM(F8:F10)</f>
        <v>15096870.609973766</v>
      </c>
      <c r="G7" s="830">
        <f>SUM(G8:G10)</f>
        <v>88842572.207100675</v>
      </c>
      <c r="H7" s="833">
        <f>F7+G7</f>
        <v>103939442.81707445</v>
      </c>
    </row>
    <row r="8" spans="1:8">
      <c r="A8" s="859">
        <v>1.1000000000000001</v>
      </c>
      <c r="B8" s="861" t="s">
        <v>85</v>
      </c>
      <c r="C8" s="834">
        <v>232708</v>
      </c>
      <c r="D8" s="835">
        <v>586065.49450000003</v>
      </c>
      <c r="E8" s="831">
        <f t="shared" ref="E8:E36" si="0">C8+D8</f>
        <v>818773.49450000003</v>
      </c>
      <c r="F8" s="836">
        <v>331930.2</v>
      </c>
      <c r="G8" s="835">
        <v>1340503.7000000002</v>
      </c>
      <c r="H8" s="833">
        <f t="shared" ref="H8:H36" si="1">F8+G8</f>
        <v>1672433.9000000001</v>
      </c>
    </row>
    <row r="9" spans="1:8">
      <c r="A9" s="859">
        <v>1.2</v>
      </c>
      <c r="B9" s="861" t="s">
        <v>86</v>
      </c>
      <c r="C9" s="834">
        <v>2075995.6894999896</v>
      </c>
      <c r="D9" s="835">
        <v>49992105.805319786</v>
      </c>
      <c r="E9" s="831">
        <f t="shared" si="0"/>
        <v>52068101.494819775</v>
      </c>
      <c r="F9" s="836">
        <v>6792211.448266943</v>
      </c>
      <c r="G9" s="835">
        <v>36018348.17104923</v>
      </c>
      <c r="H9" s="833">
        <f t="shared" si="1"/>
        <v>42810559.619316176</v>
      </c>
    </row>
    <row r="10" spans="1:8">
      <c r="A10" s="859">
        <v>1.3</v>
      </c>
      <c r="B10" s="861" t="s">
        <v>87</v>
      </c>
      <c r="C10" s="834">
        <v>14958478.18191641</v>
      </c>
      <c r="D10" s="835">
        <v>18404507.588089749</v>
      </c>
      <c r="E10" s="831">
        <f t="shared" si="0"/>
        <v>33362985.770006157</v>
      </c>
      <c r="F10" s="836">
        <v>7972728.9617068227</v>
      </c>
      <c r="G10" s="835">
        <v>51483720.336051442</v>
      </c>
      <c r="H10" s="833">
        <f t="shared" si="1"/>
        <v>59456449.297758266</v>
      </c>
    </row>
    <row r="11" spans="1:8">
      <c r="A11" s="859">
        <v>2</v>
      </c>
      <c r="B11" s="862" t="s">
        <v>698</v>
      </c>
      <c r="C11" s="834"/>
      <c r="D11" s="835"/>
      <c r="E11" s="831">
        <f t="shared" si="0"/>
        <v>0</v>
      </c>
      <c r="F11" s="836"/>
      <c r="G11" s="835"/>
      <c r="H11" s="833">
        <f t="shared" si="1"/>
        <v>0</v>
      </c>
    </row>
    <row r="12" spans="1:8">
      <c r="A12" s="859">
        <v>2.1</v>
      </c>
      <c r="B12" s="863" t="s">
        <v>699</v>
      </c>
      <c r="C12" s="834"/>
      <c r="D12" s="835"/>
      <c r="E12" s="831">
        <f t="shared" si="0"/>
        <v>0</v>
      </c>
      <c r="F12" s="836"/>
      <c r="G12" s="835"/>
      <c r="H12" s="833">
        <f t="shared" si="1"/>
        <v>0</v>
      </c>
    </row>
    <row r="13" spans="1:8" ht="26.45" customHeight="1">
      <c r="A13" s="859">
        <v>3</v>
      </c>
      <c r="B13" s="328" t="s">
        <v>700</v>
      </c>
      <c r="C13" s="834"/>
      <c r="D13" s="835"/>
      <c r="E13" s="831">
        <f t="shared" si="0"/>
        <v>0</v>
      </c>
      <c r="F13" s="836"/>
      <c r="G13" s="835"/>
      <c r="H13" s="833">
        <f t="shared" si="1"/>
        <v>0</v>
      </c>
    </row>
    <row r="14" spans="1:8" ht="26.45" customHeight="1">
      <c r="A14" s="859">
        <v>4</v>
      </c>
      <c r="B14" s="329" t="s">
        <v>701</v>
      </c>
      <c r="C14" s="834"/>
      <c r="D14" s="835"/>
      <c r="E14" s="831">
        <f t="shared" si="0"/>
        <v>0</v>
      </c>
      <c r="F14" s="836"/>
      <c r="G14" s="835"/>
      <c r="H14" s="833">
        <f t="shared" si="1"/>
        <v>0</v>
      </c>
    </row>
    <row r="15" spans="1:8" ht="24.6" customHeight="1">
      <c r="A15" s="859">
        <v>5</v>
      </c>
      <c r="B15" s="329" t="s">
        <v>702</v>
      </c>
      <c r="C15" s="837">
        <f>SUM(C16:C18)</f>
        <v>0</v>
      </c>
      <c r="D15" s="838">
        <f>SUM(D16:D18)</f>
        <v>0</v>
      </c>
      <c r="E15" s="839">
        <f t="shared" si="0"/>
        <v>0</v>
      </c>
      <c r="F15" s="840">
        <f>SUM(F16:F18)</f>
        <v>0</v>
      </c>
      <c r="G15" s="838">
        <f>SUM(G16:G18)</f>
        <v>0</v>
      </c>
      <c r="H15" s="841">
        <f t="shared" si="1"/>
        <v>0</v>
      </c>
    </row>
    <row r="16" spans="1:8">
      <c r="A16" s="859">
        <v>5.0999999999999996</v>
      </c>
      <c r="B16" s="330" t="s">
        <v>703</v>
      </c>
      <c r="C16" s="834"/>
      <c r="D16" s="835"/>
      <c r="E16" s="831">
        <f t="shared" si="0"/>
        <v>0</v>
      </c>
      <c r="F16" s="836"/>
      <c r="G16" s="835"/>
      <c r="H16" s="833">
        <f t="shared" si="1"/>
        <v>0</v>
      </c>
    </row>
    <row r="17" spans="1:8">
      <c r="A17" s="859">
        <v>5.2</v>
      </c>
      <c r="B17" s="330" t="s">
        <v>538</v>
      </c>
      <c r="C17" s="834"/>
      <c r="D17" s="835"/>
      <c r="E17" s="831">
        <f t="shared" si="0"/>
        <v>0</v>
      </c>
      <c r="F17" s="836"/>
      <c r="G17" s="835"/>
      <c r="H17" s="833">
        <f t="shared" si="1"/>
        <v>0</v>
      </c>
    </row>
    <row r="18" spans="1:8">
      <c r="A18" s="859">
        <v>5.3</v>
      </c>
      <c r="B18" s="330" t="s">
        <v>704</v>
      </c>
      <c r="C18" s="834"/>
      <c r="D18" s="835"/>
      <c r="E18" s="831">
        <f t="shared" si="0"/>
        <v>0</v>
      </c>
      <c r="F18" s="836"/>
      <c r="G18" s="835"/>
      <c r="H18" s="833">
        <f t="shared" si="1"/>
        <v>0</v>
      </c>
    </row>
    <row r="19" spans="1:8">
      <c r="A19" s="859">
        <v>6</v>
      </c>
      <c r="B19" s="328" t="s">
        <v>705</v>
      </c>
      <c r="C19" s="829">
        <f>SUM(C20:C21)</f>
        <v>192016368.6376045</v>
      </c>
      <c r="D19" s="830">
        <f>SUM(D20:D21)</f>
        <v>175931590.82940477</v>
      </c>
      <c r="E19" s="831">
        <f t="shared" si="0"/>
        <v>367947959.46700931</v>
      </c>
      <c r="F19" s="832">
        <f>SUM(F20:F21)</f>
        <v>183928331.25064701</v>
      </c>
      <c r="G19" s="830">
        <f>SUM(G20:G21)</f>
        <v>184021556.2461189</v>
      </c>
      <c r="H19" s="833">
        <f t="shared" si="1"/>
        <v>367949887.49676591</v>
      </c>
    </row>
    <row r="20" spans="1:8">
      <c r="A20" s="859">
        <v>6.1</v>
      </c>
      <c r="B20" s="330" t="s">
        <v>538</v>
      </c>
      <c r="C20" s="834">
        <v>39022903.32658226</v>
      </c>
      <c r="D20" s="835">
        <v>8384537.7215577401</v>
      </c>
      <c r="E20" s="831">
        <f t="shared" si="0"/>
        <v>47407441.048140004</v>
      </c>
      <c r="F20" s="836">
        <v>54112148.062416919</v>
      </c>
      <c r="G20" s="835">
        <v>17556942.338129774</v>
      </c>
      <c r="H20" s="833">
        <f t="shared" si="1"/>
        <v>71669090.4005467</v>
      </c>
    </row>
    <row r="21" spans="1:8">
      <c r="A21" s="859">
        <v>6.2</v>
      </c>
      <c r="B21" s="330" t="s">
        <v>704</v>
      </c>
      <c r="C21" s="834">
        <v>152993465.31102225</v>
      </c>
      <c r="D21" s="835">
        <v>167547053.10784703</v>
      </c>
      <c r="E21" s="831">
        <f t="shared" si="0"/>
        <v>320540518.41886926</v>
      </c>
      <c r="F21" s="836">
        <v>129816183.1882301</v>
      </c>
      <c r="G21" s="835">
        <v>166464613.90798914</v>
      </c>
      <c r="H21" s="833">
        <f t="shared" si="1"/>
        <v>296280797.09621924</v>
      </c>
    </row>
    <row r="22" spans="1:8">
      <c r="A22" s="859">
        <v>7</v>
      </c>
      <c r="B22" s="331" t="s">
        <v>706</v>
      </c>
      <c r="C22" s="834"/>
      <c r="D22" s="835"/>
      <c r="E22" s="831">
        <f t="shared" si="0"/>
        <v>0</v>
      </c>
      <c r="F22" s="836"/>
      <c r="G22" s="835"/>
      <c r="H22" s="833">
        <f t="shared" si="1"/>
        <v>0</v>
      </c>
    </row>
    <row r="23" spans="1:8" ht="21">
      <c r="A23" s="859">
        <v>8</v>
      </c>
      <c r="B23" s="332" t="s">
        <v>707</v>
      </c>
      <c r="C23" s="834"/>
      <c r="D23" s="835"/>
      <c r="E23" s="831">
        <f t="shared" si="0"/>
        <v>0</v>
      </c>
      <c r="F23" s="836"/>
      <c r="G23" s="835"/>
      <c r="H23" s="833">
        <f t="shared" si="1"/>
        <v>0</v>
      </c>
    </row>
    <row r="24" spans="1:8">
      <c r="A24" s="859">
        <v>9</v>
      </c>
      <c r="B24" s="329" t="s">
        <v>708</v>
      </c>
      <c r="C24" s="829">
        <f>SUM(C25:C26)</f>
        <v>6517159.959999999</v>
      </c>
      <c r="D24" s="830">
        <f>SUM(D25:D26)</f>
        <v>0</v>
      </c>
      <c r="E24" s="831">
        <f t="shared" si="0"/>
        <v>6517159.959999999</v>
      </c>
      <c r="F24" s="832">
        <f>SUM(F25:F26)</f>
        <v>7540987.9099999983</v>
      </c>
      <c r="G24" s="830">
        <f>SUM(G25:G26)</f>
        <v>0</v>
      </c>
      <c r="H24" s="833">
        <f t="shared" si="1"/>
        <v>7540987.9099999983</v>
      </c>
    </row>
    <row r="25" spans="1:8">
      <c r="A25" s="859">
        <v>9.1</v>
      </c>
      <c r="B25" s="333" t="s">
        <v>709</v>
      </c>
      <c r="C25" s="834">
        <v>6517159.959999999</v>
      </c>
      <c r="D25" s="835"/>
      <c r="E25" s="831">
        <f t="shared" si="0"/>
        <v>6517159.959999999</v>
      </c>
      <c r="F25" s="836">
        <v>7540987.9099999983</v>
      </c>
      <c r="G25" s="835"/>
      <c r="H25" s="833">
        <f t="shared" si="1"/>
        <v>7540987.9099999983</v>
      </c>
    </row>
    <row r="26" spans="1:8">
      <c r="A26" s="859">
        <v>9.1999999999999993</v>
      </c>
      <c r="B26" s="333" t="s">
        <v>710</v>
      </c>
      <c r="C26" s="834"/>
      <c r="D26" s="835"/>
      <c r="E26" s="831">
        <f t="shared" si="0"/>
        <v>0</v>
      </c>
      <c r="F26" s="836"/>
      <c r="G26" s="835"/>
      <c r="H26" s="833">
        <f t="shared" si="1"/>
        <v>0</v>
      </c>
    </row>
    <row r="27" spans="1:8">
      <c r="A27" s="859">
        <v>10</v>
      </c>
      <c r="B27" s="329" t="s">
        <v>36</v>
      </c>
      <c r="C27" s="829">
        <f>SUM(C28:C29)</f>
        <v>2674939.83</v>
      </c>
      <c r="D27" s="830">
        <f>SUM(D28:D29)</f>
        <v>0</v>
      </c>
      <c r="E27" s="831">
        <f t="shared" si="0"/>
        <v>2674939.83</v>
      </c>
      <c r="F27" s="832">
        <f>SUM(F28:F29)</f>
        <v>154882.46323972591</v>
      </c>
      <c r="G27" s="830">
        <f>SUM(G28:G29)</f>
        <v>0</v>
      </c>
      <c r="H27" s="833">
        <f t="shared" si="1"/>
        <v>154882.46323972591</v>
      </c>
    </row>
    <row r="28" spans="1:8">
      <c r="A28" s="859">
        <v>10.1</v>
      </c>
      <c r="B28" s="333" t="s">
        <v>711</v>
      </c>
      <c r="C28" s="834"/>
      <c r="D28" s="835"/>
      <c r="E28" s="831">
        <f t="shared" si="0"/>
        <v>0</v>
      </c>
      <c r="F28" s="836"/>
      <c r="G28" s="835"/>
      <c r="H28" s="833">
        <f t="shared" si="1"/>
        <v>0</v>
      </c>
    </row>
    <row r="29" spans="1:8">
      <c r="A29" s="859">
        <v>10.199999999999999</v>
      </c>
      <c r="B29" s="333" t="s">
        <v>712</v>
      </c>
      <c r="C29" s="834">
        <v>2674939.83</v>
      </c>
      <c r="D29" s="835"/>
      <c r="E29" s="831">
        <f t="shared" si="0"/>
        <v>2674939.83</v>
      </c>
      <c r="F29" s="836">
        <v>154882.46323972591</v>
      </c>
      <c r="G29" s="835"/>
      <c r="H29" s="833">
        <f t="shared" si="1"/>
        <v>154882.46323972591</v>
      </c>
    </row>
    <row r="30" spans="1:8">
      <c r="A30" s="859">
        <v>11</v>
      </c>
      <c r="B30" s="329" t="s">
        <v>713</v>
      </c>
      <c r="C30" s="829">
        <f>SUM(C31:C32)</f>
        <v>3805017.28</v>
      </c>
      <c r="D30" s="830">
        <f>SUM(D31:D32)</f>
        <v>0</v>
      </c>
      <c r="E30" s="831">
        <f t="shared" si="0"/>
        <v>3805017.28</v>
      </c>
      <c r="F30" s="832">
        <f>SUM(F31:F32)</f>
        <v>1748881.72</v>
      </c>
      <c r="G30" s="830">
        <f>SUM(G31:G32)</f>
        <v>0</v>
      </c>
      <c r="H30" s="833">
        <f t="shared" si="1"/>
        <v>1748881.72</v>
      </c>
    </row>
    <row r="31" spans="1:8">
      <c r="A31" s="859">
        <v>11.1</v>
      </c>
      <c r="B31" s="333" t="s">
        <v>714</v>
      </c>
      <c r="C31" s="834">
        <v>3805017.28</v>
      </c>
      <c r="D31" s="835"/>
      <c r="E31" s="831">
        <f t="shared" si="0"/>
        <v>3805017.28</v>
      </c>
      <c r="F31" s="836">
        <v>1748881.72</v>
      </c>
      <c r="G31" s="835"/>
      <c r="H31" s="833">
        <f t="shared" si="1"/>
        <v>1748881.72</v>
      </c>
    </row>
    <row r="32" spans="1:8">
      <c r="A32" s="859">
        <v>11.2</v>
      </c>
      <c r="B32" s="333" t="s">
        <v>715</v>
      </c>
      <c r="C32" s="834"/>
      <c r="D32" s="835"/>
      <c r="E32" s="831">
        <f t="shared" si="0"/>
        <v>0</v>
      </c>
      <c r="F32" s="836"/>
      <c r="G32" s="835"/>
      <c r="H32" s="833">
        <f t="shared" si="1"/>
        <v>0</v>
      </c>
    </row>
    <row r="33" spans="1:8">
      <c r="A33" s="859">
        <v>13</v>
      </c>
      <c r="B33" s="329" t="s">
        <v>88</v>
      </c>
      <c r="C33" s="829">
        <v>3673353.71</v>
      </c>
      <c r="D33" s="830">
        <v>811692.96678600018</v>
      </c>
      <c r="E33" s="831">
        <f t="shared" si="0"/>
        <v>4485046.6767859999</v>
      </c>
      <c r="F33" s="832">
        <v>3230901.64</v>
      </c>
      <c r="G33" s="830">
        <v>169296.99000000002</v>
      </c>
      <c r="H33" s="833">
        <f t="shared" si="1"/>
        <v>3400198.6300000004</v>
      </c>
    </row>
    <row r="34" spans="1:8">
      <c r="A34" s="859">
        <v>13.1</v>
      </c>
      <c r="B34" s="864" t="s">
        <v>716</v>
      </c>
      <c r="C34" s="834">
        <v>1349093.18</v>
      </c>
      <c r="D34" s="835"/>
      <c r="E34" s="831">
        <f t="shared" si="0"/>
        <v>1349093.18</v>
      </c>
      <c r="F34" s="836">
        <v>1349093.18</v>
      </c>
      <c r="G34" s="835"/>
      <c r="H34" s="833">
        <f t="shared" si="1"/>
        <v>1349093.18</v>
      </c>
    </row>
    <row r="35" spans="1:8">
      <c r="A35" s="859">
        <v>13.2</v>
      </c>
      <c r="B35" s="864" t="s">
        <v>717</v>
      </c>
      <c r="C35" s="834"/>
      <c r="D35" s="835"/>
      <c r="E35" s="831">
        <f t="shared" si="0"/>
        <v>0</v>
      </c>
      <c r="F35" s="836"/>
      <c r="G35" s="835"/>
      <c r="H35" s="833">
        <f t="shared" si="1"/>
        <v>0</v>
      </c>
    </row>
    <row r="36" spans="1:8">
      <c r="A36" s="859">
        <v>14</v>
      </c>
      <c r="B36" s="550" t="s">
        <v>718</v>
      </c>
      <c r="C36" s="829">
        <f>SUM(C7,C11,C13,C14,C15,C19,C22,C23,C24,C27,C30,C33)</f>
        <v>225954021.28902093</v>
      </c>
      <c r="D36" s="830">
        <f>SUM(D7,D11,D13,D14,D15,D19,D22,D23,D24,D27,D30,D33)</f>
        <v>245725962.6841003</v>
      </c>
      <c r="E36" s="831">
        <f t="shared" si="0"/>
        <v>471679983.97312123</v>
      </c>
      <c r="F36" s="832">
        <f>SUM(F7,F11,F13,F14,F15,F19,F22,F23,F24,F27,F30,F33)</f>
        <v>211700855.59386048</v>
      </c>
      <c r="G36" s="830">
        <f>SUM(G7,G11,G13,G14,G15,G19,G22,G23,G24,G27,G30,G33)</f>
        <v>273033425.4432196</v>
      </c>
      <c r="H36" s="833">
        <f t="shared" si="1"/>
        <v>484734281.03708005</v>
      </c>
    </row>
    <row r="37" spans="1:8" ht="22.5" customHeight="1">
      <c r="A37" s="859"/>
      <c r="B37" s="865" t="s">
        <v>93</v>
      </c>
      <c r="C37" s="842"/>
      <c r="D37" s="843"/>
      <c r="E37" s="843"/>
      <c r="F37" s="843"/>
      <c r="G37" s="843"/>
      <c r="H37" s="844"/>
    </row>
    <row r="38" spans="1:8">
      <c r="A38" s="859">
        <v>15</v>
      </c>
      <c r="B38" s="335" t="s">
        <v>719</v>
      </c>
      <c r="C38" s="834"/>
      <c r="D38" s="835"/>
      <c r="E38" s="831">
        <f>C38+D38</f>
        <v>0</v>
      </c>
      <c r="F38" s="836"/>
      <c r="G38" s="835"/>
      <c r="H38" s="833">
        <f>F38+G38</f>
        <v>0</v>
      </c>
    </row>
    <row r="39" spans="1:8">
      <c r="A39" s="859">
        <v>15.1</v>
      </c>
      <c r="B39" s="863" t="s">
        <v>699</v>
      </c>
      <c r="C39" s="834"/>
      <c r="D39" s="835"/>
      <c r="E39" s="831">
        <f t="shared" ref="E39:E53" si="2">C39+D39</f>
        <v>0</v>
      </c>
      <c r="F39" s="836"/>
      <c r="G39" s="835"/>
      <c r="H39" s="833">
        <f t="shared" ref="H39:H53" si="3">F39+G39</f>
        <v>0</v>
      </c>
    </row>
    <row r="40" spans="1:8" ht="24" customHeight="1">
      <c r="A40" s="859">
        <v>16</v>
      </c>
      <c r="B40" s="331" t="s">
        <v>720</v>
      </c>
      <c r="C40" s="834"/>
      <c r="D40" s="835"/>
      <c r="E40" s="831">
        <f t="shared" si="2"/>
        <v>0</v>
      </c>
      <c r="F40" s="836"/>
      <c r="G40" s="835"/>
      <c r="H40" s="833">
        <f t="shared" si="3"/>
        <v>0</v>
      </c>
    </row>
    <row r="41" spans="1:8" ht="21">
      <c r="A41" s="859">
        <v>17</v>
      </c>
      <c r="B41" s="331" t="s">
        <v>721</v>
      </c>
      <c r="C41" s="829">
        <f>SUM(C42:C45)</f>
        <v>71403620.705199972</v>
      </c>
      <c r="D41" s="830">
        <f>SUM(D42:D45)</f>
        <v>243849474.18231046</v>
      </c>
      <c r="E41" s="831">
        <f t="shared" si="2"/>
        <v>315253094.88751042</v>
      </c>
      <c r="F41" s="832">
        <f>SUM(F42:F45)</f>
        <v>67703969.709999993</v>
      </c>
      <c r="G41" s="830">
        <f>SUM(G42:G45)</f>
        <v>273970686.19</v>
      </c>
      <c r="H41" s="833">
        <f t="shared" si="3"/>
        <v>341674655.89999998</v>
      </c>
    </row>
    <row r="42" spans="1:8">
      <c r="A42" s="859">
        <v>17.100000000000001</v>
      </c>
      <c r="B42" s="336" t="s">
        <v>722</v>
      </c>
      <c r="C42" s="834">
        <v>54383826.185199969</v>
      </c>
      <c r="D42" s="835">
        <v>170517385.85834306</v>
      </c>
      <c r="E42" s="831">
        <f t="shared" si="2"/>
        <v>224901212.04354304</v>
      </c>
      <c r="F42" s="836">
        <v>52690197.579999998</v>
      </c>
      <c r="G42" s="835">
        <v>232149983.23000002</v>
      </c>
      <c r="H42" s="833">
        <f t="shared" si="3"/>
        <v>284840180.81</v>
      </c>
    </row>
    <row r="43" spans="1:8">
      <c r="A43" s="859">
        <v>17.2</v>
      </c>
      <c r="B43" s="861" t="s">
        <v>89</v>
      </c>
      <c r="C43" s="834">
        <v>17019794.52</v>
      </c>
      <c r="D43" s="835">
        <v>69203768.998964399</v>
      </c>
      <c r="E43" s="831">
        <f t="shared" si="2"/>
        <v>86223563.518964395</v>
      </c>
      <c r="F43" s="836">
        <v>15013772.130000001</v>
      </c>
      <c r="G43" s="835">
        <v>37234027.130000003</v>
      </c>
      <c r="H43" s="833">
        <f t="shared" si="3"/>
        <v>52247799.260000005</v>
      </c>
    </row>
    <row r="44" spans="1:8">
      <c r="A44" s="859">
        <v>17.3</v>
      </c>
      <c r="B44" s="336" t="s">
        <v>723</v>
      </c>
      <c r="C44" s="834"/>
      <c r="D44" s="835"/>
      <c r="E44" s="831">
        <f t="shared" si="2"/>
        <v>0</v>
      </c>
      <c r="F44" s="836"/>
      <c r="G44" s="835"/>
      <c r="H44" s="833">
        <f t="shared" si="3"/>
        <v>0</v>
      </c>
    </row>
    <row r="45" spans="1:8">
      <c r="A45" s="859">
        <v>17.399999999999999</v>
      </c>
      <c r="B45" s="336" t="s">
        <v>724</v>
      </c>
      <c r="C45" s="834"/>
      <c r="D45" s="835">
        <v>4128319.325003</v>
      </c>
      <c r="E45" s="831">
        <f t="shared" si="2"/>
        <v>4128319.325003</v>
      </c>
      <c r="F45" s="836"/>
      <c r="G45" s="835">
        <v>4586675.83</v>
      </c>
      <c r="H45" s="833">
        <f t="shared" si="3"/>
        <v>4586675.83</v>
      </c>
    </row>
    <row r="46" spans="1:8">
      <c r="A46" s="859">
        <v>18</v>
      </c>
      <c r="B46" s="337" t="s">
        <v>725</v>
      </c>
      <c r="C46" s="829">
        <v>144147.21958041983</v>
      </c>
      <c r="D46" s="830">
        <v>248028.24519640062</v>
      </c>
      <c r="E46" s="831">
        <f t="shared" si="2"/>
        <v>392175.46477682044</v>
      </c>
      <c r="F46" s="832">
        <v>157528.99093532754</v>
      </c>
      <c r="G46" s="830">
        <v>264935.72780285985</v>
      </c>
      <c r="H46" s="833">
        <f t="shared" si="3"/>
        <v>422464.7187381874</v>
      </c>
    </row>
    <row r="47" spans="1:8">
      <c r="A47" s="859">
        <v>19</v>
      </c>
      <c r="B47" s="337" t="s">
        <v>726</v>
      </c>
      <c r="C47" s="829">
        <f>SUM(C48:C49)</f>
        <v>906494.23622952309</v>
      </c>
      <c r="D47" s="830">
        <f>SUM(D48:D49)</f>
        <v>0</v>
      </c>
      <c r="E47" s="831">
        <f t="shared" si="2"/>
        <v>906494.23622952309</v>
      </c>
      <c r="F47" s="832">
        <f>SUM(F48:F49)</f>
        <v>943503</v>
      </c>
      <c r="G47" s="830">
        <f>SUM(G48:G49)</f>
        <v>0</v>
      </c>
      <c r="H47" s="833">
        <f t="shared" si="3"/>
        <v>943503</v>
      </c>
    </row>
    <row r="48" spans="1:8">
      <c r="A48" s="859">
        <v>19.100000000000001</v>
      </c>
      <c r="B48" s="338" t="s">
        <v>727</v>
      </c>
      <c r="C48" s="834">
        <v>906494.23622952309</v>
      </c>
      <c r="D48" s="835"/>
      <c r="E48" s="831">
        <f t="shared" si="2"/>
        <v>906494.23622952309</v>
      </c>
      <c r="F48" s="836">
        <v>943503</v>
      </c>
      <c r="G48" s="835"/>
      <c r="H48" s="833">
        <f t="shared" si="3"/>
        <v>943503</v>
      </c>
    </row>
    <row r="49" spans="1:8">
      <c r="A49" s="859">
        <v>19.2</v>
      </c>
      <c r="B49" s="339" t="s">
        <v>728</v>
      </c>
      <c r="C49" s="834"/>
      <c r="D49" s="835"/>
      <c r="E49" s="831">
        <f t="shared" si="2"/>
        <v>0</v>
      </c>
      <c r="F49" s="836"/>
      <c r="G49" s="835"/>
      <c r="H49" s="833">
        <f t="shared" si="3"/>
        <v>0</v>
      </c>
    </row>
    <row r="50" spans="1:8">
      <c r="A50" s="859">
        <v>20</v>
      </c>
      <c r="B50" s="550" t="s">
        <v>90</v>
      </c>
      <c r="C50" s="834"/>
      <c r="D50" s="835"/>
      <c r="E50" s="831">
        <f t="shared" si="2"/>
        <v>0</v>
      </c>
      <c r="F50" s="836"/>
      <c r="G50" s="835"/>
      <c r="H50" s="833">
        <f t="shared" si="3"/>
        <v>0</v>
      </c>
    </row>
    <row r="51" spans="1:8">
      <c r="A51" s="859">
        <v>21</v>
      </c>
      <c r="B51" s="862" t="s">
        <v>78</v>
      </c>
      <c r="C51" s="829">
        <v>2670845.3534419383</v>
      </c>
      <c r="D51" s="830">
        <v>2666739.5394249996</v>
      </c>
      <c r="E51" s="831">
        <f t="shared" si="2"/>
        <v>5337584.8928669374</v>
      </c>
      <c r="F51" s="832">
        <v>2103091.7517336132</v>
      </c>
      <c r="G51" s="830">
        <v>1271683.1199999999</v>
      </c>
      <c r="H51" s="833">
        <f t="shared" si="3"/>
        <v>3374774.8717336133</v>
      </c>
    </row>
    <row r="52" spans="1:8">
      <c r="A52" s="859">
        <v>21.1</v>
      </c>
      <c r="B52" s="861" t="s">
        <v>729</v>
      </c>
      <c r="C52" s="834"/>
      <c r="D52" s="835"/>
      <c r="E52" s="831">
        <f t="shared" si="2"/>
        <v>0</v>
      </c>
      <c r="F52" s="836"/>
      <c r="G52" s="835"/>
      <c r="H52" s="833">
        <f t="shared" si="3"/>
        <v>0</v>
      </c>
    </row>
    <row r="53" spans="1:8">
      <c r="A53" s="859">
        <v>22</v>
      </c>
      <c r="B53" s="550" t="s">
        <v>730</v>
      </c>
      <c r="C53" s="829">
        <f>SUM(C38,C40,C41,C46,C47,C50,C51)</f>
        <v>75125107.514451861</v>
      </c>
      <c r="D53" s="830">
        <f>SUM(D38,D40,D41,D46,D47,D50,D51)</f>
        <v>246764241.96693185</v>
      </c>
      <c r="E53" s="831">
        <f t="shared" si="2"/>
        <v>321889349.48138368</v>
      </c>
      <c r="F53" s="832">
        <f>SUM(F38,F40,F41,F46,F47,F50,F51)</f>
        <v>70908093.452668935</v>
      </c>
      <c r="G53" s="830">
        <f>SUM(G38,G40,G41,G46,G47,G50,G51)</f>
        <v>275507305.03780288</v>
      </c>
      <c r="H53" s="833">
        <f t="shared" si="3"/>
        <v>346415398.49047184</v>
      </c>
    </row>
    <row r="54" spans="1:8" ht="24" customHeight="1">
      <c r="A54" s="859"/>
      <c r="B54" s="865" t="s">
        <v>731</v>
      </c>
      <c r="C54" s="842"/>
      <c r="D54" s="843"/>
      <c r="E54" s="843"/>
      <c r="F54" s="843"/>
      <c r="G54" s="843"/>
      <c r="H54" s="844"/>
    </row>
    <row r="55" spans="1:8">
      <c r="A55" s="859">
        <v>23</v>
      </c>
      <c r="B55" s="550" t="s">
        <v>960</v>
      </c>
      <c r="C55" s="834">
        <v>69161600</v>
      </c>
      <c r="D55" s="835"/>
      <c r="E55" s="831">
        <f>C55+D55</f>
        <v>69161600</v>
      </c>
      <c r="F55" s="836">
        <v>69161600</v>
      </c>
      <c r="G55" s="835"/>
      <c r="H55" s="833">
        <f>F55+G55</f>
        <v>69161600</v>
      </c>
    </row>
    <row r="56" spans="1:8">
      <c r="A56" s="859">
        <v>24</v>
      </c>
      <c r="B56" s="550" t="s">
        <v>732</v>
      </c>
      <c r="C56" s="834"/>
      <c r="D56" s="835"/>
      <c r="E56" s="831">
        <f t="shared" ref="E56:E69" si="4">C56+D56</f>
        <v>0</v>
      </c>
      <c r="F56" s="836"/>
      <c r="G56" s="835"/>
      <c r="H56" s="833">
        <f t="shared" ref="H56:H69" si="5">F56+G56</f>
        <v>0</v>
      </c>
    </row>
    <row r="57" spans="1:8">
      <c r="A57" s="859">
        <v>25</v>
      </c>
      <c r="B57" s="866" t="s">
        <v>91</v>
      </c>
      <c r="C57" s="834"/>
      <c r="D57" s="835"/>
      <c r="E57" s="831">
        <f t="shared" si="4"/>
        <v>0</v>
      </c>
      <c r="F57" s="836"/>
      <c r="G57" s="835"/>
      <c r="H57" s="833">
        <f t="shared" si="5"/>
        <v>0</v>
      </c>
    </row>
    <row r="58" spans="1:8">
      <c r="A58" s="859">
        <v>26</v>
      </c>
      <c r="B58" s="337" t="s">
        <v>733</v>
      </c>
      <c r="C58" s="834"/>
      <c r="D58" s="835"/>
      <c r="E58" s="831">
        <f t="shared" si="4"/>
        <v>0</v>
      </c>
      <c r="F58" s="836"/>
      <c r="G58" s="835"/>
      <c r="H58" s="833">
        <f t="shared" si="5"/>
        <v>0</v>
      </c>
    </row>
    <row r="59" spans="1:8" ht="21">
      <c r="A59" s="859">
        <v>27</v>
      </c>
      <c r="B59" s="337" t="s">
        <v>734</v>
      </c>
      <c r="C59" s="834">
        <f>SUM(C60:C61)</f>
        <v>0</v>
      </c>
      <c r="D59" s="835">
        <f>SUM(D60:D61)</f>
        <v>0</v>
      </c>
      <c r="E59" s="831">
        <f t="shared" si="4"/>
        <v>0</v>
      </c>
      <c r="F59" s="836"/>
      <c r="G59" s="835"/>
      <c r="H59" s="833">
        <f t="shared" si="5"/>
        <v>0</v>
      </c>
    </row>
    <row r="60" spans="1:8">
      <c r="A60" s="859">
        <v>27.1</v>
      </c>
      <c r="B60" s="340" t="s">
        <v>735</v>
      </c>
      <c r="C60" s="834"/>
      <c r="D60" s="835"/>
      <c r="E60" s="831">
        <f t="shared" si="4"/>
        <v>0</v>
      </c>
      <c r="F60" s="836"/>
      <c r="G60" s="835"/>
      <c r="H60" s="833">
        <f t="shared" si="5"/>
        <v>0</v>
      </c>
    </row>
    <row r="61" spans="1:8">
      <c r="A61" s="859">
        <v>27.2</v>
      </c>
      <c r="B61" s="336" t="s">
        <v>736</v>
      </c>
      <c r="C61" s="834"/>
      <c r="D61" s="835"/>
      <c r="E61" s="831">
        <f t="shared" si="4"/>
        <v>0</v>
      </c>
      <c r="F61" s="836"/>
      <c r="G61" s="835"/>
      <c r="H61" s="833">
        <f t="shared" si="5"/>
        <v>0</v>
      </c>
    </row>
    <row r="62" spans="1:8">
      <c r="A62" s="859">
        <v>28</v>
      </c>
      <c r="B62" s="862" t="s">
        <v>737</v>
      </c>
      <c r="C62" s="834"/>
      <c r="D62" s="835"/>
      <c r="E62" s="831">
        <f t="shared" si="4"/>
        <v>0</v>
      </c>
      <c r="F62" s="836"/>
      <c r="G62" s="835"/>
      <c r="H62" s="833">
        <f t="shared" si="5"/>
        <v>0</v>
      </c>
    </row>
    <row r="63" spans="1:8">
      <c r="A63" s="859">
        <v>29</v>
      </c>
      <c r="B63" s="337" t="s">
        <v>738</v>
      </c>
      <c r="C63" s="834">
        <f>SUM(C64:C66)</f>
        <v>0</v>
      </c>
      <c r="D63" s="835">
        <f>SUM(D64:D66)</f>
        <v>0</v>
      </c>
      <c r="E63" s="831">
        <f t="shared" si="4"/>
        <v>0</v>
      </c>
      <c r="F63" s="836"/>
      <c r="G63" s="835"/>
      <c r="H63" s="833">
        <f t="shared" si="5"/>
        <v>0</v>
      </c>
    </row>
    <row r="64" spans="1:8">
      <c r="A64" s="859">
        <v>29.1</v>
      </c>
      <c r="B64" s="330" t="s">
        <v>739</v>
      </c>
      <c r="C64" s="834"/>
      <c r="D64" s="835"/>
      <c r="E64" s="831">
        <f t="shared" si="4"/>
        <v>0</v>
      </c>
      <c r="F64" s="836"/>
      <c r="G64" s="835"/>
      <c r="H64" s="833">
        <f t="shared" si="5"/>
        <v>0</v>
      </c>
    </row>
    <row r="65" spans="1:8" ht="24.95" customHeight="1">
      <c r="A65" s="859">
        <v>29.2</v>
      </c>
      <c r="B65" s="340" t="s">
        <v>740</v>
      </c>
      <c r="C65" s="834"/>
      <c r="D65" s="835"/>
      <c r="E65" s="831">
        <f t="shared" si="4"/>
        <v>0</v>
      </c>
      <c r="F65" s="836"/>
      <c r="G65" s="835"/>
      <c r="H65" s="833">
        <f t="shared" si="5"/>
        <v>0</v>
      </c>
    </row>
    <row r="66" spans="1:8" ht="22.5" customHeight="1">
      <c r="A66" s="859">
        <v>29.3</v>
      </c>
      <c r="B66" s="333" t="s">
        <v>741</v>
      </c>
      <c r="C66" s="834"/>
      <c r="D66" s="835"/>
      <c r="E66" s="831">
        <f t="shared" si="4"/>
        <v>0</v>
      </c>
      <c r="F66" s="836"/>
      <c r="G66" s="835"/>
      <c r="H66" s="833">
        <f t="shared" si="5"/>
        <v>0</v>
      </c>
    </row>
    <row r="67" spans="1:8">
      <c r="A67" s="859">
        <v>30</v>
      </c>
      <c r="B67" s="329" t="s">
        <v>92</v>
      </c>
      <c r="C67" s="834">
        <v>80629034.491737574</v>
      </c>
      <c r="D67" s="835"/>
      <c r="E67" s="831">
        <f t="shared" si="4"/>
        <v>80629034.491737574</v>
      </c>
      <c r="F67" s="836">
        <v>69157282.546608284</v>
      </c>
      <c r="G67" s="835"/>
      <c r="H67" s="833">
        <f t="shared" si="5"/>
        <v>69157282.546608284</v>
      </c>
    </row>
    <row r="68" spans="1:8">
      <c r="A68" s="859">
        <v>31</v>
      </c>
      <c r="B68" s="867" t="s">
        <v>742</v>
      </c>
      <c r="C68" s="829">
        <f>SUM(C55,C56,C57,C58,C59,C62,C63,C67)</f>
        <v>149790634.49173757</v>
      </c>
      <c r="D68" s="830">
        <f>SUM(D55,D56,D57,D58,D59,D62,D63,D67)</f>
        <v>0</v>
      </c>
      <c r="E68" s="831">
        <f t="shared" si="4"/>
        <v>149790634.49173757</v>
      </c>
      <c r="F68" s="832">
        <f>SUM(F55,F56,F57,F58,F59,F62,F63,F67)</f>
        <v>138318882.54660827</v>
      </c>
      <c r="G68" s="830">
        <f>SUM(G55,G56,G57,G58,G59,G62,G63,G67)</f>
        <v>0</v>
      </c>
      <c r="H68" s="833">
        <f t="shared" si="5"/>
        <v>138318882.54660827</v>
      </c>
    </row>
    <row r="69" spans="1:8" ht="15.75" thickBot="1">
      <c r="A69" s="868">
        <v>32</v>
      </c>
      <c r="B69" s="869" t="s">
        <v>743</v>
      </c>
      <c r="C69" s="845">
        <f>SUM(C53,C68)</f>
        <v>224915742.00618944</v>
      </c>
      <c r="D69" s="846">
        <f>SUM(D53,D68)</f>
        <v>246764241.96693185</v>
      </c>
      <c r="E69" s="847">
        <f t="shared" si="4"/>
        <v>471679983.97312129</v>
      </c>
      <c r="F69" s="848">
        <f>SUM(F53,F68)</f>
        <v>209226975.9992772</v>
      </c>
      <c r="G69" s="846">
        <f>SUM(G53,G68)</f>
        <v>275507305.03780288</v>
      </c>
      <c r="H69" s="849">
        <f t="shared" si="5"/>
        <v>484734281.03708005</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80" zoomScaleNormal="80" workbookViewId="0">
      <selection activeCell="A5" sqref="A5:B6"/>
    </sheetView>
  </sheetViews>
  <sheetFormatPr defaultColWidth="9.140625" defaultRowHeight="12.75"/>
  <cols>
    <col min="1" max="1" width="11.85546875" style="379" bestFit="1" customWidth="1"/>
    <col min="2" max="2" width="93.42578125" style="379" customWidth="1"/>
    <col min="3" max="3" width="15.5703125" style="379" bestFit="1" customWidth="1"/>
    <col min="4" max="5" width="16.140625" style="379" customWidth="1"/>
    <col min="6" max="6" width="16.140625" style="440" customWidth="1"/>
    <col min="7" max="7" width="25.140625" style="440" customWidth="1"/>
    <col min="8" max="8" width="16.140625" style="379" customWidth="1"/>
    <col min="9" max="11" width="16.140625" style="440" customWidth="1"/>
    <col min="12" max="12" width="26.140625" style="440" customWidth="1"/>
    <col min="13" max="16384" width="9.140625" style="379"/>
  </cols>
  <sheetData>
    <row r="1" spans="1:12" ht="13.5">
      <c r="A1" s="302" t="s">
        <v>97</v>
      </c>
      <c r="B1" s="783" t="str">
        <f>Info!C2</f>
        <v>სს იშბანკი საქართველო</v>
      </c>
      <c r="F1" s="379"/>
      <c r="G1" s="379"/>
      <c r="I1" s="379"/>
      <c r="J1" s="379"/>
      <c r="K1" s="379"/>
      <c r="L1" s="379"/>
    </row>
    <row r="2" spans="1:12" ht="13.5">
      <c r="A2" s="304" t="s">
        <v>98</v>
      </c>
      <c r="B2" s="784">
        <f>'1. key ratios'!B2</f>
        <v>45747</v>
      </c>
      <c r="F2" s="379"/>
      <c r="G2" s="379"/>
      <c r="I2" s="379"/>
      <c r="J2" s="379"/>
      <c r="K2" s="379"/>
      <c r="L2" s="379"/>
    </row>
    <row r="3" spans="1:12">
      <c r="A3" s="305" t="s">
        <v>563</v>
      </c>
      <c r="F3" s="379"/>
      <c r="G3" s="379"/>
      <c r="I3" s="379"/>
      <c r="J3" s="379"/>
      <c r="K3" s="379"/>
      <c r="L3" s="379"/>
    </row>
    <row r="4" spans="1:12">
      <c r="F4" s="379"/>
      <c r="G4" s="379"/>
      <c r="I4" s="379"/>
      <c r="J4" s="379"/>
      <c r="K4" s="379"/>
      <c r="L4" s="379"/>
    </row>
    <row r="5" spans="1:12" ht="37.5" customHeight="1">
      <c r="A5" s="657" t="s">
        <v>564</v>
      </c>
      <c r="B5" s="658"/>
      <c r="C5" s="708" t="s">
        <v>565</v>
      </c>
      <c r="D5" s="709"/>
      <c r="E5" s="709"/>
      <c r="F5" s="709"/>
      <c r="G5" s="709"/>
      <c r="H5" s="710" t="s">
        <v>875</v>
      </c>
      <c r="I5" s="711"/>
      <c r="J5" s="711"/>
      <c r="K5" s="711"/>
      <c r="L5" s="712"/>
    </row>
    <row r="6" spans="1:12" ht="39.6" customHeight="1">
      <c r="A6" s="661"/>
      <c r="B6" s="662"/>
      <c r="C6" s="311"/>
      <c r="D6" s="377" t="s">
        <v>860</v>
      </c>
      <c r="E6" s="377" t="s">
        <v>859</v>
      </c>
      <c r="F6" s="377" t="s">
        <v>858</v>
      </c>
      <c r="G6" s="377" t="s">
        <v>857</v>
      </c>
      <c r="H6" s="443"/>
      <c r="I6" s="377" t="s">
        <v>860</v>
      </c>
      <c r="J6" s="377" t="s">
        <v>859</v>
      </c>
      <c r="K6" s="377" t="s">
        <v>858</v>
      </c>
      <c r="L6" s="377" t="s">
        <v>857</v>
      </c>
    </row>
    <row r="7" spans="1:12">
      <c r="A7" s="368">
        <v>1</v>
      </c>
      <c r="B7" s="383" t="s">
        <v>487</v>
      </c>
      <c r="C7" s="1084">
        <v>330310.343781</v>
      </c>
      <c r="D7" s="1084">
        <v>324441.79378099996</v>
      </c>
      <c r="E7" s="1084">
        <v>0</v>
      </c>
      <c r="F7" s="1084">
        <v>5868.55</v>
      </c>
      <c r="G7" s="1084">
        <v>0</v>
      </c>
      <c r="H7" s="1084">
        <v>8383.3738122222567</v>
      </c>
      <c r="I7" s="1084">
        <v>2514.8238122222574</v>
      </c>
      <c r="J7" s="1084">
        <v>0</v>
      </c>
      <c r="K7" s="1084">
        <v>5868.55</v>
      </c>
      <c r="L7" s="1084">
        <v>0</v>
      </c>
    </row>
    <row r="8" spans="1:12">
      <c r="A8" s="368">
        <v>2</v>
      </c>
      <c r="B8" s="383" t="s">
        <v>488</v>
      </c>
      <c r="C8" s="1084">
        <v>35180740.291332006</v>
      </c>
      <c r="D8" s="1054">
        <v>35180740.291332006</v>
      </c>
      <c r="E8" s="1054">
        <v>0</v>
      </c>
      <c r="F8" s="1085">
        <v>0</v>
      </c>
      <c r="G8" s="1085">
        <v>0</v>
      </c>
      <c r="H8" s="1054">
        <v>158956.35105073143</v>
      </c>
      <c r="I8" s="1085">
        <v>158956.35105073143</v>
      </c>
      <c r="J8" s="1085">
        <v>0</v>
      </c>
      <c r="K8" s="1085">
        <v>0</v>
      </c>
      <c r="L8" s="1084">
        <v>0</v>
      </c>
    </row>
    <row r="9" spans="1:12">
      <c r="A9" s="368">
        <v>3</v>
      </c>
      <c r="B9" s="383" t="s">
        <v>836</v>
      </c>
      <c r="C9" s="1084">
        <v>0</v>
      </c>
      <c r="D9" s="1054">
        <v>0</v>
      </c>
      <c r="E9" s="1054">
        <v>0</v>
      </c>
      <c r="F9" s="1086">
        <v>0</v>
      </c>
      <c r="G9" s="1086">
        <v>0</v>
      </c>
      <c r="H9" s="1054">
        <v>0</v>
      </c>
      <c r="I9" s="1086">
        <v>0</v>
      </c>
      <c r="J9" s="1086">
        <v>0</v>
      </c>
      <c r="K9" s="1086">
        <v>0</v>
      </c>
      <c r="L9" s="1084">
        <v>0</v>
      </c>
    </row>
    <row r="10" spans="1:12">
      <c r="A10" s="368">
        <v>4</v>
      </c>
      <c r="B10" s="383" t="s">
        <v>489</v>
      </c>
      <c r="C10" s="1084">
        <v>22120749.82815</v>
      </c>
      <c r="D10" s="1054">
        <v>21826365.508150004</v>
      </c>
      <c r="E10" s="1054">
        <v>0</v>
      </c>
      <c r="F10" s="1086">
        <v>294384.32</v>
      </c>
      <c r="G10" s="1086">
        <v>0</v>
      </c>
      <c r="H10" s="1054">
        <v>38320.67254025794</v>
      </c>
      <c r="I10" s="1086">
        <v>38320.670965048703</v>
      </c>
      <c r="J10" s="1086">
        <v>0</v>
      </c>
      <c r="K10" s="1086">
        <v>1.5752092370291916E-3</v>
      </c>
      <c r="L10" s="1084">
        <v>0</v>
      </c>
    </row>
    <row r="11" spans="1:12">
      <c r="A11" s="368">
        <v>5</v>
      </c>
      <c r="B11" s="383" t="s">
        <v>490</v>
      </c>
      <c r="C11" s="1084">
        <v>0</v>
      </c>
      <c r="D11" s="1054">
        <v>0</v>
      </c>
      <c r="E11" s="1054">
        <v>0</v>
      </c>
      <c r="F11" s="1086">
        <v>0</v>
      </c>
      <c r="G11" s="1086">
        <v>0</v>
      </c>
      <c r="H11" s="1054">
        <v>0</v>
      </c>
      <c r="I11" s="1086">
        <v>0</v>
      </c>
      <c r="J11" s="1086">
        <v>0</v>
      </c>
      <c r="K11" s="1086">
        <v>0</v>
      </c>
      <c r="L11" s="1084">
        <v>0</v>
      </c>
    </row>
    <row r="12" spans="1:12">
      <c r="A12" s="368">
        <v>6</v>
      </c>
      <c r="B12" s="383" t="s">
        <v>491</v>
      </c>
      <c r="C12" s="1084">
        <v>1024063.8790180001</v>
      </c>
      <c r="D12" s="1054">
        <v>532048.00625400001</v>
      </c>
      <c r="E12" s="1054">
        <v>0</v>
      </c>
      <c r="F12" s="1086">
        <v>492015.87276399997</v>
      </c>
      <c r="G12" s="1086">
        <v>0</v>
      </c>
      <c r="H12" s="1054">
        <v>4501.2701275227164</v>
      </c>
      <c r="I12" s="1086">
        <v>2359.9266009299363</v>
      </c>
      <c r="J12" s="1086">
        <v>0</v>
      </c>
      <c r="K12" s="1086">
        <v>2141.3435265927797</v>
      </c>
      <c r="L12" s="1084">
        <v>0</v>
      </c>
    </row>
    <row r="13" spans="1:12">
      <c r="A13" s="368">
        <v>7</v>
      </c>
      <c r="B13" s="383" t="s">
        <v>492</v>
      </c>
      <c r="C13" s="1084">
        <v>66752488.361342996</v>
      </c>
      <c r="D13" s="1054">
        <v>66752488.361342996</v>
      </c>
      <c r="E13" s="1054">
        <v>0</v>
      </c>
      <c r="F13" s="1086">
        <v>0</v>
      </c>
      <c r="G13" s="1086">
        <v>0</v>
      </c>
      <c r="H13" s="1054">
        <v>224368.69031974123</v>
      </c>
      <c r="I13" s="1086">
        <v>224368.69031974123</v>
      </c>
      <c r="J13" s="1086">
        <v>0</v>
      </c>
      <c r="K13" s="1086">
        <v>0</v>
      </c>
      <c r="L13" s="1084">
        <v>0</v>
      </c>
    </row>
    <row r="14" spans="1:12">
      <c r="A14" s="368">
        <v>8</v>
      </c>
      <c r="B14" s="383" t="s">
        <v>493</v>
      </c>
      <c r="C14" s="1084">
        <v>23815.1</v>
      </c>
      <c r="D14" s="1054">
        <v>23815.1</v>
      </c>
      <c r="E14" s="1054">
        <v>0</v>
      </c>
      <c r="F14" s="1086">
        <v>0</v>
      </c>
      <c r="G14" s="1086">
        <v>0</v>
      </c>
      <c r="H14" s="1054">
        <v>4.1249057910547537E-15</v>
      </c>
      <c r="I14" s="1086">
        <v>4.1249057910547537E-15</v>
      </c>
      <c r="J14" s="1086">
        <v>0</v>
      </c>
      <c r="K14" s="1086">
        <v>0</v>
      </c>
      <c r="L14" s="1084">
        <v>0</v>
      </c>
    </row>
    <row r="15" spans="1:12">
      <c r="A15" s="368">
        <v>9</v>
      </c>
      <c r="B15" s="383" t="s">
        <v>494</v>
      </c>
      <c r="C15" s="1084">
        <v>0</v>
      </c>
      <c r="D15" s="1054">
        <v>0</v>
      </c>
      <c r="E15" s="1054">
        <v>0</v>
      </c>
      <c r="F15" s="1086">
        <v>0</v>
      </c>
      <c r="G15" s="1086">
        <v>0</v>
      </c>
      <c r="H15" s="1054">
        <v>0</v>
      </c>
      <c r="I15" s="1086">
        <v>0</v>
      </c>
      <c r="J15" s="1086">
        <v>0</v>
      </c>
      <c r="K15" s="1086">
        <v>0</v>
      </c>
      <c r="L15" s="1084">
        <v>0</v>
      </c>
    </row>
    <row r="16" spans="1:12">
      <c r="A16" s="368">
        <v>10</v>
      </c>
      <c r="B16" s="383" t="s">
        <v>495</v>
      </c>
      <c r="C16" s="1084">
        <v>16168827.988703998</v>
      </c>
      <c r="D16" s="1054">
        <v>15777096.297010997</v>
      </c>
      <c r="E16" s="1054">
        <v>385837.47169299994</v>
      </c>
      <c r="F16" s="1086">
        <v>5894.2199999999993</v>
      </c>
      <c r="G16" s="1086">
        <v>0</v>
      </c>
      <c r="H16" s="1054">
        <v>74154.55840876796</v>
      </c>
      <c r="I16" s="1086">
        <v>65964.245032143503</v>
      </c>
      <c r="J16" s="1086">
        <v>6266.5490931509448</v>
      </c>
      <c r="K16" s="1086">
        <v>1923.7642834735125</v>
      </c>
      <c r="L16" s="1084">
        <v>0</v>
      </c>
    </row>
    <row r="17" spans="1:12">
      <c r="A17" s="368">
        <v>11</v>
      </c>
      <c r="B17" s="383" t="s">
        <v>496</v>
      </c>
      <c r="C17" s="1084">
        <v>29601069.876121998</v>
      </c>
      <c r="D17" s="1054">
        <v>29592249.576122001</v>
      </c>
      <c r="E17" s="1054">
        <v>0</v>
      </c>
      <c r="F17" s="1086">
        <v>8820.2999999999993</v>
      </c>
      <c r="G17" s="1086">
        <v>0</v>
      </c>
      <c r="H17" s="1054">
        <v>82500.760157081415</v>
      </c>
      <c r="I17" s="1086">
        <v>73680.460157081412</v>
      </c>
      <c r="J17" s="1086">
        <v>0</v>
      </c>
      <c r="K17" s="1086">
        <v>8820.2999999999993</v>
      </c>
      <c r="L17" s="1084">
        <v>0</v>
      </c>
    </row>
    <row r="18" spans="1:12">
      <c r="A18" s="368">
        <v>12</v>
      </c>
      <c r="B18" s="383" t="s">
        <v>497</v>
      </c>
      <c r="C18" s="1084">
        <v>9739891.8048070017</v>
      </c>
      <c r="D18" s="1054">
        <v>9666608.987451002</v>
      </c>
      <c r="E18" s="1054">
        <v>0</v>
      </c>
      <c r="F18" s="1086">
        <v>73282.817356</v>
      </c>
      <c r="G18" s="1086">
        <v>0</v>
      </c>
      <c r="H18" s="1054">
        <v>85573.313391029689</v>
      </c>
      <c r="I18" s="1086">
        <v>12290.496035029681</v>
      </c>
      <c r="J18" s="1086">
        <v>0</v>
      </c>
      <c r="K18" s="1086">
        <v>73282.817356</v>
      </c>
      <c r="L18" s="1084">
        <v>0</v>
      </c>
    </row>
    <row r="19" spans="1:12">
      <c r="A19" s="368">
        <v>13</v>
      </c>
      <c r="B19" s="383" t="s">
        <v>498</v>
      </c>
      <c r="C19" s="1084">
        <v>680205.42999999982</v>
      </c>
      <c r="D19" s="1054">
        <v>642876.05999999994</v>
      </c>
      <c r="E19" s="1054">
        <v>0</v>
      </c>
      <c r="F19" s="1086">
        <v>37329.370000000003</v>
      </c>
      <c r="G19" s="1086">
        <v>0</v>
      </c>
      <c r="H19" s="1054">
        <v>32036.104624785396</v>
      </c>
      <c r="I19" s="1086">
        <v>2374.5745847061307</v>
      </c>
      <c r="J19" s="1086">
        <v>0</v>
      </c>
      <c r="K19" s="1086">
        <v>29661.530040079266</v>
      </c>
      <c r="L19" s="1084">
        <v>0</v>
      </c>
    </row>
    <row r="20" spans="1:12">
      <c r="A20" s="368">
        <v>14</v>
      </c>
      <c r="B20" s="383" t="s">
        <v>499</v>
      </c>
      <c r="C20" s="1084">
        <v>1349345.099373</v>
      </c>
      <c r="D20" s="1054">
        <v>1270621.3472260002</v>
      </c>
      <c r="E20" s="1054">
        <v>0</v>
      </c>
      <c r="F20" s="1086">
        <v>78723.752146999992</v>
      </c>
      <c r="G20" s="1086">
        <v>0</v>
      </c>
      <c r="H20" s="1054">
        <v>81183.468722353544</v>
      </c>
      <c r="I20" s="1086">
        <v>2459.716575353541</v>
      </c>
      <c r="J20" s="1086">
        <v>0</v>
      </c>
      <c r="K20" s="1086">
        <v>78723.752146999992</v>
      </c>
      <c r="L20" s="1084">
        <v>0</v>
      </c>
    </row>
    <row r="21" spans="1:12">
      <c r="A21" s="368">
        <v>15</v>
      </c>
      <c r="B21" s="383" t="s">
        <v>500</v>
      </c>
      <c r="C21" s="1084">
        <v>10013138.85</v>
      </c>
      <c r="D21" s="1054">
        <v>10013138.85</v>
      </c>
      <c r="E21" s="1054">
        <v>0</v>
      </c>
      <c r="F21" s="1086">
        <v>0</v>
      </c>
      <c r="G21" s="1086">
        <v>0</v>
      </c>
      <c r="H21" s="1054">
        <v>55080.502470666586</v>
      </c>
      <c r="I21" s="1086">
        <v>55080.502470666586</v>
      </c>
      <c r="J21" s="1086">
        <v>0</v>
      </c>
      <c r="K21" s="1086">
        <v>0</v>
      </c>
      <c r="L21" s="1084">
        <v>0</v>
      </c>
    </row>
    <row r="22" spans="1:12">
      <c r="A22" s="368">
        <v>16</v>
      </c>
      <c r="B22" s="383" t="s">
        <v>501</v>
      </c>
      <c r="C22" s="1084">
        <v>0</v>
      </c>
      <c r="D22" s="1054">
        <v>0</v>
      </c>
      <c r="E22" s="1054">
        <v>0</v>
      </c>
      <c r="F22" s="1086">
        <v>0</v>
      </c>
      <c r="G22" s="1086">
        <v>0</v>
      </c>
      <c r="H22" s="1054">
        <v>0</v>
      </c>
      <c r="I22" s="1086">
        <v>0</v>
      </c>
      <c r="J22" s="1086">
        <v>0</v>
      </c>
      <c r="K22" s="1086">
        <v>0</v>
      </c>
      <c r="L22" s="1084">
        <v>0</v>
      </c>
    </row>
    <row r="23" spans="1:12">
      <c r="A23" s="368">
        <v>17</v>
      </c>
      <c r="B23" s="383" t="s">
        <v>502</v>
      </c>
      <c r="C23" s="1084">
        <v>0</v>
      </c>
      <c r="D23" s="1054">
        <v>0</v>
      </c>
      <c r="E23" s="1054">
        <v>0</v>
      </c>
      <c r="F23" s="1086">
        <v>0</v>
      </c>
      <c r="G23" s="1086">
        <v>0</v>
      </c>
      <c r="H23" s="1054">
        <v>0</v>
      </c>
      <c r="I23" s="1086">
        <v>0</v>
      </c>
      <c r="J23" s="1086">
        <v>0</v>
      </c>
      <c r="K23" s="1086">
        <v>0</v>
      </c>
      <c r="L23" s="1084">
        <v>0</v>
      </c>
    </row>
    <row r="24" spans="1:12">
      <c r="A24" s="368">
        <v>18</v>
      </c>
      <c r="B24" s="383" t="s">
        <v>503</v>
      </c>
      <c r="C24" s="1084">
        <v>62018046.354079999</v>
      </c>
      <c r="D24" s="1054">
        <v>62018046.354079999</v>
      </c>
      <c r="E24" s="1054">
        <v>0</v>
      </c>
      <c r="F24" s="1086">
        <v>0</v>
      </c>
      <c r="G24" s="1086">
        <v>0</v>
      </c>
      <c r="H24" s="1054">
        <v>386085.56320974947</v>
      </c>
      <c r="I24" s="1086">
        <v>386085.56320974947</v>
      </c>
      <c r="J24" s="1086">
        <v>0</v>
      </c>
      <c r="K24" s="1086">
        <v>0</v>
      </c>
      <c r="L24" s="1084">
        <v>0</v>
      </c>
    </row>
    <row r="25" spans="1:12">
      <c r="A25" s="368">
        <v>19</v>
      </c>
      <c r="B25" s="383" t="s">
        <v>504</v>
      </c>
      <c r="C25" s="1084">
        <v>22924908.370807998</v>
      </c>
      <c r="D25" s="1054">
        <v>22924908.370807998</v>
      </c>
      <c r="E25" s="1054">
        <v>0</v>
      </c>
      <c r="F25" s="1086">
        <v>0</v>
      </c>
      <c r="G25" s="1086">
        <v>0</v>
      </c>
      <c r="H25" s="1054">
        <v>140534.28732505045</v>
      </c>
      <c r="I25" s="1086">
        <v>140534.28732505045</v>
      </c>
      <c r="J25" s="1086">
        <v>0</v>
      </c>
      <c r="K25" s="1086">
        <v>0</v>
      </c>
      <c r="L25" s="1084">
        <v>0</v>
      </c>
    </row>
    <row r="26" spans="1:12">
      <c r="A26" s="368">
        <v>20</v>
      </c>
      <c r="B26" s="383" t="s">
        <v>505</v>
      </c>
      <c r="C26" s="1084">
        <v>23215496.619999997</v>
      </c>
      <c r="D26" s="1054">
        <v>23181379.91</v>
      </c>
      <c r="E26" s="1054">
        <v>0</v>
      </c>
      <c r="F26" s="1086">
        <v>34116.71</v>
      </c>
      <c r="G26" s="1086">
        <v>0</v>
      </c>
      <c r="H26" s="1054">
        <v>171392.4529645773</v>
      </c>
      <c r="I26" s="1086">
        <v>137275.74296457728</v>
      </c>
      <c r="J26" s="1086">
        <v>0</v>
      </c>
      <c r="K26" s="1086">
        <v>34116.710000000006</v>
      </c>
      <c r="L26" s="1084">
        <v>0</v>
      </c>
    </row>
    <row r="27" spans="1:12">
      <c r="A27" s="368">
        <v>21</v>
      </c>
      <c r="B27" s="383" t="s">
        <v>506</v>
      </c>
      <c r="C27" s="1084">
        <v>90113.49</v>
      </c>
      <c r="D27" s="1054">
        <v>0</v>
      </c>
      <c r="E27" s="1054">
        <v>0</v>
      </c>
      <c r="F27" s="1086">
        <v>90113.49</v>
      </c>
      <c r="G27" s="1086">
        <v>0</v>
      </c>
      <c r="H27" s="1054">
        <v>31696.484631127532</v>
      </c>
      <c r="I27" s="1086">
        <v>0</v>
      </c>
      <c r="J27" s="1086">
        <v>0</v>
      </c>
      <c r="K27" s="1086">
        <v>31696.484631127532</v>
      </c>
      <c r="L27" s="1084">
        <v>0</v>
      </c>
    </row>
    <row r="28" spans="1:12">
      <c r="A28" s="368">
        <v>22</v>
      </c>
      <c r="B28" s="383" t="s">
        <v>507</v>
      </c>
      <c r="C28" s="1084">
        <v>0</v>
      </c>
      <c r="D28" s="1054">
        <v>0</v>
      </c>
      <c r="E28" s="1054">
        <v>0</v>
      </c>
      <c r="F28" s="1086">
        <v>0</v>
      </c>
      <c r="G28" s="1086">
        <v>0</v>
      </c>
      <c r="H28" s="1054">
        <v>0</v>
      </c>
      <c r="I28" s="1086">
        <v>0</v>
      </c>
      <c r="J28" s="1086">
        <v>0</v>
      </c>
      <c r="K28" s="1086">
        <v>0</v>
      </c>
      <c r="L28" s="1084">
        <v>0</v>
      </c>
    </row>
    <row r="29" spans="1:12">
      <c r="A29" s="368">
        <v>23</v>
      </c>
      <c r="B29" s="383" t="s">
        <v>508</v>
      </c>
      <c r="C29" s="1084">
        <v>12975458.591543999</v>
      </c>
      <c r="D29" s="1054">
        <v>12939481.931543998</v>
      </c>
      <c r="E29" s="1054">
        <v>0</v>
      </c>
      <c r="F29" s="1086">
        <v>35976.660000000003</v>
      </c>
      <c r="G29" s="1086">
        <v>0</v>
      </c>
      <c r="H29" s="1054">
        <v>57439.13855536651</v>
      </c>
      <c r="I29" s="1086">
        <v>21462.478555366506</v>
      </c>
      <c r="J29" s="1086">
        <v>0</v>
      </c>
      <c r="K29" s="1086">
        <v>35976.660000000003</v>
      </c>
      <c r="L29" s="1084">
        <v>0</v>
      </c>
    </row>
    <row r="30" spans="1:12">
      <c r="A30" s="368">
        <v>24</v>
      </c>
      <c r="B30" s="383" t="s">
        <v>509</v>
      </c>
      <c r="C30" s="1084">
        <v>7934674.2811869988</v>
      </c>
      <c r="D30" s="1054">
        <v>7934674.2811869988</v>
      </c>
      <c r="E30" s="1054">
        <v>0</v>
      </c>
      <c r="F30" s="1086">
        <v>0</v>
      </c>
      <c r="G30" s="1086">
        <v>0</v>
      </c>
      <c r="H30" s="1054">
        <v>1308.4990686004044</v>
      </c>
      <c r="I30" s="1086">
        <v>1308.4990686004044</v>
      </c>
      <c r="J30" s="1086">
        <v>0</v>
      </c>
      <c r="K30" s="1086">
        <v>0</v>
      </c>
      <c r="L30" s="1084">
        <v>0</v>
      </c>
    </row>
    <row r="31" spans="1:12">
      <c r="A31" s="368">
        <v>25</v>
      </c>
      <c r="B31" s="383" t="s">
        <v>510</v>
      </c>
      <c r="C31" s="1084">
        <v>93090.944222999999</v>
      </c>
      <c r="D31" s="1054">
        <v>0</v>
      </c>
      <c r="E31" s="1054">
        <v>30689.35</v>
      </c>
      <c r="F31" s="1086">
        <v>62401.594222999993</v>
      </c>
      <c r="G31" s="1086">
        <v>0</v>
      </c>
      <c r="H31" s="1054">
        <v>62401.594222999993</v>
      </c>
      <c r="I31" s="1086">
        <v>0</v>
      </c>
      <c r="J31" s="1086">
        <v>5.2614151546987943E-15</v>
      </c>
      <c r="K31" s="1086">
        <v>62401.594222999993</v>
      </c>
      <c r="L31" s="1084">
        <v>0</v>
      </c>
    </row>
    <row r="32" spans="1:12">
      <c r="A32" s="368">
        <v>26</v>
      </c>
      <c r="B32" s="383" t="s">
        <v>566</v>
      </c>
      <c r="C32" s="1084">
        <v>0</v>
      </c>
      <c r="D32" s="1054">
        <v>0</v>
      </c>
      <c r="E32" s="1054">
        <v>0</v>
      </c>
      <c r="F32" s="1086">
        <v>0</v>
      </c>
      <c r="G32" s="1086">
        <v>0</v>
      </c>
      <c r="H32" s="1054">
        <v>0</v>
      </c>
      <c r="I32" s="1086">
        <v>0</v>
      </c>
      <c r="J32" s="1086">
        <v>0</v>
      </c>
      <c r="K32" s="1086">
        <v>0</v>
      </c>
      <c r="L32" s="1084">
        <v>0</v>
      </c>
    </row>
    <row r="33" spans="1:12">
      <c r="A33" s="368">
        <v>27</v>
      </c>
      <c r="B33" s="442" t="s">
        <v>66</v>
      </c>
      <c r="C33" s="1087">
        <f>SUM(C7:C32)</f>
        <v>322236435.50447196</v>
      </c>
      <c r="D33" s="1087">
        <f t="shared" ref="D33:L33" si="0">SUM(D7:D32)</f>
        <v>320600981.02628899</v>
      </c>
      <c r="E33" s="1087">
        <f t="shared" si="0"/>
        <v>416526.82169299992</v>
      </c>
      <c r="F33" s="1087">
        <f t="shared" si="0"/>
        <v>1218927.65649</v>
      </c>
      <c r="G33" s="1087">
        <f t="shared" si="0"/>
        <v>0</v>
      </c>
      <c r="H33" s="1087">
        <f t="shared" si="0"/>
        <v>1695917.0856026318</v>
      </c>
      <c r="I33" s="1087">
        <f t="shared" si="0"/>
        <v>1325037.028726998</v>
      </c>
      <c r="J33" s="1087">
        <f t="shared" si="0"/>
        <v>6266.5490931509448</v>
      </c>
      <c r="K33" s="1087">
        <f t="shared" si="0"/>
        <v>364613.50778248231</v>
      </c>
      <c r="L33" s="1087">
        <f t="shared" si="0"/>
        <v>0</v>
      </c>
    </row>
    <row r="34" spans="1:12">
      <c r="A34" s="396"/>
      <c r="B34" s="396"/>
      <c r="C34" s="396"/>
      <c r="D34" s="396"/>
      <c r="E34" s="396"/>
      <c r="H34" s="396"/>
    </row>
    <row r="35" spans="1:12">
      <c r="A35" s="396"/>
      <c r="B35" s="441"/>
      <c r="C35" s="441"/>
      <c r="D35" s="396"/>
      <c r="E35" s="396"/>
      <c r="H35" s="396"/>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80" zoomScaleNormal="80" workbookViewId="0">
      <selection activeCell="A5" sqref="A5:B5"/>
    </sheetView>
  </sheetViews>
  <sheetFormatPr defaultColWidth="8.85546875" defaultRowHeight="12"/>
  <cols>
    <col min="1" max="1" width="11.85546875" style="312" bestFit="1" customWidth="1"/>
    <col min="2" max="2" width="144.28515625" style="312" customWidth="1"/>
    <col min="3" max="11" width="28.140625" style="312" customWidth="1"/>
    <col min="12" max="16384" width="8.85546875" style="312"/>
  </cols>
  <sheetData>
    <row r="1" spans="1:11" s="303" customFormat="1" ht="13.5">
      <c r="A1" s="302" t="s">
        <v>97</v>
      </c>
      <c r="B1" s="783" t="str">
        <f>Info!C2</f>
        <v>სს იშბანკი საქართველო</v>
      </c>
      <c r="C1" s="379"/>
      <c r="D1" s="379"/>
      <c r="E1" s="379"/>
      <c r="F1" s="379"/>
      <c r="G1" s="379"/>
      <c r="H1" s="379"/>
      <c r="I1" s="379"/>
      <c r="J1" s="379"/>
      <c r="K1" s="379"/>
    </row>
    <row r="2" spans="1:11" s="303" customFormat="1" ht="13.5">
      <c r="A2" s="304" t="s">
        <v>98</v>
      </c>
      <c r="B2" s="784">
        <f>'1. key ratios'!B2</f>
        <v>45747</v>
      </c>
      <c r="C2" s="379"/>
      <c r="D2" s="379"/>
      <c r="E2" s="379"/>
      <c r="F2" s="379"/>
      <c r="G2" s="379"/>
      <c r="H2" s="379"/>
      <c r="I2" s="379"/>
      <c r="J2" s="379"/>
      <c r="K2" s="379"/>
    </row>
    <row r="3" spans="1:11" s="303" customFormat="1" ht="12.75">
      <c r="A3" s="305" t="s">
        <v>567</v>
      </c>
      <c r="B3" s="379"/>
      <c r="C3" s="379"/>
      <c r="D3" s="379"/>
      <c r="E3" s="379"/>
      <c r="F3" s="379"/>
      <c r="G3" s="379"/>
      <c r="H3" s="379"/>
      <c r="I3" s="379"/>
      <c r="J3" s="379"/>
      <c r="K3" s="379"/>
    </row>
    <row r="4" spans="1:11">
      <c r="A4" s="448"/>
      <c r="B4" s="448"/>
      <c r="C4" s="447" t="s">
        <v>471</v>
      </c>
      <c r="D4" s="447" t="s">
        <v>472</v>
      </c>
      <c r="E4" s="447" t="s">
        <v>473</v>
      </c>
      <c r="F4" s="447" t="s">
        <v>474</v>
      </c>
      <c r="G4" s="447" t="s">
        <v>475</v>
      </c>
      <c r="H4" s="447" t="s">
        <v>476</v>
      </c>
      <c r="I4" s="447" t="s">
        <v>477</v>
      </c>
      <c r="J4" s="447" t="s">
        <v>478</v>
      </c>
      <c r="K4" s="447" t="s">
        <v>479</v>
      </c>
    </row>
    <row r="5" spans="1:11" ht="104.1" customHeight="1">
      <c r="A5" s="713" t="s">
        <v>874</v>
      </c>
      <c r="B5" s="714"/>
      <c r="C5" s="446" t="s">
        <v>568</v>
      </c>
      <c r="D5" s="446" t="s">
        <v>561</v>
      </c>
      <c r="E5" s="446" t="s">
        <v>562</v>
      </c>
      <c r="F5" s="446" t="s">
        <v>873</v>
      </c>
      <c r="G5" s="446" t="s">
        <v>569</v>
      </c>
      <c r="H5" s="446" t="s">
        <v>570</v>
      </c>
      <c r="I5" s="446" t="s">
        <v>571</v>
      </c>
      <c r="J5" s="446" t="s">
        <v>572</v>
      </c>
      <c r="K5" s="446" t="s">
        <v>573</v>
      </c>
    </row>
    <row r="6" spans="1:11" ht="12.75">
      <c r="A6" s="368">
        <v>1</v>
      </c>
      <c r="B6" s="368" t="s">
        <v>574</v>
      </c>
      <c r="C6" s="1054">
        <v>14651805.75</v>
      </c>
      <c r="D6" s="1054">
        <v>0</v>
      </c>
      <c r="E6" s="1054">
        <v>0</v>
      </c>
      <c r="F6" s="1054">
        <v>0</v>
      </c>
      <c r="G6" s="1054">
        <v>108472723.37708035</v>
      </c>
      <c r="H6" s="1054">
        <v>0</v>
      </c>
      <c r="I6" s="1054">
        <v>11570320.657074187</v>
      </c>
      <c r="J6" s="1054">
        <v>130005143.992081</v>
      </c>
      <c r="K6" s="1054">
        <v>55349880.8469024</v>
      </c>
    </row>
    <row r="7" spans="1:11" ht="12.75">
      <c r="A7" s="368">
        <v>2</v>
      </c>
      <c r="B7" s="369" t="s">
        <v>575</v>
      </c>
      <c r="C7" s="1054">
        <v>0</v>
      </c>
      <c r="D7" s="1054">
        <v>0</v>
      </c>
      <c r="E7" s="1054">
        <v>0</v>
      </c>
      <c r="F7" s="1054">
        <v>0</v>
      </c>
      <c r="G7" s="1054">
        <v>0</v>
      </c>
      <c r="H7" s="1054">
        <v>0</v>
      </c>
      <c r="I7" s="1054">
        <v>0</v>
      </c>
      <c r="J7" s="1054">
        <v>0</v>
      </c>
      <c r="K7" s="1054">
        <v>47222165.440607697</v>
      </c>
    </row>
    <row r="8" spans="1:11" ht="12.75">
      <c r="A8" s="368">
        <v>3</v>
      </c>
      <c r="B8" s="369" t="s">
        <v>539</v>
      </c>
      <c r="C8" s="1054">
        <v>2807703.6626499998</v>
      </c>
      <c r="D8" s="1054"/>
      <c r="E8" s="1054">
        <v>0</v>
      </c>
      <c r="F8" s="1054">
        <v>0</v>
      </c>
      <c r="G8" s="1054">
        <v>5932822.2846323848</v>
      </c>
      <c r="H8" s="1054">
        <v>0</v>
      </c>
      <c r="I8" s="1054">
        <v>0</v>
      </c>
      <c r="J8" s="1054">
        <v>10564520.386914616</v>
      </c>
      <c r="K8" s="1054">
        <v>130937365.395918</v>
      </c>
    </row>
    <row r="9" spans="1:11" ht="12.75">
      <c r="A9" s="368">
        <v>4</v>
      </c>
      <c r="B9" s="397" t="s">
        <v>872</v>
      </c>
      <c r="C9" s="1088">
        <v>0</v>
      </c>
      <c r="D9" s="1088"/>
      <c r="E9" s="1088">
        <v>0</v>
      </c>
      <c r="F9" s="1088">
        <v>0</v>
      </c>
      <c r="G9" s="1088">
        <v>885383.80488499987</v>
      </c>
      <c r="H9" s="1088">
        <v>0</v>
      </c>
      <c r="I9" s="1088">
        <v>0</v>
      </c>
      <c r="J9" s="1088">
        <v>66372.38</v>
      </c>
      <c r="K9" s="1088">
        <v>67233.023744999999</v>
      </c>
    </row>
    <row r="10" spans="1:11" ht="12.75">
      <c r="A10" s="368">
        <v>5</v>
      </c>
      <c r="B10" s="387" t="s">
        <v>871</v>
      </c>
      <c r="C10" s="1088"/>
      <c r="D10" s="1088"/>
      <c r="E10" s="1088"/>
      <c r="F10" s="1088"/>
      <c r="G10" s="1088"/>
      <c r="H10" s="1088"/>
      <c r="I10" s="1088"/>
      <c r="J10" s="1088"/>
      <c r="K10" s="1088"/>
    </row>
    <row r="11" spans="1:11" ht="12.75">
      <c r="A11" s="368">
        <v>6</v>
      </c>
      <c r="B11" s="387" t="s">
        <v>870</v>
      </c>
      <c r="C11" s="1088"/>
      <c r="D11" s="1088"/>
      <c r="E11" s="1088"/>
      <c r="F11" s="1088"/>
      <c r="G11" s="1088"/>
      <c r="H11" s="1088"/>
      <c r="I11" s="1088"/>
      <c r="J11" s="1088"/>
      <c r="K11" s="1088"/>
    </row>
    <row r="13" spans="1:11" ht="15">
      <c r="B13" s="444"/>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80" zoomScaleNormal="80" workbookViewId="0">
      <selection activeCell="A5" sqref="A5:B6"/>
    </sheetView>
  </sheetViews>
  <sheetFormatPr defaultColWidth="8.85546875" defaultRowHeight="15"/>
  <cols>
    <col min="1" max="1" width="10" style="449" bestFit="1" customWidth="1"/>
    <col min="2" max="2" width="71.85546875" style="449" customWidth="1"/>
    <col min="3" max="3" width="10.5703125" style="449" bestFit="1" customWidth="1"/>
    <col min="4" max="5" width="15.140625" style="449" bestFit="1" customWidth="1"/>
    <col min="6" max="6" width="20" style="449" bestFit="1" customWidth="1"/>
    <col min="7" max="7" width="37.5703125" style="449" bestFit="1" customWidth="1"/>
    <col min="8" max="8" width="10.5703125" style="449" bestFit="1" customWidth="1"/>
    <col min="9" max="10" width="15.140625" style="449" bestFit="1" customWidth="1"/>
    <col min="11" max="11" width="20" style="449" bestFit="1" customWidth="1"/>
    <col min="12" max="12" width="37.5703125" style="449" bestFit="1" customWidth="1"/>
    <col min="13" max="13" width="10.5703125" style="449" bestFit="1" customWidth="1"/>
    <col min="14" max="15" width="15.140625" style="449" bestFit="1" customWidth="1"/>
    <col min="16" max="16" width="20" style="449" bestFit="1" customWidth="1"/>
    <col min="17" max="17" width="37.5703125" style="449" bestFit="1" customWidth="1"/>
    <col min="18" max="18" width="18" style="449" bestFit="1" customWidth="1"/>
    <col min="19" max="19" width="48" style="449" bestFit="1" customWidth="1"/>
    <col min="20" max="20" width="45.85546875" style="449" bestFit="1" customWidth="1"/>
    <col min="21" max="21" width="48" style="449" bestFit="1" customWidth="1"/>
    <col min="22" max="22" width="44.42578125" style="449" bestFit="1" customWidth="1"/>
    <col min="23" max="16384" width="8.85546875" style="449"/>
  </cols>
  <sheetData>
    <row r="1" spans="1:22">
      <c r="A1" s="302" t="s">
        <v>97</v>
      </c>
      <c r="B1" s="783" t="str">
        <f>Info!C2</f>
        <v>სს იშბანკი საქართველო</v>
      </c>
    </row>
    <row r="2" spans="1:22">
      <c r="A2" s="304" t="s">
        <v>98</v>
      </c>
      <c r="B2" s="784">
        <f>'1. key ratios'!B2</f>
        <v>45747</v>
      </c>
    </row>
    <row r="3" spans="1:22">
      <c r="A3" s="305" t="s">
        <v>657</v>
      </c>
      <c r="B3" s="379"/>
    </row>
    <row r="4" spans="1:22">
      <c r="A4" s="305"/>
      <c r="B4" s="379"/>
    </row>
    <row r="5" spans="1:22" ht="24" customHeight="1">
      <c r="A5" s="715" t="s">
        <v>684</v>
      </c>
      <c r="B5" s="715"/>
      <c r="C5" s="717" t="s">
        <v>876</v>
      </c>
      <c r="D5" s="717"/>
      <c r="E5" s="717"/>
      <c r="F5" s="717"/>
      <c r="G5" s="717"/>
      <c r="H5" s="717" t="s">
        <v>565</v>
      </c>
      <c r="I5" s="717"/>
      <c r="J5" s="717"/>
      <c r="K5" s="717"/>
      <c r="L5" s="717"/>
      <c r="M5" s="717" t="s">
        <v>875</v>
      </c>
      <c r="N5" s="717"/>
      <c r="O5" s="717"/>
      <c r="P5" s="717"/>
      <c r="Q5" s="717"/>
      <c r="R5" s="716" t="s">
        <v>683</v>
      </c>
      <c r="S5" s="716" t="s">
        <v>687</v>
      </c>
      <c r="T5" s="716" t="s">
        <v>686</v>
      </c>
      <c r="U5" s="716" t="s">
        <v>915</v>
      </c>
      <c r="V5" s="716" t="s">
        <v>916</v>
      </c>
    </row>
    <row r="6" spans="1:22" ht="36" customHeight="1">
      <c r="A6" s="715"/>
      <c r="B6" s="715"/>
      <c r="C6" s="459"/>
      <c r="D6" s="377" t="s">
        <v>860</v>
      </c>
      <c r="E6" s="377" t="s">
        <v>859</v>
      </c>
      <c r="F6" s="377" t="s">
        <v>858</v>
      </c>
      <c r="G6" s="377" t="s">
        <v>857</v>
      </c>
      <c r="H6" s="459"/>
      <c r="I6" s="377" t="s">
        <v>860</v>
      </c>
      <c r="J6" s="377" t="s">
        <v>859</v>
      </c>
      <c r="K6" s="377" t="s">
        <v>858</v>
      </c>
      <c r="L6" s="377" t="s">
        <v>857</v>
      </c>
      <c r="M6" s="459"/>
      <c r="N6" s="377" t="s">
        <v>860</v>
      </c>
      <c r="O6" s="377" t="s">
        <v>859</v>
      </c>
      <c r="P6" s="377" t="s">
        <v>858</v>
      </c>
      <c r="Q6" s="377" t="s">
        <v>857</v>
      </c>
      <c r="R6" s="716"/>
      <c r="S6" s="716"/>
      <c r="T6" s="716"/>
      <c r="U6" s="716"/>
      <c r="V6" s="716"/>
    </row>
    <row r="7" spans="1:22">
      <c r="A7" s="457">
        <v>1</v>
      </c>
      <c r="B7" s="458" t="s">
        <v>658</v>
      </c>
      <c r="C7" s="1088">
        <v>0</v>
      </c>
      <c r="D7" s="1088">
        <v>0</v>
      </c>
      <c r="E7" s="1088">
        <v>0</v>
      </c>
      <c r="F7" s="1088">
        <v>0</v>
      </c>
      <c r="G7" s="1088">
        <v>0</v>
      </c>
      <c r="H7" s="1088">
        <v>0</v>
      </c>
      <c r="I7" s="1088">
        <v>0</v>
      </c>
      <c r="J7" s="1088">
        <v>0</v>
      </c>
      <c r="K7" s="1088">
        <v>0</v>
      </c>
      <c r="L7" s="1088">
        <v>0</v>
      </c>
      <c r="M7" s="1088">
        <v>0</v>
      </c>
      <c r="N7" s="1088">
        <v>0</v>
      </c>
      <c r="O7" s="1088">
        <v>0</v>
      </c>
      <c r="P7" s="1088">
        <v>0</v>
      </c>
      <c r="Q7" s="1088">
        <v>0</v>
      </c>
      <c r="R7" s="1088">
        <v>0</v>
      </c>
      <c r="S7" s="1089"/>
      <c r="T7" s="1089"/>
      <c r="U7" s="1089"/>
      <c r="V7" s="1088"/>
    </row>
    <row r="8" spans="1:22">
      <c r="A8" s="457">
        <v>2</v>
      </c>
      <c r="B8" s="456" t="s">
        <v>659</v>
      </c>
      <c r="C8" s="1088">
        <v>2966484.0546169989</v>
      </c>
      <c r="D8" s="1088">
        <v>2802355.4808719987</v>
      </c>
      <c r="E8" s="1088">
        <v>30523.17</v>
      </c>
      <c r="F8" s="1088">
        <v>133605.40374500002</v>
      </c>
      <c r="G8" s="1088">
        <v>0</v>
      </c>
      <c r="H8" s="1088">
        <v>3072489.302949999</v>
      </c>
      <c r="I8" s="1088">
        <v>2821842.0908029987</v>
      </c>
      <c r="J8" s="1088">
        <v>30689.35</v>
      </c>
      <c r="K8" s="1088">
        <v>219957.86214699998</v>
      </c>
      <c r="L8" s="1088">
        <v>0</v>
      </c>
      <c r="M8" s="1088">
        <v>215992.73947440775</v>
      </c>
      <c r="N8" s="1088">
        <v>11968.252218376354</v>
      </c>
      <c r="O8" s="1088">
        <v>5.2614151546987943E-15</v>
      </c>
      <c r="P8" s="1088">
        <v>204024.48725603137</v>
      </c>
      <c r="Q8" s="1088">
        <v>0</v>
      </c>
      <c r="R8" s="1088">
        <v>96</v>
      </c>
      <c r="S8" s="1089">
        <v>0.11592050136066769</v>
      </c>
      <c r="T8" s="1089">
        <v>0.13098232193304415</v>
      </c>
      <c r="U8" s="1089">
        <v>0.12065051372729524</v>
      </c>
      <c r="V8" s="1088">
        <v>25.906144277356937</v>
      </c>
    </row>
    <row r="9" spans="1:22">
      <c r="A9" s="457">
        <v>3</v>
      </c>
      <c r="B9" s="456" t="s">
        <v>660</v>
      </c>
      <c r="C9" s="1088">
        <v>0</v>
      </c>
      <c r="D9" s="1088">
        <v>0</v>
      </c>
      <c r="E9" s="1088">
        <v>0</v>
      </c>
      <c r="F9" s="1088">
        <v>0</v>
      </c>
      <c r="G9" s="1088">
        <v>0</v>
      </c>
      <c r="H9" s="1088">
        <v>0</v>
      </c>
      <c r="I9" s="1088">
        <v>0</v>
      </c>
      <c r="J9" s="1088">
        <v>0</v>
      </c>
      <c r="K9" s="1088">
        <v>0</v>
      </c>
      <c r="L9" s="1088">
        <v>0</v>
      </c>
      <c r="M9" s="1088">
        <v>0</v>
      </c>
      <c r="N9" s="1088">
        <v>0</v>
      </c>
      <c r="O9" s="1088">
        <v>0</v>
      </c>
      <c r="P9" s="1088">
        <v>0</v>
      </c>
      <c r="Q9" s="1088">
        <v>0</v>
      </c>
      <c r="R9" s="1088"/>
      <c r="S9" s="1089"/>
      <c r="T9" s="1089"/>
      <c r="U9" s="1089"/>
      <c r="V9" s="1088"/>
    </row>
    <row r="10" spans="1:22">
      <c r="A10" s="457">
        <v>4</v>
      </c>
      <c r="B10" s="456" t="s">
        <v>661</v>
      </c>
      <c r="C10" s="1088">
        <v>0</v>
      </c>
      <c r="D10" s="1088">
        <v>0</v>
      </c>
      <c r="E10" s="1088">
        <v>0</v>
      </c>
      <c r="F10" s="1088">
        <v>0</v>
      </c>
      <c r="G10" s="1088">
        <v>0</v>
      </c>
      <c r="H10" s="1088">
        <v>0</v>
      </c>
      <c r="I10" s="1088">
        <v>0</v>
      </c>
      <c r="J10" s="1088">
        <v>0</v>
      </c>
      <c r="K10" s="1088">
        <v>0</v>
      </c>
      <c r="L10" s="1088">
        <v>0</v>
      </c>
      <c r="M10" s="1088">
        <v>0</v>
      </c>
      <c r="N10" s="1088">
        <v>0</v>
      </c>
      <c r="O10" s="1088">
        <v>0</v>
      </c>
      <c r="P10" s="1088">
        <v>0</v>
      </c>
      <c r="Q10" s="1088">
        <v>0</v>
      </c>
      <c r="R10" s="1088"/>
      <c r="S10" s="1089"/>
      <c r="T10" s="1089"/>
      <c r="U10" s="1089"/>
      <c r="V10" s="1088"/>
    </row>
    <row r="11" spans="1:22">
      <c r="A11" s="457">
        <v>5</v>
      </c>
      <c r="B11" s="456" t="s">
        <v>662</v>
      </c>
      <c r="C11" s="1088">
        <v>3371.4800000000005</v>
      </c>
      <c r="D11" s="1088">
        <v>3371.4800000000005</v>
      </c>
      <c r="E11" s="1088">
        <v>0</v>
      </c>
      <c r="F11" s="1088">
        <v>0</v>
      </c>
      <c r="G11" s="1088">
        <v>0</v>
      </c>
      <c r="H11" s="1088">
        <v>3373.6900000000005</v>
      </c>
      <c r="I11" s="1088">
        <v>3373.6900000000005</v>
      </c>
      <c r="J11" s="1088">
        <v>0</v>
      </c>
      <c r="K11" s="1088">
        <v>0</v>
      </c>
      <c r="L11" s="1088">
        <v>0</v>
      </c>
      <c r="M11" s="1088">
        <v>26.442402761350777</v>
      </c>
      <c r="N11" s="1088">
        <v>26.442402761350777</v>
      </c>
      <c r="O11" s="1088">
        <v>0</v>
      </c>
      <c r="P11" s="1088">
        <v>0</v>
      </c>
      <c r="Q11" s="1088">
        <v>0</v>
      </c>
      <c r="R11" s="1088">
        <v>2</v>
      </c>
      <c r="S11" s="1089">
        <v>0.11</v>
      </c>
      <c r="T11" s="1089">
        <v>0.1157</v>
      </c>
      <c r="U11" s="1089">
        <v>0.11</v>
      </c>
      <c r="V11" s="1088">
        <v>10.66659409715219</v>
      </c>
    </row>
    <row r="12" spans="1:22">
      <c r="A12" s="457">
        <v>6</v>
      </c>
      <c r="B12" s="456" t="s">
        <v>663</v>
      </c>
      <c r="C12" s="1088">
        <v>0</v>
      </c>
      <c r="D12" s="1088">
        <v>0</v>
      </c>
      <c r="E12" s="1088">
        <v>0</v>
      </c>
      <c r="F12" s="1088">
        <v>0</v>
      </c>
      <c r="G12" s="1088">
        <v>0</v>
      </c>
      <c r="H12" s="1088">
        <v>0</v>
      </c>
      <c r="I12" s="1088">
        <v>0</v>
      </c>
      <c r="J12" s="1088">
        <v>0</v>
      </c>
      <c r="K12" s="1088">
        <v>0</v>
      </c>
      <c r="L12" s="1088">
        <v>0</v>
      </c>
      <c r="M12" s="1088">
        <v>0</v>
      </c>
      <c r="N12" s="1088">
        <v>0</v>
      </c>
      <c r="O12" s="1088">
        <v>0</v>
      </c>
      <c r="P12" s="1088">
        <v>0</v>
      </c>
      <c r="Q12" s="1088">
        <v>0</v>
      </c>
      <c r="R12" s="1088"/>
      <c r="S12" s="1089"/>
      <c r="T12" s="1089"/>
      <c r="U12" s="1089"/>
      <c r="V12" s="1088"/>
    </row>
    <row r="13" spans="1:22">
      <c r="A13" s="457">
        <v>7</v>
      </c>
      <c r="B13" s="456" t="s">
        <v>664</v>
      </c>
      <c r="C13" s="1090">
        <f>SUM(C14:C16)</f>
        <v>2066390.7226569999</v>
      </c>
      <c r="D13" s="1090">
        <f t="shared" ref="D13:R13" si="0">SUM(D14:D16)</f>
        <v>1588127.1484339999</v>
      </c>
      <c r="E13" s="1090">
        <f t="shared" si="0"/>
        <v>0</v>
      </c>
      <c r="F13" s="1090">
        <f t="shared" si="0"/>
        <v>478263.57422300003</v>
      </c>
      <c r="G13" s="1090">
        <f t="shared" si="0"/>
        <v>0</v>
      </c>
      <c r="H13" s="1090">
        <f t="shared" si="0"/>
        <v>2086907.0743509999</v>
      </c>
      <c r="I13" s="1090">
        <f t="shared" si="0"/>
        <v>1597690.5001279996</v>
      </c>
      <c r="J13" s="1090">
        <f t="shared" si="0"/>
        <v>0</v>
      </c>
      <c r="K13" s="1090">
        <f t="shared" si="0"/>
        <v>489216.57422300003</v>
      </c>
      <c r="L13" s="1090">
        <f t="shared" si="0"/>
        <v>0</v>
      </c>
      <c r="M13" s="1090">
        <f t="shared" si="0"/>
        <v>141625.66179758182</v>
      </c>
      <c r="N13" s="1090">
        <f t="shared" si="0"/>
        <v>5210.4113682450516</v>
      </c>
      <c r="O13" s="1090">
        <f t="shared" si="0"/>
        <v>0</v>
      </c>
      <c r="P13" s="1090">
        <f t="shared" si="0"/>
        <v>136415.25042933677</v>
      </c>
      <c r="Q13" s="1090">
        <f t="shared" si="0"/>
        <v>0</v>
      </c>
      <c r="R13" s="1090">
        <f t="shared" si="0"/>
        <v>15</v>
      </c>
      <c r="S13" s="1089"/>
      <c r="T13" s="1089"/>
      <c r="U13" s="1089">
        <v>0.1171181698308815</v>
      </c>
      <c r="V13" s="1088">
        <v>53.497626408349561</v>
      </c>
    </row>
    <row r="14" spans="1:22">
      <c r="A14" s="451">
        <v>7.1</v>
      </c>
      <c r="B14" s="450" t="s">
        <v>665</v>
      </c>
      <c r="C14" s="1088">
        <v>1887049.6167329999</v>
      </c>
      <c r="D14" s="1088">
        <v>1464335.4667329998</v>
      </c>
      <c r="E14" s="1088">
        <v>0</v>
      </c>
      <c r="F14" s="1088">
        <v>422714.15</v>
      </c>
      <c r="G14" s="1088">
        <v>0</v>
      </c>
      <c r="H14" s="1088">
        <v>1906496.6669009998</v>
      </c>
      <c r="I14" s="1088">
        <v>1472829.5169009997</v>
      </c>
      <c r="J14" s="1088">
        <v>0</v>
      </c>
      <c r="K14" s="1088">
        <v>433667.15</v>
      </c>
      <c r="L14" s="1088">
        <v>0</v>
      </c>
      <c r="M14" s="1088">
        <v>86045.185522286833</v>
      </c>
      <c r="N14" s="1088">
        <v>5179.3593159500642</v>
      </c>
      <c r="O14" s="1088">
        <v>0</v>
      </c>
      <c r="P14" s="1088">
        <v>80865.826206336773</v>
      </c>
      <c r="Q14" s="1088">
        <v>0</v>
      </c>
      <c r="R14" s="1088">
        <v>12</v>
      </c>
      <c r="S14" s="1089"/>
      <c r="T14" s="1089"/>
      <c r="U14" s="1089">
        <v>0.11710344963851424</v>
      </c>
      <c r="V14" s="1088">
        <v>54.191636067334912</v>
      </c>
    </row>
    <row r="15" spans="1:22" ht="25.5">
      <c r="A15" s="451">
        <v>7.2</v>
      </c>
      <c r="B15" s="450" t="s">
        <v>666</v>
      </c>
      <c r="C15" s="1088">
        <v>179341.105924</v>
      </c>
      <c r="D15" s="1088">
        <v>123791.68170099999</v>
      </c>
      <c r="E15" s="1088">
        <v>0</v>
      </c>
      <c r="F15" s="1088">
        <v>55549.424222999995</v>
      </c>
      <c r="G15" s="1088">
        <v>0</v>
      </c>
      <c r="H15" s="1088">
        <v>180410.40745</v>
      </c>
      <c r="I15" s="1088">
        <v>124860.98322699999</v>
      </c>
      <c r="J15" s="1088">
        <v>0</v>
      </c>
      <c r="K15" s="1088">
        <v>55549.424222999995</v>
      </c>
      <c r="L15" s="1088">
        <v>0</v>
      </c>
      <c r="M15" s="1088">
        <v>55580.476275294983</v>
      </c>
      <c r="N15" s="1088">
        <v>31.052052294987604</v>
      </c>
      <c r="O15" s="1088">
        <v>0</v>
      </c>
      <c r="P15" s="1088">
        <v>55549.424222999995</v>
      </c>
      <c r="Q15" s="1088">
        <v>0</v>
      </c>
      <c r="R15" s="1088">
        <v>3</v>
      </c>
      <c r="S15" s="1089"/>
      <c r="T15" s="1089"/>
      <c r="U15" s="1089">
        <v>0.11727305754177043</v>
      </c>
      <c r="V15" s="1088">
        <v>46.195169705800367</v>
      </c>
    </row>
    <row r="16" spans="1:22">
      <c r="A16" s="451">
        <v>7.3</v>
      </c>
      <c r="B16" s="450" t="s">
        <v>667</v>
      </c>
      <c r="C16" s="1088">
        <v>0</v>
      </c>
      <c r="D16" s="1088">
        <v>0</v>
      </c>
      <c r="E16" s="1088">
        <v>0</v>
      </c>
      <c r="F16" s="1088">
        <v>0</v>
      </c>
      <c r="G16" s="1088">
        <v>0</v>
      </c>
      <c r="H16" s="1088">
        <v>0</v>
      </c>
      <c r="I16" s="1088">
        <v>0</v>
      </c>
      <c r="J16" s="1088">
        <v>0</v>
      </c>
      <c r="K16" s="1088">
        <v>0</v>
      </c>
      <c r="L16" s="1088">
        <v>0</v>
      </c>
      <c r="M16" s="1088">
        <v>0</v>
      </c>
      <c r="N16" s="1088">
        <v>0</v>
      </c>
      <c r="O16" s="1088">
        <v>0</v>
      </c>
      <c r="P16" s="1088">
        <v>0</v>
      </c>
      <c r="Q16" s="1088">
        <v>0</v>
      </c>
      <c r="R16" s="1088"/>
      <c r="S16" s="1089"/>
      <c r="T16" s="1089"/>
      <c r="U16" s="1089"/>
      <c r="V16" s="1088"/>
    </row>
    <row r="17" spans="1:22">
      <c r="A17" s="457">
        <v>8</v>
      </c>
      <c r="B17" s="456" t="s">
        <v>668</v>
      </c>
      <c r="C17" s="1088">
        <v>0</v>
      </c>
      <c r="D17" s="1088">
        <v>0</v>
      </c>
      <c r="E17" s="1088">
        <v>0</v>
      </c>
      <c r="F17" s="1088">
        <v>0</v>
      </c>
      <c r="G17" s="1088">
        <v>0</v>
      </c>
      <c r="H17" s="1088">
        <v>0</v>
      </c>
      <c r="I17" s="1088">
        <v>0</v>
      </c>
      <c r="J17" s="1088">
        <v>0</v>
      </c>
      <c r="K17" s="1088">
        <v>0</v>
      </c>
      <c r="L17" s="1088">
        <v>0</v>
      </c>
      <c r="M17" s="1088">
        <v>0</v>
      </c>
      <c r="N17" s="1088">
        <v>0</v>
      </c>
      <c r="O17" s="1088">
        <v>0</v>
      </c>
      <c r="P17" s="1088">
        <v>0</v>
      </c>
      <c r="Q17" s="1088">
        <v>0</v>
      </c>
      <c r="R17" s="1088"/>
      <c r="S17" s="1089"/>
      <c r="T17" s="1089"/>
      <c r="U17" s="1089"/>
      <c r="V17" s="1088"/>
    </row>
    <row r="18" spans="1:22">
      <c r="A18" s="455">
        <v>9</v>
      </c>
      <c r="B18" s="454" t="s">
        <v>669</v>
      </c>
      <c r="C18" s="1091">
        <v>0</v>
      </c>
      <c r="D18" s="1091">
        <v>0</v>
      </c>
      <c r="E18" s="1091">
        <v>0</v>
      </c>
      <c r="F18" s="1091">
        <v>0</v>
      </c>
      <c r="G18" s="1091">
        <v>0</v>
      </c>
      <c r="H18" s="1091">
        <v>0</v>
      </c>
      <c r="I18" s="1091">
        <v>0</v>
      </c>
      <c r="J18" s="1091">
        <v>0</v>
      </c>
      <c r="K18" s="1091">
        <v>0</v>
      </c>
      <c r="L18" s="1091">
        <v>0</v>
      </c>
      <c r="M18" s="1091">
        <v>0</v>
      </c>
      <c r="N18" s="1091">
        <v>0</v>
      </c>
      <c r="O18" s="1091">
        <v>0</v>
      </c>
      <c r="P18" s="1091">
        <v>0</v>
      </c>
      <c r="Q18" s="1091">
        <v>0</v>
      </c>
      <c r="R18" s="1091"/>
      <c r="S18" s="1092"/>
      <c r="T18" s="1092"/>
      <c r="U18" s="1092"/>
      <c r="V18" s="1091"/>
    </row>
    <row r="19" spans="1:22">
      <c r="A19" s="453">
        <v>10</v>
      </c>
      <c r="B19" s="452" t="s">
        <v>685</v>
      </c>
      <c r="C19" s="1090">
        <f>SUM(C7:C13)</f>
        <v>5036246.257273999</v>
      </c>
      <c r="D19" s="1090">
        <f t="shared" ref="D19:R19" si="1">SUM(D7:D13)</f>
        <v>4393854.1093059983</v>
      </c>
      <c r="E19" s="1090">
        <f>SUM(E7:E13)</f>
        <v>30523.17</v>
      </c>
      <c r="F19" s="1090">
        <f t="shared" si="1"/>
        <v>611868.97796800011</v>
      </c>
      <c r="G19" s="1090">
        <f t="shared" si="1"/>
        <v>0</v>
      </c>
      <c r="H19" s="1090">
        <f t="shared" si="1"/>
        <v>5162770.0673009986</v>
      </c>
      <c r="I19" s="1090">
        <f t="shared" si="1"/>
        <v>4422906.2809309978</v>
      </c>
      <c r="J19" s="1090">
        <f>SUM(J7:J13)</f>
        <v>30689.35</v>
      </c>
      <c r="K19" s="1090">
        <f t="shared" si="1"/>
        <v>709174.43637000001</v>
      </c>
      <c r="L19" s="1090">
        <f t="shared" si="1"/>
        <v>0</v>
      </c>
      <c r="M19" s="1090">
        <f t="shared" si="1"/>
        <v>357644.84367475088</v>
      </c>
      <c r="N19" s="1090">
        <f t="shared" si="1"/>
        <v>17205.105989382755</v>
      </c>
      <c r="O19" s="1090">
        <v>0</v>
      </c>
      <c r="P19" s="1090">
        <f t="shared" si="1"/>
        <v>340439.73768536816</v>
      </c>
      <c r="Q19" s="1090">
        <f t="shared" si="1"/>
        <v>0</v>
      </c>
      <c r="R19" s="1090">
        <f t="shared" si="1"/>
        <v>113</v>
      </c>
      <c r="S19" s="1089">
        <v>0.12265148487495527</v>
      </c>
      <c r="T19" s="1089">
        <v>0.13244152996688996</v>
      </c>
      <c r="U19" s="1089">
        <v>0.1191940498698716</v>
      </c>
      <c r="V19" s="1088">
        <v>37.216830838587747</v>
      </c>
    </row>
    <row r="20" spans="1:22" ht="25.5">
      <c r="A20" s="451">
        <v>10.1</v>
      </c>
      <c r="B20" s="450" t="s">
        <v>688</v>
      </c>
      <c r="C20" s="445"/>
      <c r="D20" s="445"/>
      <c r="E20" s="445"/>
      <c r="F20" s="445"/>
      <c r="G20" s="445"/>
      <c r="H20" s="445"/>
      <c r="I20" s="445"/>
      <c r="J20" s="445"/>
      <c r="K20" s="445"/>
      <c r="L20" s="445"/>
      <c r="M20" s="445"/>
      <c r="N20" s="445"/>
      <c r="O20" s="445"/>
      <c r="P20" s="445"/>
      <c r="Q20" s="445"/>
      <c r="R20" s="445"/>
      <c r="S20" s="1089"/>
      <c r="T20" s="1089"/>
      <c r="U20" s="1089"/>
      <c r="V20" s="445"/>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zoomScale="110" zoomScaleNormal="110" workbookViewId="0">
      <selection sqref="A1:C1"/>
    </sheetView>
  </sheetViews>
  <sheetFormatPr defaultColWidth="43.5703125" defaultRowHeight="11.25"/>
  <cols>
    <col min="1" max="1" width="8" style="140" customWidth="1"/>
    <col min="2" max="2" width="66.140625" style="141" customWidth="1"/>
    <col min="3" max="3" width="131.42578125" style="142" customWidth="1"/>
    <col min="4" max="5" width="10.140625" style="133" customWidth="1"/>
    <col min="6" max="6" width="67.5703125" style="133" customWidth="1"/>
    <col min="7" max="16384" width="43.5703125" style="133"/>
  </cols>
  <sheetData>
    <row r="1" spans="1:3" ht="12.75" thickTop="1" thickBot="1">
      <c r="A1" s="718" t="s">
        <v>176</v>
      </c>
      <c r="B1" s="719"/>
      <c r="C1" s="720"/>
    </row>
    <row r="2" spans="1:3" ht="26.25" customHeight="1">
      <c r="A2" s="313"/>
      <c r="B2" s="721" t="s">
        <v>177</v>
      </c>
      <c r="C2" s="721"/>
    </row>
    <row r="3" spans="1:3" s="138" customFormat="1" ht="11.25" customHeight="1">
      <c r="A3" s="137"/>
      <c r="B3" s="721" t="s">
        <v>251</v>
      </c>
      <c r="C3" s="721"/>
    </row>
    <row r="4" spans="1:3" ht="12" customHeight="1" thickBot="1">
      <c r="A4" s="722" t="s">
        <v>255</v>
      </c>
      <c r="B4" s="723"/>
      <c r="C4" s="724"/>
    </row>
    <row r="5" spans="1:3" ht="12" thickTop="1">
      <c r="A5" s="134"/>
      <c r="B5" s="725" t="s">
        <v>178</v>
      </c>
      <c r="C5" s="726"/>
    </row>
    <row r="6" spans="1:3">
      <c r="A6" s="313"/>
      <c r="B6" s="727" t="s">
        <v>252</v>
      </c>
      <c r="C6" s="728"/>
    </row>
    <row r="7" spans="1:3">
      <c r="A7" s="313"/>
      <c r="B7" s="727" t="s">
        <v>179</v>
      </c>
      <c r="C7" s="728"/>
    </row>
    <row r="8" spans="1:3">
      <c r="A8" s="313"/>
      <c r="B8" s="727" t="s">
        <v>253</v>
      </c>
      <c r="C8" s="728"/>
    </row>
    <row r="9" spans="1:3">
      <c r="A9" s="313"/>
      <c r="B9" s="733" t="s">
        <v>254</v>
      </c>
      <c r="C9" s="734"/>
    </row>
    <row r="10" spans="1:3">
      <c r="A10" s="313"/>
      <c r="B10" s="731" t="s">
        <v>180</v>
      </c>
      <c r="C10" s="732" t="s">
        <v>180</v>
      </c>
    </row>
    <row r="11" spans="1:3">
      <c r="A11" s="313"/>
      <c r="B11" s="731" t="s">
        <v>181</v>
      </c>
      <c r="C11" s="732" t="s">
        <v>181</v>
      </c>
    </row>
    <row r="12" spans="1:3">
      <c r="A12" s="313"/>
      <c r="B12" s="731" t="s">
        <v>182</v>
      </c>
      <c r="C12" s="732" t="s">
        <v>182</v>
      </c>
    </row>
    <row r="13" spans="1:3">
      <c r="A13" s="313"/>
      <c r="B13" s="731" t="s">
        <v>183</v>
      </c>
      <c r="C13" s="732" t="s">
        <v>183</v>
      </c>
    </row>
    <row r="14" spans="1:3">
      <c r="A14" s="313"/>
      <c r="B14" s="731" t="s">
        <v>184</v>
      </c>
      <c r="C14" s="732" t="s">
        <v>184</v>
      </c>
    </row>
    <row r="15" spans="1:3" ht="21.75" customHeight="1">
      <c r="A15" s="313"/>
      <c r="B15" s="731" t="s">
        <v>185</v>
      </c>
      <c r="C15" s="732" t="s">
        <v>185</v>
      </c>
    </row>
    <row r="16" spans="1:3">
      <c r="A16" s="313"/>
      <c r="B16" s="731" t="s">
        <v>186</v>
      </c>
      <c r="C16" s="732" t="s">
        <v>187</v>
      </c>
    </row>
    <row r="17" spans="1:6">
      <c r="A17" s="313"/>
      <c r="B17" s="731" t="s">
        <v>188</v>
      </c>
      <c r="C17" s="732" t="s">
        <v>189</v>
      </c>
    </row>
    <row r="18" spans="1:6">
      <c r="A18" s="313"/>
      <c r="B18" s="731" t="s">
        <v>190</v>
      </c>
      <c r="C18" s="732" t="s">
        <v>191</v>
      </c>
    </row>
    <row r="19" spans="1:6">
      <c r="A19" s="546"/>
      <c r="B19" s="729" t="s">
        <v>192</v>
      </c>
      <c r="C19" s="730" t="s">
        <v>192</v>
      </c>
    </row>
    <row r="20" spans="1:6">
      <c r="A20" s="546"/>
      <c r="B20" s="729" t="s">
        <v>918</v>
      </c>
      <c r="C20" s="730" t="s">
        <v>193</v>
      </c>
    </row>
    <row r="21" spans="1:6">
      <c r="A21" s="313"/>
      <c r="B21" s="729" t="s">
        <v>961</v>
      </c>
      <c r="C21" s="730" t="s">
        <v>194</v>
      </c>
    </row>
    <row r="22" spans="1:6" ht="23.25" customHeight="1">
      <c r="A22" s="313"/>
      <c r="B22" s="731" t="s">
        <v>195</v>
      </c>
      <c r="C22" s="732" t="s">
        <v>196</v>
      </c>
      <c r="F22" s="509"/>
    </row>
    <row r="23" spans="1:6">
      <c r="A23" s="313"/>
      <c r="B23" s="731" t="s">
        <v>197</v>
      </c>
      <c r="C23" s="732" t="s">
        <v>197</v>
      </c>
    </row>
    <row r="24" spans="1:6">
      <c r="A24" s="313"/>
      <c r="B24" s="731" t="s">
        <v>198</v>
      </c>
      <c r="C24" s="732" t="s">
        <v>199</v>
      </c>
    </row>
    <row r="25" spans="1:6" ht="12" thickBot="1">
      <c r="A25" s="135"/>
      <c r="B25" s="740" t="s">
        <v>200</v>
      </c>
      <c r="C25" s="741"/>
    </row>
    <row r="26" spans="1:6" ht="12.75" thickTop="1" thickBot="1">
      <c r="A26" s="722" t="s">
        <v>812</v>
      </c>
      <c r="B26" s="723"/>
      <c r="C26" s="724"/>
    </row>
    <row r="27" spans="1:6" ht="12.75" thickTop="1" thickBot="1">
      <c r="A27" s="136"/>
      <c r="B27" s="742" t="s">
        <v>813</v>
      </c>
      <c r="C27" s="743"/>
    </row>
    <row r="28" spans="1:6" ht="12.75" thickTop="1" thickBot="1">
      <c r="A28" s="722" t="s">
        <v>256</v>
      </c>
      <c r="B28" s="723"/>
      <c r="C28" s="724"/>
    </row>
    <row r="29" spans="1:6" ht="12" thickTop="1">
      <c r="A29" s="134"/>
      <c r="B29" s="744" t="s">
        <v>816</v>
      </c>
      <c r="C29" s="745" t="s">
        <v>201</v>
      </c>
    </row>
    <row r="30" spans="1:6">
      <c r="A30" s="313"/>
      <c r="B30" s="735" t="s">
        <v>205</v>
      </c>
      <c r="C30" s="736" t="s">
        <v>202</v>
      </c>
    </row>
    <row r="31" spans="1:6">
      <c r="A31" s="313"/>
      <c r="B31" s="735" t="s">
        <v>814</v>
      </c>
      <c r="C31" s="736" t="s">
        <v>203</v>
      </c>
    </row>
    <row r="32" spans="1:6">
      <c r="A32" s="313"/>
      <c r="B32" s="735" t="s">
        <v>815</v>
      </c>
      <c r="C32" s="736" t="s">
        <v>204</v>
      </c>
    </row>
    <row r="33" spans="1:3">
      <c r="A33" s="313"/>
      <c r="B33" s="735" t="s">
        <v>208</v>
      </c>
      <c r="C33" s="736" t="s">
        <v>209</v>
      </c>
    </row>
    <row r="34" spans="1:3">
      <c r="A34" s="313"/>
      <c r="B34" s="735" t="s">
        <v>817</v>
      </c>
      <c r="C34" s="736" t="s">
        <v>206</v>
      </c>
    </row>
    <row r="35" spans="1:3">
      <c r="A35" s="313"/>
      <c r="B35" s="735" t="s">
        <v>818</v>
      </c>
      <c r="C35" s="736" t="s">
        <v>207</v>
      </c>
    </row>
    <row r="36" spans="1:3">
      <c r="A36" s="313"/>
      <c r="B36" s="737" t="s">
        <v>819</v>
      </c>
      <c r="C36" s="738"/>
    </row>
    <row r="37" spans="1:3" ht="24.75" customHeight="1">
      <c r="A37" s="313"/>
      <c r="B37" s="735" t="s">
        <v>820</v>
      </c>
      <c r="C37" s="736" t="s">
        <v>210</v>
      </c>
    </row>
    <row r="38" spans="1:3" ht="23.25" customHeight="1">
      <c r="A38" s="313"/>
      <c r="B38" s="735" t="s">
        <v>821</v>
      </c>
      <c r="C38" s="736" t="s">
        <v>211</v>
      </c>
    </row>
    <row r="39" spans="1:3" ht="23.25" customHeight="1">
      <c r="A39" s="355"/>
      <c r="B39" s="737" t="s">
        <v>822</v>
      </c>
      <c r="C39" s="739"/>
    </row>
    <row r="40" spans="1:3" ht="12" customHeight="1">
      <c r="A40" s="313"/>
      <c r="B40" s="735" t="s">
        <v>823</v>
      </c>
      <c r="C40" s="736"/>
    </row>
    <row r="41" spans="1:3" ht="12" thickBot="1">
      <c r="A41" s="722" t="s">
        <v>257</v>
      </c>
      <c r="B41" s="723"/>
      <c r="C41" s="724"/>
    </row>
    <row r="42" spans="1:3" ht="12" thickTop="1">
      <c r="A42" s="134"/>
      <c r="B42" s="725" t="s">
        <v>287</v>
      </c>
      <c r="C42" s="726" t="s">
        <v>212</v>
      </c>
    </row>
    <row r="43" spans="1:3">
      <c r="A43" s="313"/>
      <c r="B43" s="727" t="s">
        <v>286</v>
      </c>
      <c r="C43" s="728"/>
    </row>
    <row r="44" spans="1:3" ht="23.25" customHeight="1" thickBot="1">
      <c r="A44" s="135"/>
      <c r="B44" s="746" t="s">
        <v>213</v>
      </c>
      <c r="C44" s="747" t="s">
        <v>214</v>
      </c>
    </row>
    <row r="45" spans="1:3" ht="11.25" customHeight="1" thickTop="1" thickBot="1">
      <c r="A45" s="722" t="s">
        <v>258</v>
      </c>
      <c r="B45" s="723"/>
      <c r="C45" s="724"/>
    </row>
    <row r="46" spans="1:3" ht="26.25" customHeight="1" thickTop="1">
      <c r="A46" s="313"/>
      <c r="B46" s="727" t="s">
        <v>259</v>
      </c>
      <c r="C46" s="728"/>
    </row>
    <row r="47" spans="1:3" ht="12" thickBot="1">
      <c r="A47" s="722" t="s">
        <v>260</v>
      </c>
      <c r="B47" s="723"/>
      <c r="C47" s="724"/>
    </row>
    <row r="48" spans="1:3" ht="12" thickTop="1">
      <c r="A48" s="134"/>
      <c r="B48" s="725" t="s">
        <v>215</v>
      </c>
      <c r="C48" s="726" t="s">
        <v>215</v>
      </c>
    </row>
    <row r="49" spans="1:3" ht="11.25" customHeight="1">
      <c r="A49" s="313"/>
      <c r="B49" s="727" t="s">
        <v>216</v>
      </c>
      <c r="C49" s="728" t="s">
        <v>216</v>
      </c>
    </row>
    <row r="50" spans="1:3">
      <c r="A50" s="313"/>
      <c r="B50" s="727" t="s">
        <v>217</v>
      </c>
      <c r="C50" s="728" t="s">
        <v>217</v>
      </c>
    </row>
    <row r="51" spans="1:3" ht="11.25" customHeight="1">
      <c r="A51" s="313"/>
      <c r="B51" s="727" t="s">
        <v>825</v>
      </c>
      <c r="C51" s="728" t="s">
        <v>218</v>
      </c>
    </row>
    <row r="52" spans="1:3" ht="33.6" customHeight="1">
      <c r="A52" s="313"/>
      <c r="B52" s="727" t="s">
        <v>219</v>
      </c>
      <c r="C52" s="728" t="s">
        <v>219</v>
      </c>
    </row>
    <row r="53" spans="1:3" ht="11.25" customHeight="1">
      <c r="A53" s="313"/>
      <c r="B53" s="727" t="s">
        <v>307</v>
      </c>
      <c r="C53" s="728" t="s">
        <v>220</v>
      </c>
    </row>
    <row r="54" spans="1:3" ht="11.25" customHeight="1" thickBot="1">
      <c r="A54" s="722" t="s">
        <v>261</v>
      </c>
      <c r="B54" s="723"/>
      <c r="C54" s="724"/>
    </row>
    <row r="55" spans="1:3" ht="12" thickTop="1">
      <c r="A55" s="134"/>
      <c r="B55" s="725" t="s">
        <v>215</v>
      </c>
      <c r="C55" s="726" t="s">
        <v>215</v>
      </c>
    </row>
    <row r="56" spans="1:3">
      <c r="A56" s="313"/>
      <c r="B56" s="727" t="s">
        <v>221</v>
      </c>
      <c r="C56" s="728" t="s">
        <v>221</v>
      </c>
    </row>
    <row r="57" spans="1:3">
      <c r="A57" s="313"/>
      <c r="B57" s="727" t="s">
        <v>264</v>
      </c>
      <c r="C57" s="728" t="s">
        <v>222</v>
      </c>
    </row>
    <row r="58" spans="1:3">
      <c r="A58" s="313"/>
      <c r="B58" s="727" t="s">
        <v>223</v>
      </c>
      <c r="C58" s="728" t="s">
        <v>223</v>
      </c>
    </row>
    <row r="59" spans="1:3">
      <c r="A59" s="313"/>
      <c r="B59" s="727" t="s">
        <v>224</v>
      </c>
      <c r="C59" s="728" t="s">
        <v>224</v>
      </c>
    </row>
    <row r="60" spans="1:3">
      <c r="A60" s="313"/>
      <c r="B60" s="727" t="s">
        <v>225</v>
      </c>
      <c r="C60" s="728" t="s">
        <v>225</v>
      </c>
    </row>
    <row r="61" spans="1:3">
      <c r="A61" s="313"/>
      <c r="B61" s="727" t="s">
        <v>265</v>
      </c>
      <c r="C61" s="728" t="s">
        <v>226</v>
      </c>
    </row>
    <row r="62" spans="1:3" ht="12" customHeight="1">
      <c r="A62" s="313"/>
      <c r="B62" s="752" t="s">
        <v>998</v>
      </c>
      <c r="C62" s="753" t="s">
        <v>227</v>
      </c>
    </row>
    <row r="63" spans="1:3" ht="22.5" customHeight="1" thickBot="1">
      <c r="A63" s="135"/>
      <c r="B63" s="746" t="s">
        <v>228</v>
      </c>
      <c r="C63" s="747" t="s">
        <v>228</v>
      </c>
    </row>
    <row r="64" spans="1:3" ht="11.25" customHeight="1" thickTop="1">
      <c r="A64" s="754" t="s">
        <v>262</v>
      </c>
      <c r="B64" s="755"/>
      <c r="C64" s="756"/>
    </row>
    <row r="65" spans="1:3" ht="12" thickBot="1">
      <c r="A65" s="135"/>
      <c r="B65" s="746" t="s">
        <v>229</v>
      </c>
      <c r="C65" s="747" t="s">
        <v>229</v>
      </c>
    </row>
    <row r="66" spans="1:3" ht="11.25" customHeight="1" thickTop="1">
      <c r="A66" s="754" t="s">
        <v>951</v>
      </c>
      <c r="B66" s="755"/>
      <c r="C66" s="756"/>
    </row>
    <row r="67" spans="1:3" ht="12" thickBot="1">
      <c r="A67" s="135"/>
      <c r="B67" s="746" t="s">
        <v>950</v>
      </c>
      <c r="C67" s="747"/>
    </row>
    <row r="68" spans="1:3" ht="11.25" customHeight="1" thickTop="1" thickBot="1">
      <c r="A68" s="722" t="s">
        <v>263</v>
      </c>
      <c r="B68" s="723"/>
      <c r="C68" s="724"/>
    </row>
    <row r="69" spans="1:3" ht="12" thickTop="1">
      <c r="A69" s="134"/>
      <c r="B69" s="725" t="s">
        <v>230</v>
      </c>
      <c r="C69" s="726" t="s">
        <v>230</v>
      </c>
    </row>
    <row r="70" spans="1:3">
      <c r="A70" s="313"/>
      <c r="B70" s="727" t="s">
        <v>827</v>
      </c>
      <c r="C70" s="728" t="s">
        <v>231</v>
      </c>
    </row>
    <row r="71" spans="1:3">
      <c r="A71" s="313"/>
      <c r="B71" s="727" t="s">
        <v>232</v>
      </c>
      <c r="C71" s="728" t="s">
        <v>232</v>
      </c>
    </row>
    <row r="72" spans="1:3" ht="54.95" customHeight="1">
      <c r="A72" s="313"/>
      <c r="B72" s="748" t="s">
        <v>962</v>
      </c>
      <c r="C72" s="749" t="s">
        <v>233</v>
      </c>
    </row>
    <row r="73" spans="1:3" ht="33.75" customHeight="1">
      <c r="A73" s="313"/>
      <c r="B73" s="750" t="s">
        <v>266</v>
      </c>
      <c r="C73" s="751" t="s">
        <v>234</v>
      </c>
    </row>
    <row r="74" spans="1:3" ht="15.75" customHeight="1">
      <c r="A74" s="313"/>
      <c r="B74" s="750" t="s">
        <v>828</v>
      </c>
      <c r="C74" s="751" t="s">
        <v>235</v>
      </c>
    </row>
    <row r="75" spans="1:3">
      <c r="A75" s="313"/>
      <c r="B75" s="727" t="s">
        <v>236</v>
      </c>
      <c r="C75" s="728" t="s">
        <v>236</v>
      </c>
    </row>
    <row r="76" spans="1:3" ht="12" thickBot="1">
      <c r="A76" s="135"/>
      <c r="B76" s="746" t="s">
        <v>237</v>
      </c>
      <c r="C76" s="747" t="s">
        <v>237</v>
      </c>
    </row>
    <row r="77" spans="1:3" ht="12" thickTop="1">
      <c r="A77" s="754" t="s">
        <v>290</v>
      </c>
      <c r="B77" s="755"/>
      <c r="C77" s="756"/>
    </row>
    <row r="78" spans="1:3">
      <c r="A78" s="313"/>
      <c r="B78" s="727" t="s">
        <v>229</v>
      </c>
      <c r="C78" s="728"/>
    </row>
    <row r="79" spans="1:3">
      <c r="A79" s="313"/>
      <c r="B79" s="727" t="s">
        <v>288</v>
      </c>
      <c r="C79" s="728"/>
    </row>
    <row r="80" spans="1:3">
      <c r="A80" s="313"/>
      <c r="B80" s="727" t="s">
        <v>289</v>
      </c>
      <c r="C80" s="728"/>
    </row>
    <row r="81" spans="1:3">
      <c r="A81" s="754" t="s">
        <v>291</v>
      </c>
      <c r="B81" s="755"/>
      <c r="C81" s="756"/>
    </row>
    <row r="82" spans="1:3">
      <c r="A82" s="313"/>
      <c r="B82" s="727" t="s">
        <v>229</v>
      </c>
      <c r="C82" s="728"/>
    </row>
    <row r="83" spans="1:3">
      <c r="A83" s="313"/>
      <c r="B83" s="727" t="s">
        <v>292</v>
      </c>
      <c r="C83" s="728"/>
    </row>
    <row r="84" spans="1:3" ht="79.5" customHeight="1">
      <c r="A84" s="313"/>
      <c r="B84" s="727" t="s">
        <v>306</v>
      </c>
      <c r="C84" s="728"/>
    </row>
    <row r="85" spans="1:3" ht="53.25" customHeight="1">
      <c r="A85" s="313"/>
      <c r="B85" s="727" t="s">
        <v>305</v>
      </c>
      <c r="C85" s="728"/>
    </row>
    <row r="86" spans="1:3">
      <c r="A86" s="313"/>
      <c r="B86" s="727" t="s">
        <v>293</v>
      </c>
      <c r="C86" s="728"/>
    </row>
    <row r="87" spans="1:3">
      <c r="A87" s="313"/>
      <c r="B87" s="727" t="s">
        <v>294</v>
      </c>
      <c r="C87" s="728"/>
    </row>
    <row r="88" spans="1:3">
      <c r="A88" s="313"/>
      <c r="B88" s="727" t="s">
        <v>295</v>
      </c>
      <c r="C88" s="728"/>
    </row>
    <row r="89" spans="1:3">
      <c r="A89" s="754" t="s">
        <v>296</v>
      </c>
      <c r="B89" s="755"/>
      <c r="C89" s="756"/>
    </row>
    <row r="90" spans="1:3">
      <c r="A90" s="313"/>
      <c r="B90" s="727" t="s">
        <v>229</v>
      </c>
      <c r="C90" s="728"/>
    </row>
    <row r="91" spans="1:3">
      <c r="A91" s="313"/>
      <c r="B91" s="727" t="s">
        <v>298</v>
      </c>
      <c r="C91" s="728"/>
    </row>
    <row r="92" spans="1:3" ht="12" customHeight="1">
      <c r="A92" s="313"/>
      <c r="B92" s="727" t="s">
        <v>299</v>
      </c>
      <c r="C92" s="728"/>
    </row>
    <row r="93" spans="1:3">
      <c r="A93" s="313"/>
      <c r="B93" s="727" t="s">
        <v>300</v>
      </c>
      <c r="C93" s="728"/>
    </row>
    <row r="94" spans="1:3" ht="24.75" customHeight="1">
      <c r="A94" s="313"/>
      <c r="B94" s="735" t="s">
        <v>336</v>
      </c>
      <c r="C94" s="736"/>
    </row>
    <row r="95" spans="1:3" ht="24" customHeight="1">
      <c r="A95" s="313"/>
      <c r="B95" s="735" t="s">
        <v>337</v>
      </c>
      <c r="C95" s="736"/>
    </row>
    <row r="96" spans="1:3" ht="13.5" customHeight="1">
      <c r="A96" s="313"/>
      <c r="B96" s="735" t="s">
        <v>301</v>
      </c>
      <c r="C96" s="736"/>
    </row>
    <row r="97" spans="1:3" ht="11.25" customHeight="1" thickBot="1">
      <c r="A97" s="757" t="s">
        <v>332</v>
      </c>
      <c r="B97" s="758"/>
      <c r="C97" s="759"/>
    </row>
    <row r="98" spans="1:3" ht="12.75" thickTop="1" thickBot="1">
      <c r="A98" s="766" t="s">
        <v>238</v>
      </c>
      <c r="B98" s="766"/>
      <c r="C98" s="766"/>
    </row>
    <row r="99" spans="1:3">
      <c r="A99" s="186">
        <v>2</v>
      </c>
      <c r="B99" s="299" t="s">
        <v>312</v>
      </c>
      <c r="C99" s="299" t="s">
        <v>333</v>
      </c>
    </row>
    <row r="100" spans="1:3">
      <c r="A100" s="139">
        <v>3</v>
      </c>
      <c r="B100" s="300" t="s">
        <v>313</v>
      </c>
      <c r="C100" s="301" t="s">
        <v>334</v>
      </c>
    </row>
    <row r="101" spans="1:3">
      <c r="A101" s="139">
        <v>4</v>
      </c>
      <c r="B101" s="300" t="s">
        <v>314</v>
      </c>
      <c r="C101" s="301" t="s">
        <v>338</v>
      </c>
    </row>
    <row r="102" spans="1:3" ht="11.25" customHeight="1">
      <c r="A102" s="139">
        <v>5</v>
      </c>
      <c r="B102" s="300" t="s">
        <v>315</v>
      </c>
      <c r="C102" s="301" t="s">
        <v>335</v>
      </c>
    </row>
    <row r="103" spans="1:3" ht="12" customHeight="1">
      <c r="A103" s="139">
        <v>6</v>
      </c>
      <c r="B103" s="300" t="s">
        <v>330</v>
      </c>
      <c r="C103" s="301" t="s">
        <v>316</v>
      </c>
    </row>
    <row r="104" spans="1:3" ht="12" customHeight="1">
      <c r="A104" s="139">
        <v>7</v>
      </c>
      <c r="B104" s="300" t="s">
        <v>317</v>
      </c>
      <c r="C104" s="301" t="s">
        <v>331</v>
      </c>
    </row>
    <row r="105" spans="1:3">
      <c r="A105" s="139">
        <v>8</v>
      </c>
      <c r="B105" s="300" t="s">
        <v>322</v>
      </c>
      <c r="C105" s="301" t="s">
        <v>342</v>
      </c>
    </row>
    <row r="106" spans="1:3" ht="11.25" customHeight="1">
      <c r="A106" s="754" t="s">
        <v>302</v>
      </c>
      <c r="B106" s="755"/>
      <c r="C106" s="756"/>
    </row>
    <row r="107" spans="1:3" ht="12" customHeight="1">
      <c r="A107" s="313"/>
      <c r="B107" s="752" t="s">
        <v>999</v>
      </c>
      <c r="C107" s="753"/>
    </row>
    <row r="108" spans="1:3">
      <c r="A108" s="754" t="s">
        <v>458</v>
      </c>
      <c r="B108" s="755"/>
      <c r="C108" s="756"/>
    </row>
    <row r="109" spans="1:3" ht="12" customHeight="1">
      <c r="A109" s="313"/>
      <c r="B109" s="727" t="s">
        <v>460</v>
      </c>
      <c r="C109" s="728"/>
    </row>
    <row r="110" spans="1:3">
      <c r="A110" s="313"/>
      <c r="B110" s="727" t="s">
        <v>461</v>
      </c>
      <c r="C110" s="728"/>
    </row>
    <row r="111" spans="1:3">
      <c r="A111" s="313"/>
      <c r="B111" s="727" t="s">
        <v>459</v>
      </c>
      <c r="C111" s="728"/>
    </row>
    <row r="112" spans="1:3">
      <c r="A112" s="760" t="s">
        <v>692</v>
      </c>
      <c r="B112" s="760"/>
      <c r="C112" s="760"/>
    </row>
    <row r="113" spans="1:3">
      <c r="A113" s="761" t="s">
        <v>176</v>
      </c>
      <c r="B113" s="761"/>
      <c r="C113" s="761"/>
    </row>
    <row r="114" spans="1:3">
      <c r="A114" s="491">
        <v>1</v>
      </c>
      <c r="B114" s="762" t="s">
        <v>576</v>
      </c>
      <c r="C114" s="763"/>
    </row>
    <row r="115" spans="1:3">
      <c r="A115" s="491">
        <v>2</v>
      </c>
      <c r="B115" s="764" t="s">
        <v>577</v>
      </c>
      <c r="C115" s="765"/>
    </row>
    <row r="116" spans="1:3">
      <c r="A116" s="491">
        <v>3</v>
      </c>
      <c r="B116" s="762" t="s">
        <v>902</v>
      </c>
      <c r="C116" s="763"/>
    </row>
    <row r="117" spans="1:3">
      <c r="A117" s="491">
        <v>4</v>
      </c>
      <c r="B117" s="762" t="s">
        <v>901</v>
      </c>
      <c r="C117" s="763"/>
    </row>
    <row r="118" spans="1:3">
      <c r="A118" s="491">
        <v>5</v>
      </c>
      <c r="B118" s="495" t="s">
        <v>900</v>
      </c>
      <c r="C118" s="494"/>
    </row>
    <row r="119" spans="1:3">
      <c r="A119" s="491">
        <v>6</v>
      </c>
      <c r="B119" s="777" t="s">
        <v>968</v>
      </c>
      <c r="C119" s="778"/>
    </row>
    <row r="120" spans="1:3" ht="48.6" customHeight="1">
      <c r="A120" s="491">
        <v>7</v>
      </c>
      <c r="B120" s="777" t="s">
        <v>969</v>
      </c>
      <c r="C120" s="778"/>
    </row>
    <row r="121" spans="1:3">
      <c r="A121" s="466">
        <v>8</v>
      </c>
      <c r="B121" s="463" t="s">
        <v>603</v>
      </c>
      <c r="C121" s="488" t="s">
        <v>899</v>
      </c>
    </row>
    <row r="122" spans="1:3" ht="22.5">
      <c r="A122" s="491">
        <v>9.01</v>
      </c>
      <c r="B122" s="463" t="s">
        <v>487</v>
      </c>
      <c r="C122" s="475" t="s">
        <v>652</v>
      </c>
    </row>
    <row r="123" spans="1:3" ht="33.75">
      <c r="A123" s="491">
        <v>9.02</v>
      </c>
      <c r="B123" s="463" t="s">
        <v>488</v>
      </c>
      <c r="C123" s="475" t="s">
        <v>655</v>
      </c>
    </row>
    <row r="124" spans="1:3">
      <c r="A124" s="491">
        <v>9.0299999999999994</v>
      </c>
      <c r="B124" s="478" t="s">
        <v>836</v>
      </c>
      <c r="C124" s="478" t="s">
        <v>578</v>
      </c>
    </row>
    <row r="125" spans="1:3">
      <c r="A125" s="491">
        <v>9.0399999999999991</v>
      </c>
      <c r="B125" s="463" t="s">
        <v>489</v>
      </c>
      <c r="C125" s="478" t="s">
        <v>579</v>
      </c>
    </row>
    <row r="126" spans="1:3">
      <c r="A126" s="491">
        <v>9.0500000000000007</v>
      </c>
      <c r="B126" s="463" t="s">
        <v>490</v>
      </c>
      <c r="C126" s="478" t="s">
        <v>580</v>
      </c>
    </row>
    <row r="127" spans="1:3" ht="22.5">
      <c r="A127" s="491">
        <v>9.06</v>
      </c>
      <c r="B127" s="463" t="s">
        <v>491</v>
      </c>
      <c r="C127" s="478" t="s">
        <v>581</v>
      </c>
    </row>
    <row r="128" spans="1:3">
      <c r="A128" s="491">
        <v>9.07</v>
      </c>
      <c r="B128" s="493" t="s">
        <v>492</v>
      </c>
      <c r="C128" s="478" t="s">
        <v>582</v>
      </c>
    </row>
    <row r="129" spans="1:3" ht="22.5">
      <c r="A129" s="491">
        <v>9.08</v>
      </c>
      <c r="B129" s="463" t="s">
        <v>493</v>
      </c>
      <c r="C129" s="478" t="s">
        <v>583</v>
      </c>
    </row>
    <row r="130" spans="1:3" ht="22.5">
      <c r="A130" s="491">
        <v>9.09</v>
      </c>
      <c r="B130" s="463" t="s">
        <v>494</v>
      </c>
      <c r="C130" s="478" t="s">
        <v>584</v>
      </c>
    </row>
    <row r="131" spans="1:3">
      <c r="A131" s="492">
        <v>9.1</v>
      </c>
      <c r="B131" s="463" t="s">
        <v>495</v>
      </c>
      <c r="C131" s="478" t="s">
        <v>585</v>
      </c>
    </row>
    <row r="132" spans="1:3">
      <c r="A132" s="491">
        <v>9.11</v>
      </c>
      <c r="B132" s="463" t="s">
        <v>496</v>
      </c>
      <c r="C132" s="478" t="s">
        <v>586</v>
      </c>
    </row>
    <row r="133" spans="1:3">
      <c r="A133" s="491">
        <v>9.1199999999999992</v>
      </c>
      <c r="B133" s="463" t="s">
        <v>497</v>
      </c>
      <c r="C133" s="478" t="s">
        <v>587</v>
      </c>
    </row>
    <row r="134" spans="1:3">
      <c r="A134" s="491">
        <v>9.1300000000000008</v>
      </c>
      <c r="B134" s="463" t="s">
        <v>498</v>
      </c>
      <c r="C134" s="478" t="s">
        <v>588</v>
      </c>
    </row>
    <row r="135" spans="1:3">
      <c r="A135" s="491">
        <v>9.14</v>
      </c>
      <c r="B135" s="463" t="s">
        <v>499</v>
      </c>
      <c r="C135" s="478" t="s">
        <v>589</v>
      </c>
    </row>
    <row r="136" spans="1:3">
      <c r="A136" s="491">
        <v>9.15</v>
      </c>
      <c r="B136" s="463" t="s">
        <v>500</v>
      </c>
      <c r="C136" s="478" t="s">
        <v>590</v>
      </c>
    </row>
    <row r="137" spans="1:3" ht="22.5">
      <c r="A137" s="491">
        <v>9.16</v>
      </c>
      <c r="B137" s="463" t="s">
        <v>501</v>
      </c>
      <c r="C137" s="478" t="s">
        <v>591</v>
      </c>
    </row>
    <row r="138" spans="1:3">
      <c r="A138" s="491">
        <v>9.17</v>
      </c>
      <c r="B138" s="478" t="s">
        <v>502</v>
      </c>
      <c r="C138" s="478" t="s">
        <v>592</v>
      </c>
    </row>
    <row r="139" spans="1:3" ht="22.5">
      <c r="A139" s="491">
        <v>9.18</v>
      </c>
      <c r="B139" s="463" t="s">
        <v>503</v>
      </c>
      <c r="C139" s="478" t="s">
        <v>593</v>
      </c>
    </row>
    <row r="140" spans="1:3">
      <c r="A140" s="491">
        <v>9.19</v>
      </c>
      <c r="B140" s="463" t="s">
        <v>504</v>
      </c>
      <c r="C140" s="478" t="s">
        <v>594</v>
      </c>
    </row>
    <row r="141" spans="1:3">
      <c r="A141" s="492">
        <v>9.1999999999999993</v>
      </c>
      <c r="B141" s="463" t="s">
        <v>505</v>
      </c>
      <c r="C141" s="478" t="s">
        <v>595</v>
      </c>
    </row>
    <row r="142" spans="1:3">
      <c r="A142" s="491">
        <v>9.2100000000000009</v>
      </c>
      <c r="B142" s="463" t="s">
        <v>506</v>
      </c>
      <c r="C142" s="478" t="s">
        <v>596</v>
      </c>
    </row>
    <row r="143" spans="1:3">
      <c r="A143" s="491">
        <v>9.2200000000000006</v>
      </c>
      <c r="B143" s="463" t="s">
        <v>507</v>
      </c>
      <c r="C143" s="478" t="s">
        <v>597</v>
      </c>
    </row>
    <row r="144" spans="1:3" ht="22.5">
      <c r="A144" s="491">
        <v>9.23</v>
      </c>
      <c r="B144" s="463" t="s">
        <v>508</v>
      </c>
      <c r="C144" s="478" t="s">
        <v>598</v>
      </c>
    </row>
    <row r="145" spans="1:3" ht="22.5">
      <c r="A145" s="491">
        <v>9.24</v>
      </c>
      <c r="B145" s="463" t="s">
        <v>509</v>
      </c>
      <c r="C145" s="478" t="s">
        <v>599</v>
      </c>
    </row>
    <row r="146" spans="1:3">
      <c r="A146" s="491">
        <v>9.2500000000000107</v>
      </c>
      <c r="B146" s="463" t="s">
        <v>510</v>
      </c>
      <c r="C146" s="478" t="s">
        <v>600</v>
      </c>
    </row>
    <row r="147" spans="1:3" ht="22.5">
      <c r="A147" s="491">
        <v>9.2600000000000193</v>
      </c>
      <c r="B147" s="463" t="s">
        <v>601</v>
      </c>
      <c r="C147" s="490" t="s">
        <v>602</v>
      </c>
    </row>
    <row r="148" spans="1:3" s="314" customFormat="1" ht="22.5">
      <c r="A148" s="491">
        <v>9.2700000000000298</v>
      </c>
      <c r="B148" s="463" t="s">
        <v>88</v>
      </c>
      <c r="C148" s="490" t="s">
        <v>653</v>
      </c>
    </row>
    <row r="149" spans="1:3" s="314" customFormat="1">
      <c r="A149" s="467"/>
      <c r="B149" s="768" t="s">
        <v>604</v>
      </c>
      <c r="C149" s="769"/>
    </row>
    <row r="150" spans="1:3" s="314" customFormat="1">
      <c r="A150" s="466">
        <v>1</v>
      </c>
      <c r="B150" s="770" t="s">
        <v>898</v>
      </c>
      <c r="C150" s="771"/>
    </row>
    <row r="151" spans="1:3" s="314" customFormat="1">
      <c r="A151" s="466">
        <v>2</v>
      </c>
      <c r="B151" s="770" t="s">
        <v>654</v>
      </c>
      <c r="C151" s="771"/>
    </row>
    <row r="152" spans="1:3" s="314" customFormat="1">
      <c r="A152" s="466">
        <v>3</v>
      </c>
      <c r="B152" s="770" t="s">
        <v>651</v>
      </c>
      <c r="C152" s="771"/>
    </row>
    <row r="153" spans="1:3" s="314" customFormat="1">
      <c r="A153" s="467"/>
      <c r="B153" s="768" t="s">
        <v>605</v>
      </c>
      <c r="C153" s="769"/>
    </row>
    <row r="154" spans="1:3" s="314" customFormat="1">
      <c r="A154" s="466">
        <v>1</v>
      </c>
      <c r="B154" s="779" t="s">
        <v>897</v>
      </c>
      <c r="C154" s="780"/>
    </row>
    <row r="155" spans="1:3" s="314" customFormat="1">
      <c r="A155" s="466">
        <v>2</v>
      </c>
      <c r="B155" s="463" t="s">
        <v>834</v>
      </c>
      <c r="C155" s="547" t="s">
        <v>963</v>
      </c>
    </row>
    <row r="156" spans="1:3" ht="22.5">
      <c r="A156" s="466">
        <v>3</v>
      </c>
      <c r="B156" s="463" t="s">
        <v>833</v>
      </c>
      <c r="C156" s="488" t="s">
        <v>896</v>
      </c>
    </row>
    <row r="157" spans="1:3">
      <c r="A157" s="466">
        <v>4</v>
      </c>
      <c r="B157" s="463" t="s">
        <v>480</v>
      </c>
      <c r="C157" s="463" t="s">
        <v>914</v>
      </c>
    </row>
    <row r="158" spans="1:3" ht="24.95" customHeight="1">
      <c r="A158" s="467"/>
      <c r="B158" s="768" t="s">
        <v>606</v>
      </c>
      <c r="C158" s="769"/>
    </row>
    <row r="159" spans="1:3" ht="33.75">
      <c r="A159" s="466"/>
      <c r="B159" s="463" t="s">
        <v>885</v>
      </c>
      <c r="C159" s="548" t="s">
        <v>964</v>
      </c>
    </row>
    <row r="160" spans="1:3">
      <c r="A160" s="467"/>
      <c r="B160" s="768" t="s">
        <v>607</v>
      </c>
      <c r="C160" s="769"/>
    </row>
    <row r="161" spans="1:3" ht="39" customHeight="1">
      <c r="A161" s="467"/>
      <c r="B161" s="752" t="s">
        <v>895</v>
      </c>
      <c r="C161" s="753"/>
    </row>
    <row r="162" spans="1:3">
      <c r="A162" s="467" t="s">
        <v>608</v>
      </c>
      <c r="B162" s="489" t="s">
        <v>518</v>
      </c>
      <c r="C162" s="480" t="s">
        <v>609</v>
      </c>
    </row>
    <row r="163" spans="1:3">
      <c r="A163" s="467" t="s">
        <v>357</v>
      </c>
      <c r="B163" s="486" t="s">
        <v>519</v>
      </c>
      <c r="C163" s="488" t="s">
        <v>894</v>
      </c>
    </row>
    <row r="164" spans="1:3" ht="22.5">
      <c r="A164" s="467" t="s">
        <v>364</v>
      </c>
      <c r="B164" s="480" t="s">
        <v>520</v>
      </c>
      <c r="C164" s="488" t="s">
        <v>610</v>
      </c>
    </row>
    <row r="165" spans="1:3">
      <c r="A165" s="467" t="s">
        <v>611</v>
      </c>
      <c r="B165" s="486" t="s">
        <v>521</v>
      </c>
      <c r="C165" s="487" t="s">
        <v>612</v>
      </c>
    </row>
    <row r="166" spans="1:3" ht="22.5">
      <c r="A166" s="467" t="s">
        <v>613</v>
      </c>
      <c r="B166" s="486" t="s">
        <v>849</v>
      </c>
      <c r="C166" s="485" t="s">
        <v>893</v>
      </c>
    </row>
    <row r="167" spans="1:3" ht="22.5">
      <c r="A167" s="467" t="s">
        <v>365</v>
      </c>
      <c r="B167" s="486" t="s">
        <v>522</v>
      </c>
      <c r="C167" s="485" t="s">
        <v>615</v>
      </c>
    </row>
    <row r="168" spans="1:3" ht="22.5">
      <c r="A168" s="467" t="s">
        <v>614</v>
      </c>
      <c r="B168" s="483" t="s">
        <v>525</v>
      </c>
      <c r="C168" s="484" t="s">
        <v>622</v>
      </c>
    </row>
    <row r="169" spans="1:3" ht="22.5">
      <c r="A169" s="467" t="s">
        <v>616</v>
      </c>
      <c r="B169" s="483" t="s">
        <v>523</v>
      </c>
      <c r="C169" s="485" t="s">
        <v>618</v>
      </c>
    </row>
    <row r="170" spans="1:3" ht="26.45" customHeight="1">
      <c r="A170" s="467" t="s">
        <v>617</v>
      </c>
      <c r="B170" s="483" t="s">
        <v>524</v>
      </c>
      <c r="C170" s="484" t="s">
        <v>620</v>
      </c>
    </row>
    <row r="171" spans="1:3" ht="22.5">
      <c r="A171" s="467" t="s">
        <v>619</v>
      </c>
      <c r="B171" s="461" t="s">
        <v>526</v>
      </c>
      <c r="C171" s="484" t="s">
        <v>624</v>
      </c>
    </row>
    <row r="172" spans="1:3" ht="22.5">
      <c r="A172" s="467" t="s">
        <v>621</v>
      </c>
      <c r="B172" s="483" t="s">
        <v>527</v>
      </c>
      <c r="C172" s="482" t="s">
        <v>625</v>
      </c>
    </row>
    <row r="173" spans="1:3">
      <c r="A173" s="467" t="s">
        <v>623</v>
      </c>
      <c r="B173" s="481" t="s">
        <v>528</v>
      </c>
      <c r="C173" s="480" t="s">
        <v>626</v>
      </c>
    </row>
    <row r="174" spans="1:3" ht="22.5">
      <c r="A174" s="467"/>
      <c r="B174" s="479" t="s">
        <v>892</v>
      </c>
      <c r="C174" s="478" t="s">
        <v>627</v>
      </c>
    </row>
    <row r="175" spans="1:3" ht="22.5">
      <c r="A175" s="467"/>
      <c r="B175" s="479" t="s">
        <v>891</v>
      </c>
      <c r="C175" s="478" t="s">
        <v>628</v>
      </c>
    </row>
    <row r="176" spans="1:3" ht="22.5">
      <c r="A176" s="467"/>
      <c r="B176" s="479" t="s">
        <v>890</v>
      </c>
      <c r="C176" s="478" t="s">
        <v>629</v>
      </c>
    </row>
    <row r="177" spans="1:3">
      <c r="A177" s="467"/>
      <c r="B177" s="768" t="s">
        <v>630</v>
      </c>
      <c r="C177" s="769"/>
    </row>
    <row r="178" spans="1:3">
      <c r="A178" s="467"/>
      <c r="B178" s="770" t="s">
        <v>889</v>
      </c>
      <c r="C178" s="771"/>
    </row>
    <row r="179" spans="1:3">
      <c r="A179" s="466">
        <v>1</v>
      </c>
      <c r="B179" s="478" t="s">
        <v>532</v>
      </c>
      <c r="C179" s="478" t="s">
        <v>532</v>
      </c>
    </row>
    <row r="180" spans="1:3" ht="33.75">
      <c r="A180" s="466">
        <v>2</v>
      </c>
      <c r="B180" s="478" t="s">
        <v>631</v>
      </c>
      <c r="C180" s="478" t="s">
        <v>632</v>
      </c>
    </row>
    <row r="181" spans="1:3">
      <c r="A181" s="466">
        <v>3</v>
      </c>
      <c r="B181" s="478" t="s">
        <v>534</v>
      </c>
      <c r="C181" s="478" t="s">
        <v>633</v>
      </c>
    </row>
    <row r="182" spans="1:3" ht="22.5">
      <c r="A182" s="466">
        <v>4</v>
      </c>
      <c r="B182" s="478" t="s">
        <v>535</v>
      </c>
      <c r="C182" s="478" t="s">
        <v>634</v>
      </c>
    </row>
    <row r="183" spans="1:3" ht="22.5">
      <c r="A183" s="466">
        <v>5</v>
      </c>
      <c r="B183" s="478" t="s">
        <v>536</v>
      </c>
      <c r="C183" s="478" t="s">
        <v>656</v>
      </c>
    </row>
    <row r="184" spans="1:3" ht="45">
      <c r="A184" s="466">
        <v>6</v>
      </c>
      <c r="B184" s="478" t="s">
        <v>537</v>
      </c>
      <c r="C184" s="478" t="s">
        <v>635</v>
      </c>
    </row>
    <row r="185" spans="1:3">
      <c r="A185" s="467"/>
      <c r="B185" s="768" t="s">
        <v>636</v>
      </c>
      <c r="C185" s="769"/>
    </row>
    <row r="186" spans="1:3">
      <c r="A186" s="467"/>
      <c r="B186" s="772" t="s">
        <v>888</v>
      </c>
      <c r="C186" s="773"/>
    </row>
    <row r="187" spans="1:3" ht="22.5">
      <c r="A187" s="467">
        <v>1.1000000000000001</v>
      </c>
      <c r="B187" s="477" t="s">
        <v>542</v>
      </c>
      <c r="C187" s="475" t="s">
        <v>637</v>
      </c>
    </row>
    <row r="188" spans="1:3" ht="50.1" customHeight="1">
      <c r="A188" s="467" t="s">
        <v>146</v>
      </c>
      <c r="B188" s="462" t="s">
        <v>543</v>
      </c>
      <c r="C188" s="475" t="s">
        <v>638</v>
      </c>
    </row>
    <row r="189" spans="1:3">
      <c r="A189" s="467" t="s">
        <v>544</v>
      </c>
      <c r="B189" s="476" t="s">
        <v>545</v>
      </c>
      <c r="C189" s="774" t="s">
        <v>887</v>
      </c>
    </row>
    <row r="190" spans="1:3">
      <c r="A190" s="467" t="s">
        <v>546</v>
      </c>
      <c r="B190" s="476" t="s">
        <v>547</v>
      </c>
      <c r="C190" s="774"/>
    </row>
    <row r="191" spans="1:3">
      <c r="A191" s="467" t="s">
        <v>548</v>
      </c>
      <c r="B191" s="476" t="s">
        <v>549</v>
      </c>
      <c r="C191" s="774"/>
    </row>
    <row r="192" spans="1:3">
      <c r="A192" s="467" t="s">
        <v>550</v>
      </c>
      <c r="B192" s="476" t="s">
        <v>551</v>
      </c>
      <c r="C192" s="774"/>
    </row>
    <row r="193" spans="1:4" ht="25.5" customHeight="1">
      <c r="A193" s="467">
        <v>1.2</v>
      </c>
      <c r="B193" s="474" t="s">
        <v>863</v>
      </c>
      <c r="C193" s="549" t="s">
        <v>965</v>
      </c>
    </row>
    <row r="194" spans="1:4" ht="22.5">
      <c r="A194" s="467" t="s">
        <v>553</v>
      </c>
      <c r="B194" s="469" t="s">
        <v>554</v>
      </c>
      <c r="C194" s="472" t="s">
        <v>639</v>
      </c>
    </row>
    <row r="195" spans="1:4" ht="22.5">
      <c r="A195" s="467" t="s">
        <v>555</v>
      </c>
      <c r="B195" s="473" t="s">
        <v>556</v>
      </c>
      <c r="C195" s="472" t="s">
        <v>640</v>
      </c>
    </row>
    <row r="196" spans="1:4" ht="26.1" customHeight="1">
      <c r="A196" s="467" t="s">
        <v>557</v>
      </c>
      <c r="B196" s="471" t="s">
        <v>558</v>
      </c>
      <c r="C196" s="460" t="s">
        <v>641</v>
      </c>
    </row>
    <row r="197" spans="1:4" ht="22.5">
      <c r="A197" s="467" t="s">
        <v>559</v>
      </c>
      <c r="B197" s="470" t="s">
        <v>560</v>
      </c>
      <c r="C197" s="460" t="s">
        <v>642</v>
      </c>
      <c r="D197" s="315"/>
    </row>
    <row r="198" spans="1:4" ht="22.5">
      <c r="A198" s="467">
        <v>1.4</v>
      </c>
      <c r="B198" s="469" t="s">
        <v>649</v>
      </c>
      <c r="C198" s="468" t="s">
        <v>643</v>
      </c>
      <c r="D198" s="316"/>
    </row>
    <row r="199" spans="1:4" ht="12.75">
      <c r="A199" s="467">
        <v>1.5</v>
      </c>
      <c r="B199" s="469" t="s">
        <v>650</v>
      </c>
      <c r="C199" s="468" t="s">
        <v>643</v>
      </c>
      <c r="D199" s="317"/>
    </row>
    <row r="200" spans="1:4" ht="12.75">
      <c r="A200" s="467"/>
      <c r="B200" s="760" t="s">
        <v>644</v>
      </c>
      <c r="C200" s="760"/>
      <c r="D200" s="317"/>
    </row>
    <row r="201" spans="1:4" ht="12.75">
      <c r="A201" s="467"/>
      <c r="B201" s="772" t="s">
        <v>886</v>
      </c>
      <c r="C201" s="772"/>
      <c r="D201" s="317"/>
    </row>
    <row r="202" spans="1:4" ht="12.75">
      <c r="A202" s="466"/>
      <c r="B202" s="463" t="s">
        <v>885</v>
      </c>
      <c r="C202" s="548" t="s">
        <v>963</v>
      </c>
      <c r="D202" s="317"/>
    </row>
    <row r="203" spans="1:4" ht="12.75">
      <c r="A203" s="467"/>
      <c r="B203" s="760" t="s">
        <v>645</v>
      </c>
      <c r="C203" s="760"/>
      <c r="D203" s="318"/>
    </row>
    <row r="204" spans="1:4" ht="12.75">
      <c r="A204" s="466"/>
      <c r="B204" s="775" t="s">
        <v>884</v>
      </c>
      <c r="C204" s="775"/>
      <c r="D204" s="319"/>
    </row>
    <row r="205" spans="1:4" ht="12.75">
      <c r="B205" s="760" t="s">
        <v>682</v>
      </c>
      <c r="C205" s="760"/>
      <c r="D205" s="320"/>
    </row>
    <row r="206" spans="1:4" ht="22.5">
      <c r="A206" s="462">
        <v>1</v>
      </c>
      <c r="B206" s="463" t="s">
        <v>658</v>
      </c>
      <c r="C206" s="460" t="s">
        <v>670</v>
      </c>
      <c r="D206" s="319"/>
    </row>
    <row r="207" spans="1:4" ht="18" customHeight="1">
      <c r="A207" s="462">
        <v>2</v>
      </c>
      <c r="B207" s="463" t="s">
        <v>659</v>
      </c>
      <c r="C207" s="460" t="s">
        <v>671</v>
      </c>
      <c r="D207" s="320"/>
    </row>
    <row r="208" spans="1:4" ht="22.5">
      <c r="A208" s="462">
        <v>3</v>
      </c>
      <c r="B208" s="463" t="s">
        <v>660</v>
      </c>
      <c r="C208" s="463" t="s">
        <v>672</v>
      </c>
      <c r="D208" s="321"/>
    </row>
    <row r="209" spans="1:4" ht="12.75">
      <c r="A209" s="462">
        <v>4</v>
      </c>
      <c r="B209" s="463" t="s">
        <v>661</v>
      </c>
      <c r="C209" s="463" t="s">
        <v>673</v>
      </c>
      <c r="D209" s="321"/>
    </row>
    <row r="210" spans="1:4" ht="22.5">
      <c r="A210" s="462">
        <v>5</v>
      </c>
      <c r="B210" s="463" t="s">
        <v>662</v>
      </c>
      <c r="C210" s="463" t="s">
        <v>674</v>
      </c>
    </row>
    <row r="211" spans="1:4" ht="24.6" customHeight="1">
      <c r="A211" s="462">
        <v>6</v>
      </c>
      <c r="B211" s="463" t="s">
        <v>663</v>
      </c>
      <c r="C211" s="463" t="s">
        <v>675</v>
      </c>
    </row>
    <row r="212" spans="1:4" ht="22.5">
      <c r="A212" s="462">
        <v>7</v>
      </c>
      <c r="B212" s="463" t="s">
        <v>664</v>
      </c>
      <c r="C212" s="463" t="s">
        <v>676</v>
      </c>
    </row>
    <row r="213" spans="1:4">
      <c r="A213" s="462">
        <v>7.1</v>
      </c>
      <c r="B213" s="465" t="s">
        <v>665</v>
      </c>
      <c r="C213" s="463" t="s">
        <v>677</v>
      </c>
    </row>
    <row r="214" spans="1:4" ht="22.5">
      <c r="A214" s="462">
        <v>7.2</v>
      </c>
      <c r="B214" s="465" t="s">
        <v>666</v>
      </c>
      <c r="C214" s="463" t="s">
        <v>678</v>
      </c>
    </row>
    <row r="215" spans="1:4">
      <c r="A215" s="462">
        <v>7.3</v>
      </c>
      <c r="B215" s="464" t="s">
        <v>667</v>
      </c>
      <c r="C215" s="463" t="s">
        <v>679</v>
      </c>
    </row>
    <row r="216" spans="1:4" ht="39.6" customHeight="1">
      <c r="A216" s="462">
        <v>8</v>
      </c>
      <c r="B216" s="463" t="s">
        <v>668</v>
      </c>
      <c r="C216" s="460" t="s">
        <v>680</v>
      </c>
    </row>
    <row r="217" spans="1:4">
      <c r="A217" s="462">
        <v>9</v>
      </c>
      <c r="B217" s="463" t="s">
        <v>669</v>
      </c>
      <c r="C217" s="460" t="s">
        <v>681</v>
      </c>
    </row>
    <row r="218" spans="1:4" ht="22.5">
      <c r="A218" s="504">
        <v>10.1</v>
      </c>
      <c r="B218" s="505" t="s">
        <v>689</v>
      </c>
      <c r="C218" s="496" t="s">
        <v>690</v>
      </c>
    </row>
    <row r="219" spans="1:4">
      <c r="A219" s="776"/>
      <c r="B219" s="506" t="s">
        <v>876</v>
      </c>
      <c r="C219" s="460" t="s">
        <v>883</v>
      </c>
    </row>
    <row r="220" spans="1:4">
      <c r="A220" s="776"/>
      <c r="B220" s="461" t="s">
        <v>541</v>
      </c>
      <c r="C220" s="460" t="s">
        <v>882</v>
      </c>
    </row>
    <row r="221" spans="1:4">
      <c r="A221" s="776"/>
      <c r="B221" s="461" t="s">
        <v>875</v>
      </c>
      <c r="C221" s="549" t="s">
        <v>966</v>
      </c>
    </row>
    <row r="222" spans="1:4">
      <c r="A222" s="776"/>
      <c r="B222" s="461" t="s">
        <v>683</v>
      </c>
      <c r="C222" s="460" t="s">
        <v>881</v>
      </c>
    </row>
    <row r="223" spans="1:4" ht="22.5">
      <c r="A223" s="776"/>
      <c r="B223" s="461" t="s">
        <v>687</v>
      </c>
      <c r="C223" s="475" t="s">
        <v>880</v>
      </c>
    </row>
    <row r="224" spans="1:4" ht="33.75">
      <c r="A224" s="776"/>
      <c r="B224" s="461" t="s">
        <v>686</v>
      </c>
      <c r="C224" s="460" t="s">
        <v>879</v>
      </c>
    </row>
    <row r="225" spans="1:3">
      <c r="A225" s="776"/>
      <c r="B225" s="461" t="s">
        <v>915</v>
      </c>
      <c r="C225" s="460" t="s">
        <v>878</v>
      </c>
    </row>
    <row r="226" spans="1:3" ht="22.5">
      <c r="A226" s="776"/>
      <c r="B226" s="461" t="s">
        <v>916</v>
      </c>
      <c r="C226" s="460" t="s">
        <v>877</v>
      </c>
    </row>
    <row r="227" spans="1:3" ht="12.75">
      <c r="A227" s="497"/>
      <c r="B227" s="498"/>
      <c r="C227" s="499"/>
    </row>
    <row r="228" spans="1:3" ht="12.75">
      <c r="A228" s="497"/>
      <c r="B228" s="499"/>
      <c r="C228" s="500"/>
    </row>
    <row r="229" spans="1:3" ht="12.75">
      <c r="A229" s="497"/>
      <c r="B229" s="499"/>
      <c r="C229" s="500"/>
    </row>
    <row r="230" spans="1:3" ht="12.75">
      <c r="A230" s="497"/>
      <c r="B230" s="501"/>
      <c r="C230" s="500"/>
    </row>
    <row r="231" spans="1:3" ht="12.75">
      <c r="A231" s="767"/>
      <c r="B231" s="502"/>
      <c r="C231" s="500"/>
    </row>
    <row r="232" spans="1:3" ht="12.75">
      <c r="A232" s="767"/>
      <c r="B232" s="502"/>
      <c r="C232" s="500"/>
    </row>
    <row r="233" spans="1:3" ht="12.75">
      <c r="A233" s="767"/>
      <c r="B233" s="502"/>
      <c r="C233" s="500"/>
    </row>
    <row r="234" spans="1:3" ht="12.75">
      <c r="A234" s="767"/>
      <c r="B234" s="502"/>
      <c r="C234" s="503"/>
    </row>
    <row r="235" spans="1:3" ht="40.5" customHeight="1">
      <c r="A235" s="767"/>
      <c r="B235" s="502"/>
      <c r="C235" s="500"/>
    </row>
    <row r="236" spans="1:3" ht="24" customHeight="1">
      <c r="A236" s="767"/>
      <c r="B236" s="502"/>
      <c r="C236" s="500"/>
    </row>
    <row r="237" spans="1:3" ht="12.75">
      <c r="A237" s="767"/>
      <c r="B237" s="502"/>
      <c r="C237" s="500"/>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showGridLines="0" zoomScale="80" zoomScaleNormal="80" workbookViewId="0">
      <selection activeCell="B4" sqref="B4:B5"/>
    </sheetView>
  </sheetViews>
  <sheetFormatPr defaultRowHeight="15"/>
  <cols>
    <col min="2" max="2" width="66.5703125" customWidth="1"/>
    <col min="3" max="8" width="17.85546875" customWidth="1"/>
  </cols>
  <sheetData>
    <row r="1" spans="1:8" ht="15.75">
      <c r="A1" s="17" t="s">
        <v>97</v>
      </c>
      <c r="B1" s="783" t="str">
        <f>Info!C2</f>
        <v>სს იშბანკი საქართველო</v>
      </c>
      <c r="C1" s="16"/>
      <c r="D1" s="183"/>
      <c r="E1" s="183"/>
      <c r="F1" s="183"/>
      <c r="G1" s="183"/>
    </row>
    <row r="2" spans="1:8" ht="15.75">
      <c r="A2" s="17" t="s">
        <v>98</v>
      </c>
      <c r="B2" s="784">
        <f>'1. key ratios'!B2</f>
        <v>45747</v>
      </c>
      <c r="C2" s="28"/>
      <c r="D2" s="18"/>
      <c r="E2" s="18"/>
      <c r="F2" s="18"/>
      <c r="G2" s="18"/>
      <c r="H2" s="1"/>
    </row>
    <row r="3" spans="1:8" ht="16.5" thickBot="1">
      <c r="A3" s="17"/>
      <c r="B3" s="16"/>
      <c r="C3" s="28"/>
      <c r="D3" s="18"/>
      <c r="E3" s="18"/>
      <c r="F3" s="18"/>
      <c r="G3" s="18"/>
      <c r="H3" s="1"/>
    </row>
    <row r="4" spans="1:8">
      <c r="A4" s="880" t="s">
        <v>25</v>
      </c>
      <c r="B4" s="881" t="s">
        <v>155</v>
      </c>
      <c r="C4" s="609" t="s">
        <v>103</v>
      </c>
      <c r="D4" s="609"/>
      <c r="E4" s="609"/>
      <c r="F4" s="609" t="s">
        <v>104</v>
      </c>
      <c r="G4" s="609"/>
      <c r="H4" s="610"/>
    </row>
    <row r="5" spans="1:8" ht="15.6" customHeight="1">
      <c r="A5" s="882"/>
      <c r="B5" s="611"/>
      <c r="C5" s="853" t="s">
        <v>26</v>
      </c>
      <c r="D5" s="853" t="s">
        <v>77</v>
      </c>
      <c r="E5" s="853" t="s">
        <v>66</v>
      </c>
      <c r="F5" s="853" t="s">
        <v>26</v>
      </c>
      <c r="G5" s="853" t="s">
        <v>77</v>
      </c>
      <c r="H5" s="854" t="s">
        <v>66</v>
      </c>
    </row>
    <row r="6" spans="1:8">
      <c r="A6" s="883">
        <v>1</v>
      </c>
      <c r="B6" s="342" t="s">
        <v>744</v>
      </c>
      <c r="C6" s="870">
        <f>SUM(C7:C12)</f>
        <v>5704038.997378042</v>
      </c>
      <c r="D6" s="870">
        <f>SUM(D7:D12)</f>
        <v>4336790.7228328381</v>
      </c>
      <c r="E6" s="871">
        <f>C6+D6</f>
        <v>10040829.72021088</v>
      </c>
      <c r="F6" s="870">
        <f>SUM(F7:F12)</f>
        <v>5368431.2960214671</v>
      </c>
      <c r="G6" s="870">
        <f>SUM(G7:G12)</f>
        <v>4627865.4755266458</v>
      </c>
      <c r="H6" s="872">
        <f>F6+G6</f>
        <v>9996296.7715481129</v>
      </c>
    </row>
    <row r="7" spans="1:8">
      <c r="A7" s="883">
        <v>1.1000000000000001</v>
      </c>
      <c r="B7" s="343" t="s">
        <v>698</v>
      </c>
      <c r="C7" s="873"/>
      <c r="D7" s="873"/>
      <c r="E7" s="874">
        <f t="shared" ref="E7:E45" si="0">C7+D7</f>
        <v>0</v>
      </c>
      <c r="F7" s="873"/>
      <c r="G7" s="873"/>
      <c r="H7" s="875">
        <f t="shared" ref="H7:H45" si="1">F7+G7</f>
        <v>0</v>
      </c>
    </row>
    <row r="8" spans="1:8" ht="21">
      <c r="A8" s="883">
        <v>1.2</v>
      </c>
      <c r="B8" s="343" t="s">
        <v>745</v>
      </c>
      <c r="C8" s="873"/>
      <c r="D8" s="873"/>
      <c r="E8" s="874">
        <f t="shared" si="0"/>
        <v>0</v>
      </c>
      <c r="F8" s="873"/>
      <c r="G8" s="873"/>
      <c r="H8" s="875">
        <f t="shared" si="1"/>
        <v>0</v>
      </c>
    </row>
    <row r="9" spans="1:8" ht="21.6" customHeight="1">
      <c r="A9" s="883">
        <v>1.3</v>
      </c>
      <c r="B9" s="340" t="s">
        <v>746</v>
      </c>
      <c r="C9" s="873"/>
      <c r="D9" s="873"/>
      <c r="E9" s="874">
        <f t="shared" si="0"/>
        <v>0</v>
      </c>
      <c r="F9" s="873"/>
      <c r="G9" s="873"/>
      <c r="H9" s="875">
        <f t="shared" si="1"/>
        <v>0</v>
      </c>
    </row>
    <row r="10" spans="1:8" ht="21">
      <c r="A10" s="883">
        <v>1.4</v>
      </c>
      <c r="B10" s="340" t="s">
        <v>702</v>
      </c>
      <c r="C10" s="873"/>
      <c r="D10" s="873"/>
      <c r="E10" s="874">
        <f t="shared" si="0"/>
        <v>0</v>
      </c>
      <c r="F10" s="873"/>
      <c r="G10" s="873"/>
      <c r="H10" s="875">
        <f t="shared" si="1"/>
        <v>0</v>
      </c>
    </row>
    <row r="11" spans="1:8">
      <c r="A11" s="883">
        <v>1.5</v>
      </c>
      <c r="B11" s="340" t="s">
        <v>705</v>
      </c>
      <c r="C11" s="873">
        <v>5704038.997378042</v>
      </c>
      <c r="D11" s="873">
        <v>4336790.7228328381</v>
      </c>
      <c r="E11" s="874">
        <f t="shared" si="0"/>
        <v>10040829.72021088</v>
      </c>
      <c r="F11" s="873">
        <v>5368431.2960214671</v>
      </c>
      <c r="G11" s="873">
        <v>4627865.4755266458</v>
      </c>
      <c r="H11" s="875">
        <f t="shared" si="1"/>
        <v>9996296.7715481129</v>
      </c>
    </row>
    <row r="12" spans="1:8">
      <c r="A12" s="883">
        <v>1.6</v>
      </c>
      <c r="B12" s="344" t="s">
        <v>88</v>
      </c>
      <c r="C12" s="873"/>
      <c r="D12" s="873"/>
      <c r="E12" s="874">
        <f t="shared" si="0"/>
        <v>0</v>
      </c>
      <c r="F12" s="873"/>
      <c r="G12" s="873"/>
      <c r="H12" s="875">
        <f t="shared" si="1"/>
        <v>0</v>
      </c>
    </row>
    <row r="13" spans="1:8">
      <c r="A13" s="883">
        <v>2</v>
      </c>
      <c r="B13" s="345" t="s">
        <v>747</v>
      </c>
      <c r="C13" s="876">
        <f>SUM(C14:C17)</f>
        <v>-1313376.4160369865</v>
      </c>
      <c r="D13" s="876">
        <f>SUM(D14:D17)</f>
        <v>-3095730.2650784571</v>
      </c>
      <c r="E13" s="874">
        <f t="shared" si="0"/>
        <v>-4409106.6811154438</v>
      </c>
      <c r="F13" s="876">
        <f>SUM(F14:F17)</f>
        <v>-1073946.4468733596</v>
      </c>
      <c r="G13" s="876">
        <f>SUM(G14:G17)</f>
        <v>-2716243.338491281</v>
      </c>
      <c r="H13" s="875">
        <f t="shared" si="1"/>
        <v>-3790189.7853646409</v>
      </c>
    </row>
    <row r="14" spans="1:8">
      <c r="A14" s="883">
        <v>2.1</v>
      </c>
      <c r="B14" s="340" t="s">
        <v>748</v>
      </c>
      <c r="C14" s="873"/>
      <c r="D14" s="873"/>
      <c r="E14" s="874">
        <f t="shared" si="0"/>
        <v>0</v>
      </c>
      <c r="F14" s="873"/>
      <c r="G14" s="873"/>
      <c r="H14" s="875">
        <f t="shared" si="1"/>
        <v>0</v>
      </c>
    </row>
    <row r="15" spans="1:8" ht="24.6" customHeight="1">
      <c r="A15" s="883">
        <v>2.2000000000000002</v>
      </c>
      <c r="B15" s="340" t="s">
        <v>749</v>
      </c>
      <c r="C15" s="873"/>
      <c r="D15" s="873"/>
      <c r="E15" s="874">
        <f t="shared" si="0"/>
        <v>0</v>
      </c>
      <c r="F15" s="873"/>
      <c r="G15" s="873"/>
      <c r="H15" s="875">
        <f t="shared" si="1"/>
        <v>0</v>
      </c>
    </row>
    <row r="16" spans="1:8" ht="20.45" customHeight="1">
      <c r="A16" s="883">
        <v>2.2999999999999998</v>
      </c>
      <c r="B16" s="340" t="s">
        <v>750</v>
      </c>
      <c r="C16" s="873">
        <v>-1313376.4160369865</v>
      </c>
      <c r="D16" s="873">
        <v>-3095730.2650784571</v>
      </c>
      <c r="E16" s="874">
        <f t="shared" si="0"/>
        <v>-4409106.6811154438</v>
      </c>
      <c r="F16" s="873">
        <v>-1073946.4468733596</v>
      </c>
      <c r="G16" s="873">
        <v>-2716243.338491281</v>
      </c>
      <c r="H16" s="875">
        <f t="shared" si="1"/>
        <v>-3790189.7853646409</v>
      </c>
    </row>
    <row r="17" spans="1:8">
      <c r="A17" s="883">
        <v>2.4</v>
      </c>
      <c r="B17" s="340" t="s">
        <v>751</v>
      </c>
      <c r="C17" s="873"/>
      <c r="D17" s="873"/>
      <c r="E17" s="874">
        <f t="shared" si="0"/>
        <v>0</v>
      </c>
      <c r="F17" s="873"/>
      <c r="G17" s="873"/>
      <c r="H17" s="875">
        <f t="shared" si="1"/>
        <v>0</v>
      </c>
    </row>
    <row r="18" spans="1:8">
      <c r="A18" s="883">
        <v>3</v>
      </c>
      <c r="B18" s="345" t="s">
        <v>752</v>
      </c>
      <c r="C18" s="873"/>
      <c r="D18" s="873"/>
      <c r="E18" s="874">
        <f t="shared" si="0"/>
        <v>0</v>
      </c>
      <c r="F18" s="873"/>
      <c r="G18" s="873"/>
      <c r="H18" s="875">
        <f t="shared" si="1"/>
        <v>0</v>
      </c>
    </row>
    <row r="19" spans="1:8">
      <c r="A19" s="883">
        <v>4</v>
      </c>
      <c r="B19" s="345" t="s">
        <v>753</v>
      </c>
      <c r="C19" s="873">
        <v>548760.9800000008</v>
      </c>
      <c r="D19" s="873">
        <v>351339.51957199955</v>
      </c>
      <c r="E19" s="874">
        <f t="shared" si="0"/>
        <v>900100.49957200035</v>
      </c>
      <c r="F19" s="873">
        <v>434035.18</v>
      </c>
      <c r="G19" s="873">
        <v>388272.42796799995</v>
      </c>
      <c r="H19" s="875">
        <f t="shared" si="1"/>
        <v>822307.607968</v>
      </c>
    </row>
    <row r="20" spans="1:8">
      <c r="A20" s="883">
        <v>5</v>
      </c>
      <c r="B20" s="345" t="s">
        <v>754</v>
      </c>
      <c r="C20" s="873">
        <v>-45720.930000000015</v>
      </c>
      <c r="D20" s="873">
        <v>-81098.01430000001</v>
      </c>
      <c r="E20" s="874">
        <f t="shared" si="0"/>
        <v>-126818.94430000003</v>
      </c>
      <c r="F20" s="873">
        <v>-6236.28</v>
      </c>
      <c r="G20" s="873">
        <v>-26369.68</v>
      </c>
      <c r="H20" s="875">
        <f t="shared" si="1"/>
        <v>-32605.96</v>
      </c>
    </row>
    <row r="21" spans="1:8" ht="38.450000000000003" customHeight="1">
      <c r="A21" s="883">
        <v>6</v>
      </c>
      <c r="B21" s="345" t="s">
        <v>755</v>
      </c>
      <c r="C21" s="873"/>
      <c r="D21" s="873"/>
      <c r="E21" s="874">
        <f t="shared" si="0"/>
        <v>0</v>
      </c>
      <c r="F21" s="873"/>
      <c r="G21" s="873"/>
      <c r="H21" s="875">
        <f t="shared" si="1"/>
        <v>0</v>
      </c>
    </row>
    <row r="22" spans="1:8" ht="27.6" customHeight="1">
      <c r="A22" s="883">
        <v>7</v>
      </c>
      <c r="B22" s="345" t="s">
        <v>756</v>
      </c>
      <c r="C22" s="873"/>
      <c r="D22" s="873"/>
      <c r="E22" s="874">
        <f t="shared" si="0"/>
        <v>0</v>
      </c>
      <c r="F22" s="873"/>
      <c r="G22" s="873"/>
      <c r="H22" s="875">
        <f t="shared" si="1"/>
        <v>0</v>
      </c>
    </row>
    <row r="23" spans="1:8" ht="36.950000000000003" customHeight="1">
      <c r="A23" s="883">
        <v>8</v>
      </c>
      <c r="B23" s="346" t="s">
        <v>757</v>
      </c>
      <c r="C23" s="873"/>
      <c r="D23" s="873"/>
      <c r="E23" s="874">
        <f t="shared" si="0"/>
        <v>0</v>
      </c>
      <c r="F23" s="873"/>
      <c r="G23" s="873"/>
      <c r="H23" s="875">
        <f t="shared" si="1"/>
        <v>0</v>
      </c>
    </row>
    <row r="24" spans="1:8" ht="34.5" customHeight="1">
      <c r="A24" s="883">
        <v>9</v>
      </c>
      <c r="B24" s="346" t="s">
        <v>758</v>
      </c>
      <c r="C24" s="873"/>
      <c r="D24" s="873"/>
      <c r="E24" s="874">
        <f t="shared" si="0"/>
        <v>0</v>
      </c>
      <c r="F24" s="873"/>
      <c r="G24" s="873"/>
      <c r="H24" s="875">
        <f t="shared" si="1"/>
        <v>0</v>
      </c>
    </row>
    <row r="25" spans="1:8">
      <c r="A25" s="883">
        <v>10</v>
      </c>
      <c r="B25" s="345" t="s">
        <v>759</v>
      </c>
      <c r="C25" s="873">
        <v>324454.13000000024</v>
      </c>
      <c r="D25" s="873"/>
      <c r="E25" s="874">
        <f t="shared" si="0"/>
        <v>324454.13000000024</v>
      </c>
      <c r="F25" s="873">
        <v>460161.92999999784</v>
      </c>
      <c r="G25" s="873"/>
      <c r="H25" s="875">
        <f t="shared" si="1"/>
        <v>460161.92999999784</v>
      </c>
    </row>
    <row r="26" spans="1:8" ht="27" customHeight="1">
      <c r="A26" s="883">
        <v>11</v>
      </c>
      <c r="B26" s="347" t="s">
        <v>760</v>
      </c>
      <c r="C26" s="873"/>
      <c r="D26" s="873"/>
      <c r="E26" s="874">
        <f t="shared" si="0"/>
        <v>0</v>
      </c>
      <c r="F26" s="873"/>
      <c r="G26" s="873"/>
      <c r="H26" s="875">
        <f t="shared" si="1"/>
        <v>0</v>
      </c>
    </row>
    <row r="27" spans="1:8">
      <c r="A27" s="883">
        <v>12</v>
      </c>
      <c r="B27" s="345" t="s">
        <v>761</v>
      </c>
      <c r="C27" s="873"/>
      <c r="D27" s="873"/>
      <c r="E27" s="874">
        <f t="shared" si="0"/>
        <v>0</v>
      </c>
      <c r="F27" s="873"/>
      <c r="G27" s="873"/>
      <c r="H27" s="875">
        <f t="shared" si="1"/>
        <v>0</v>
      </c>
    </row>
    <row r="28" spans="1:8">
      <c r="A28" s="883">
        <v>13</v>
      </c>
      <c r="B28" s="348" t="s">
        <v>762</v>
      </c>
      <c r="C28" s="873"/>
      <c r="D28" s="873"/>
      <c r="E28" s="874">
        <f t="shared" si="0"/>
        <v>0</v>
      </c>
      <c r="F28" s="873"/>
      <c r="G28" s="873"/>
      <c r="H28" s="875">
        <f t="shared" si="1"/>
        <v>0</v>
      </c>
    </row>
    <row r="29" spans="1:8">
      <c r="A29" s="883">
        <v>14</v>
      </c>
      <c r="B29" s="349" t="s">
        <v>763</v>
      </c>
      <c r="C29" s="876">
        <f>SUM(C30:C31)</f>
        <v>-1233567.1167346938</v>
      </c>
      <c r="D29" s="876">
        <f>SUM(D30:D31)</f>
        <v>-485218.34806416661</v>
      </c>
      <c r="E29" s="874">
        <f t="shared" si="0"/>
        <v>-1718785.4647988603</v>
      </c>
      <c r="F29" s="876">
        <f>SUM(F30:F31)</f>
        <v>-1266735.0111564626</v>
      </c>
      <c r="G29" s="876">
        <f>SUM(G30:G31)</f>
        <v>-483474.27219221939</v>
      </c>
      <c r="H29" s="875">
        <f t="shared" si="1"/>
        <v>-1750209.2833486819</v>
      </c>
    </row>
    <row r="30" spans="1:8">
      <c r="A30" s="883">
        <v>14.1</v>
      </c>
      <c r="B30" s="333" t="s">
        <v>764</v>
      </c>
      <c r="C30" s="873">
        <v>-831723.27673469391</v>
      </c>
      <c r="D30" s="873">
        <v>-468548.14006416663</v>
      </c>
      <c r="E30" s="874">
        <f t="shared" si="0"/>
        <v>-1300271.4167988605</v>
      </c>
      <c r="F30" s="873">
        <v>-791699.34115646267</v>
      </c>
      <c r="G30" s="873">
        <v>-451948.80219221936</v>
      </c>
      <c r="H30" s="875">
        <f t="shared" si="1"/>
        <v>-1243648.143348682</v>
      </c>
    </row>
    <row r="31" spans="1:8">
      <c r="A31" s="883">
        <v>14.2</v>
      </c>
      <c r="B31" s="333" t="s">
        <v>765</v>
      </c>
      <c r="C31" s="873">
        <v>-401843.83999999997</v>
      </c>
      <c r="D31" s="873">
        <v>-16670.207999999999</v>
      </c>
      <c r="E31" s="874">
        <f t="shared" si="0"/>
        <v>-418514.04799999995</v>
      </c>
      <c r="F31" s="873">
        <v>-475035.67</v>
      </c>
      <c r="G31" s="873">
        <v>-31525.47</v>
      </c>
      <c r="H31" s="875">
        <f t="shared" si="1"/>
        <v>-506561.14</v>
      </c>
    </row>
    <row r="32" spans="1:8">
      <c r="A32" s="883">
        <v>15</v>
      </c>
      <c r="B32" s="884" t="s">
        <v>766</v>
      </c>
      <c r="C32" s="873">
        <v>-319032.38999999978</v>
      </c>
      <c r="D32" s="873"/>
      <c r="E32" s="874">
        <f t="shared" si="0"/>
        <v>-319032.38999999978</v>
      </c>
      <c r="F32" s="873">
        <v>-390642.09622876713</v>
      </c>
      <c r="G32" s="873"/>
      <c r="H32" s="875">
        <f t="shared" si="1"/>
        <v>-390642.09622876713</v>
      </c>
    </row>
    <row r="33" spans="1:8" ht="22.5" customHeight="1">
      <c r="A33" s="883">
        <v>16</v>
      </c>
      <c r="B33" s="329" t="s">
        <v>767</v>
      </c>
      <c r="C33" s="873"/>
      <c r="D33" s="873"/>
      <c r="E33" s="874">
        <f t="shared" si="0"/>
        <v>0</v>
      </c>
      <c r="F33" s="873"/>
      <c r="G33" s="873"/>
      <c r="H33" s="875">
        <f t="shared" si="1"/>
        <v>0</v>
      </c>
    </row>
    <row r="34" spans="1:8">
      <c r="A34" s="883">
        <v>17</v>
      </c>
      <c r="B34" s="345" t="s">
        <v>768</v>
      </c>
      <c r="C34" s="876">
        <f>SUM(C35:C36)</f>
        <v>-34263.396854656217</v>
      </c>
      <c r="D34" s="876">
        <f>SUM(D35:D36)</f>
        <v>48562.685171438854</v>
      </c>
      <c r="E34" s="874">
        <f t="shared" si="0"/>
        <v>14299.288316782637</v>
      </c>
      <c r="F34" s="876">
        <f>SUM(F35:F36)</f>
        <v>62786.983887603681</v>
      </c>
      <c r="G34" s="876">
        <f>SUM(G35:G36)</f>
        <v>-14404.768264535705</v>
      </c>
      <c r="H34" s="875">
        <f t="shared" si="1"/>
        <v>48382.215623067976</v>
      </c>
    </row>
    <row r="35" spans="1:8">
      <c r="A35" s="883">
        <v>17.100000000000001</v>
      </c>
      <c r="B35" s="350" t="s">
        <v>769</v>
      </c>
      <c r="C35" s="873">
        <v>6718.1299621043818</v>
      </c>
      <c r="D35" s="873">
        <v>15279.572572756844</v>
      </c>
      <c r="E35" s="874">
        <f t="shared" si="0"/>
        <v>21997.702534861226</v>
      </c>
      <c r="F35" s="873">
        <v>2174.8112353244105</v>
      </c>
      <c r="G35" s="873">
        <v>12912.920370876527</v>
      </c>
      <c r="H35" s="875">
        <f t="shared" si="1"/>
        <v>15087.731606200938</v>
      </c>
    </row>
    <row r="36" spans="1:8">
      <c r="A36" s="883">
        <v>17.2</v>
      </c>
      <c r="B36" s="333" t="s">
        <v>770</v>
      </c>
      <c r="C36" s="873">
        <v>-40981.526816760597</v>
      </c>
      <c r="D36" s="873">
        <v>33283.112598682012</v>
      </c>
      <c r="E36" s="874">
        <f t="shared" si="0"/>
        <v>-7698.4142180785857</v>
      </c>
      <c r="F36" s="873">
        <v>60612.172652279267</v>
      </c>
      <c r="G36" s="873">
        <v>-27317.688635412233</v>
      </c>
      <c r="H36" s="875">
        <f t="shared" si="1"/>
        <v>33294.484016867034</v>
      </c>
    </row>
    <row r="37" spans="1:8" ht="41.45" customHeight="1">
      <c r="A37" s="883">
        <v>18</v>
      </c>
      <c r="B37" s="351" t="s">
        <v>771</v>
      </c>
      <c r="C37" s="876">
        <f>SUM(C38:C39)</f>
        <v>505.88946729844247</v>
      </c>
      <c r="D37" s="876">
        <f>SUM(D38:D39)</f>
        <v>-35107.500923383464</v>
      </c>
      <c r="E37" s="874">
        <f t="shared" si="0"/>
        <v>-34601.611456085026</v>
      </c>
      <c r="F37" s="876">
        <f>SUM(F38:F39)</f>
        <v>-31377.421407191265</v>
      </c>
      <c r="G37" s="876">
        <f>SUM(G38:G39)</f>
        <v>-116803.36168310717</v>
      </c>
      <c r="H37" s="875">
        <f t="shared" si="1"/>
        <v>-148180.78309029844</v>
      </c>
    </row>
    <row r="38" spans="1:8" ht="21">
      <c r="A38" s="883">
        <v>18.100000000000001</v>
      </c>
      <c r="B38" s="340" t="s">
        <v>772</v>
      </c>
      <c r="C38" s="873"/>
      <c r="D38" s="873"/>
      <c r="E38" s="874">
        <f t="shared" si="0"/>
        <v>0</v>
      </c>
      <c r="F38" s="873"/>
      <c r="G38" s="873"/>
      <c r="H38" s="875">
        <f t="shared" si="1"/>
        <v>0</v>
      </c>
    </row>
    <row r="39" spans="1:8">
      <c r="A39" s="883">
        <v>18.2</v>
      </c>
      <c r="B39" s="340" t="s">
        <v>773</v>
      </c>
      <c r="C39" s="873">
        <v>505.88946729844247</v>
      </c>
      <c r="D39" s="873">
        <v>-35107.500923383464</v>
      </c>
      <c r="E39" s="874">
        <f t="shared" si="0"/>
        <v>-34601.611456085026</v>
      </c>
      <c r="F39" s="873">
        <v>-31377.421407191265</v>
      </c>
      <c r="G39" s="873">
        <v>-116803.36168310717</v>
      </c>
      <c r="H39" s="875">
        <f t="shared" si="1"/>
        <v>-148180.78309029844</v>
      </c>
    </row>
    <row r="40" spans="1:8" ht="24.6" customHeight="1">
      <c r="A40" s="883">
        <v>19</v>
      </c>
      <c r="B40" s="351" t="s">
        <v>774</v>
      </c>
      <c r="C40" s="873"/>
      <c r="D40" s="873"/>
      <c r="E40" s="874">
        <f t="shared" si="0"/>
        <v>0</v>
      </c>
      <c r="F40" s="873"/>
      <c r="G40" s="873"/>
      <c r="H40" s="875">
        <f t="shared" si="1"/>
        <v>0</v>
      </c>
    </row>
    <row r="41" spans="1:8" ht="24.95" customHeight="1">
      <c r="A41" s="883">
        <v>20</v>
      </c>
      <c r="B41" s="351" t="s">
        <v>775</v>
      </c>
      <c r="C41" s="873"/>
      <c r="D41" s="873"/>
      <c r="E41" s="874">
        <f t="shared" si="0"/>
        <v>0</v>
      </c>
      <c r="F41" s="873"/>
      <c r="G41" s="873"/>
      <c r="H41" s="875">
        <f t="shared" si="1"/>
        <v>0</v>
      </c>
    </row>
    <row r="42" spans="1:8" ht="33" customHeight="1">
      <c r="A42" s="883">
        <v>21</v>
      </c>
      <c r="B42" s="352" t="s">
        <v>776</v>
      </c>
      <c r="C42" s="873"/>
      <c r="D42" s="873"/>
      <c r="E42" s="874">
        <f t="shared" si="0"/>
        <v>0</v>
      </c>
      <c r="F42" s="873"/>
      <c r="G42" s="873"/>
      <c r="H42" s="875">
        <f t="shared" si="1"/>
        <v>0</v>
      </c>
    </row>
    <row r="43" spans="1:8">
      <c r="A43" s="883">
        <v>22</v>
      </c>
      <c r="B43" s="885" t="s">
        <v>777</v>
      </c>
      <c r="C43" s="876">
        <f>SUM(C6,C13,C18,C19,C20,C21,C22,C23,C24,C25,C26,C27,C28,C29,C32,C33,C34,C37,C40,C41,C42)</f>
        <v>3631799.7472190047</v>
      </c>
      <c r="D43" s="876">
        <f>SUM(D6,D13,D18,D19,D20,D21,D22,D23,D24,D25,D26,D27,D28,D29,D32,D33,D34,D37,D40,D41,D42)</f>
        <v>1039538.7992102695</v>
      </c>
      <c r="E43" s="874">
        <f t="shared" si="0"/>
        <v>4671338.5464292746</v>
      </c>
      <c r="F43" s="876">
        <f>SUM(F6,F13,F18,F19,F20,F21,F22,F23,F24,F25,F26,F27,F28,F29,F32,F33,F34,F37,F40,F41,F42)</f>
        <v>3556478.1342432876</v>
      </c>
      <c r="G43" s="876">
        <f>SUM(G6,G13,G18,G19,G20,G21,G22,G23,G24,G25,G26,G27,G28,G29,G32,G33,G34,G37,G40,G41,G42)</f>
        <v>1658842.4828635023</v>
      </c>
      <c r="H43" s="875">
        <f t="shared" si="1"/>
        <v>5215320.6171067897</v>
      </c>
    </row>
    <row r="44" spans="1:8">
      <c r="A44" s="883">
        <v>23</v>
      </c>
      <c r="B44" s="885" t="s">
        <v>778</v>
      </c>
      <c r="C44" s="873">
        <v>-906494.23622952309</v>
      </c>
      <c r="D44" s="873"/>
      <c r="E44" s="874">
        <f t="shared" si="0"/>
        <v>-906494.23622952309</v>
      </c>
      <c r="F44" s="873">
        <v>-943503</v>
      </c>
      <c r="G44" s="873"/>
      <c r="H44" s="875">
        <f t="shared" si="1"/>
        <v>-943503</v>
      </c>
    </row>
    <row r="45" spans="1:8" ht="15.75" thickBot="1">
      <c r="A45" s="886">
        <v>24</v>
      </c>
      <c r="B45" s="887" t="s">
        <v>779</v>
      </c>
      <c r="C45" s="877">
        <f>C43+C44</f>
        <v>2725305.5109894816</v>
      </c>
      <c r="D45" s="877">
        <f>D43+D44</f>
        <v>1039538.7992102695</v>
      </c>
      <c r="E45" s="878">
        <f t="shared" si="0"/>
        <v>3764844.3101997511</v>
      </c>
      <c r="F45" s="877">
        <f>F43+F44</f>
        <v>2612975.1342432876</v>
      </c>
      <c r="G45" s="877">
        <f>G43+G44</f>
        <v>1658842.4828635023</v>
      </c>
      <c r="H45" s="879">
        <f t="shared" si="1"/>
        <v>4271817.6171067897</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showGridLines="0" zoomScale="80" zoomScaleNormal="80" workbookViewId="0">
      <selection activeCell="B4" sqref="B4:B5"/>
    </sheetView>
  </sheetViews>
  <sheetFormatPr defaultRowHeight="15"/>
  <cols>
    <col min="1" max="1" width="8.85546875" style="353"/>
    <col min="2" max="2" width="87.5703125" bestFit="1" customWidth="1"/>
    <col min="3" max="8" width="15.85546875" bestFit="1" customWidth="1"/>
  </cols>
  <sheetData>
    <row r="1" spans="1:8" ht="15.75">
      <c r="A1" s="17" t="s">
        <v>97</v>
      </c>
      <c r="B1" s="783" t="str">
        <f>Info!C2</f>
        <v>სს იშბანკი საქართველო</v>
      </c>
      <c r="C1" s="16"/>
      <c r="D1" s="183"/>
      <c r="E1" s="183"/>
      <c r="F1" s="183"/>
      <c r="G1" s="183"/>
    </row>
    <row r="2" spans="1:8" ht="15.75">
      <c r="A2" s="17" t="s">
        <v>98</v>
      </c>
      <c r="B2" s="784">
        <f>'1. key ratios'!B2</f>
        <v>45747</v>
      </c>
      <c r="C2" s="28"/>
      <c r="D2" s="18"/>
      <c r="E2" s="18"/>
      <c r="F2" s="18"/>
      <c r="G2" s="18"/>
      <c r="H2" s="1"/>
    </row>
    <row r="3" spans="1:8" ht="16.5" thickBot="1">
      <c r="A3" s="17"/>
      <c r="B3" s="16"/>
      <c r="C3" s="28"/>
      <c r="D3" s="18"/>
      <c r="E3" s="18"/>
      <c r="F3" s="18"/>
      <c r="G3" s="18"/>
      <c r="H3" s="1"/>
    </row>
    <row r="4" spans="1:8" ht="15.75">
      <c r="A4" s="850" t="s">
        <v>25</v>
      </c>
      <c r="B4" s="902" t="s">
        <v>140</v>
      </c>
      <c r="C4" s="612" t="s">
        <v>103</v>
      </c>
      <c r="D4" s="612"/>
      <c r="E4" s="612"/>
      <c r="F4" s="612" t="s">
        <v>104</v>
      </c>
      <c r="G4" s="612"/>
      <c r="H4" s="613"/>
    </row>
    <row r="5" spans="1:8">
      <c r="A5" s="852"/>
      <c r="B5" s="903"/>
      <c r="C5" s="853" t="s">
        <v>26</v>
      </c>
      <c r="D5" s="853" t="s">
        <v>77</v>
      </c>
      <c r="E5" s="853" t="s">
        <v>66</v>
      </c>
      <c r="F5" s="853" t="s">
        <v>26</v>
      </c>
      <c r="G5" s="853" t="s">
        <v>77</v>
      </c>
      <c r="H5" s="854" t="s">
        <v>66</v>
      </c>
    </row>
    <row r="6" spans="1:8" ht="15.75">
      <c r="A6" s="859">
        <v>1</v>
      </c>
      <c r="B6" s="904" t="s">
        <v>780</v>
      </c>
      <c r="C6" s="888"/>
      <c r="D6" s="889"/>
      <c r="E6" s="890">
        <f t="shared" ref="E6:E43" si="0">C6+D6</f>
        <v>0</v>
      </c>
      <c r="F6" s="889"/>
      <c r="G6" s="889"/>
      <c r="H6" s="891">
        <f t="shared" ref="H6:H43" si="1">F6+G6</f>
        <v>0</v>
      </c>
    </row>
    <row r="7" spans="1:8" ht="15.75">
      <c r="A7" s="859">
        <v>2</v>
      </c>
      <c r="B7" s="904" t="s">
        <v>166</v>
      </c>
      <c r="C7" s="892"/>
      <c r="D7" s="893"/>
      <c r="E7" s="894">
        <f t="shared" si="0"/>
        <v>0</v>
      </c>
      <c r="F7" s="893"/>
      <c r="G7" s="893"/>
      <c r="H7" s="895">
        <f t="shared" si="1"/>
        <v>0</v>
      </c>
    </row>
    <row r="8" spans="1:8" ht="15.75">
      <c r="A8" s="859">
        <v>3</v>
      </c>
      <c r="B8" s="904" t="s">
        <v>168</v>
      </c>
      <c r="C8" s="896">
        <f>C9+C10</f>
        <v>195271785.50832763</v>
      </c>
      <c r="D8" s="897">
        <f>D9+D10</f>
        <v>176559084.98353797</v>
      </c>
      <c r="E8" s="894">
        <f t="shared" si="0"/>
        <v>371830870.49186563</v>
      </c>
      <c r="F8" s="897">
        <f>F9+F10</f>
        <v>155521368.12264144</v>
      </c>
      <c r="G8" s="897">
        <f>G9+G10</f>
        <v>138090400.20000002</v>
      </c>
      <c r="H8" s="895">
        <f t="shared" si="1"/>
        <v>293611768.32264149</v>
      </c>
    </row>
    <row r="9" spans="1:8" ht="15.75">
      <c r="A9" s="859">
        <v>3.1</v>
      </c>
      <c r="B9" s="905" t="s">
        <v>781</v>
      </c>
      <c r="C9" s="892">
        <v>118355454.27832764</v>
      </c>
      <c r="D9" s="893">
        <v>122582005.81761998</v>
      </c>
      <c r="E9" s="894">
        <f t="shared" si="0"/>
        <v>240937460.09594762</v>
      </c>
      <c r="F9" s="893">
        <v>112099388.21264146</v>
      </c>
      <c r="G9" s="893">
        <v>94960125.430000007</v>
      </c>
      <c r="H9" s="895">
        <f t="shared" si="1"/>
        <v>207059513.64264148</v>
      </c>
    </row>
    <row r="10" spans="1:8" ht="15.75">
      <c r="A10" s="859">
        <v>3.2</v>
      </c>
      <c r="B10" s="905" t="s">
        <v>782</v>
      </c>
      <c r="C10" s="892">
        <v>76916331.229999989</v>
      </c>
      <c r="D10" s="893">
        <v>53977079.165918</v>
      </c>
      <c r="E10" s="894">
        <f t="shared" si="0"/>
        <v>130893410.39591798</v>
      </c>
      <c r="F10" s="893">
        <v>43421979.909999996</v>
      </c>
      <c r="G10" s="893">
        <v>43130274.770000003</v>
      </c>
      <c r="H10" s="895">
        <f t="shared" si="1"/>
        <v>86552254.680000007</v>
      </c>
    </row>
    <row r="11" spans="1:8" ht="25.5">
      <c r="A11" s="859">
        <v>4</v>
      </c>
      <c r="B11" s="904" t="s">
        <v>167</v>
      </c>
      <c r="C11" s="896">
        <f>C12+C13</f>
        <v>21151000</v>
      </c>
      <c r="D11" s="897">
        <f>D12+D13</f>
        <v>0</v>
      </c>
      <c r="E11" s="894">
        <f t="shared" si="0"/>
        <v>21151000</v>
      </c>
      <c r="F11" s="897">
        <f>F12+F13</f>
        <v>19000000</v>
      </c>
      <c r="G11" s="897">
        <f>G12+G13</f>
        <v>0</v>
      </c>
      <c r="H11" s="895">
        <f t="shared" si="1"/>
        <v>19000000</v>
      </c>
    </row>
    <row r="12" spans="1:8" ht="15.75">
      <c r="A12" s="859">
        <v>4.0999999999999996</v>
      </c>
      <c r="B12" s="905" t="s">
        <v>783</v>
      </c>
      <c r="C12" s="892">
        <v>21151000</v>
      </c>
      <c r="D12" s="893"/>
      <c r="E12" s="894">
        <f t="shared" si="0"/>
        <v>21151000</v>
      </c>
      <c r="F12" s="893">
        <v>19000000</v>
      </c>
      <c r="G12" s="893"/>
      <c r="H12" s="895">
        <f t="shared" si="1"/>
        <v>19000000</v>
      </c>
    </row>
    <row r="13" spans="1:8" ht="15.75">
      <c r="A13" s="859">
        <v>4.2</v>
      </c>
      <c r="B13" s="905" t="s">
        <v>784</v>
      </c>
      <c r="C13" s="892"/>
      <c r="D13" s="893"/>
      <c r="E13" s="894">
        <f t="shared" si="0"/>
        <v>0</v>
      </c>
      <c r="F13" s="893"/>
      <c r="G13" s="893"/>
      <c r="H13" s="895">
        <f t="shared" si="1"/>
        <v>0</v>
      </c>
    </row>
    <row r="14" spans="1:8" ht="15.75">
      <c r="A14" s="859">
        <v>5</v>
      </c>
      <c r="B14" s="906" t="s">
        <v>785</v>
      </c>
      <c r="C14" s="896">
        <f>C15+C16+C17+C23+C24+C25+C26</f>
        <v>6824323.0000000009</v>
      </c>
      <c r="D14" s="897">
        <f>D15+D16+D17+D23+D24+D25+D26</f>
        <v>301015647.29973096</v>
      </c>
      <c r="E14" s="894">
        <f t="shared" si="0"/>
        <v>307839970.29973096</v>
      </c>
      <c r="F14" s="897">
        <f>F15+F16+F17+F23+F24+F25+F26</f>
        <v>1506781.3866500002</v>
      </c>
      <c r="G14" s="897">
        <f>G15+G16+G17+G23+G24+G25+G26</f>
        <v>296385239.90746605</v>
      </c>
      <c r="H14" s="895">
        <f t="shared" si="1"/>
        <v>297892021.29411608</v>
      </c>
    </row>
    <row r="15" spans="1:8" ht="15.75">
      <c r="A15" s="859">
        <v>5.0999999999999996</v>
      </c>
      <c r="B15" s="907" t="s">
        <v>786</v>
      </c>
      <c r="C15" s="892">
        <v>6824323.0000000009</v>
      </c>
      <c r="D15" s="893">
        <v>11074091.562649904</v>
      </c>
      <c r="E15" s="894">
        <f t="shared" si="0"/>
        <v>17898414.562649906</v>
      </c>
      <c r="F15" s="893">
        <v>1506781.3866500002</v>
      </c>
      <c r="G15" s="893">
        <v>8755227.3539784048</v>
      </c>
      <c r="H15" s="895">
        <f t="shared" si="1"/>
        <v>10262008.740628405</v>
      </c>
    </row>
    <row r="16" spans="1:8" ht="15.75">
      <c r="A16" s="859">
        <v>5.2</v>
      </c>
      <c r="B16" s="907" t="s">
        <v>787</v>
      </c>
      <c r="C16" s="892"/>
      <c r="D16" s="893"/>
      <c r="E16" s="894">
        <f t="shared" si="0"/>
        <v>0</v>
      </c>
      <c r="F16" s="893"/>
      <c r="G16" s="893"/>
      <c r="H16" s="895">
        <f t="shared" si="1"/>
        <v>0</v>
      </c>
    </row>
    <row r="17" spans="1:8" ht="15.75">
      <c r="A17" s="859">
        <v>5.3</v>
      </c>
      <c r="B17" s="907" t="s">
        <v>788</v>
      </c>
      <c r="C17" s="896">
        <f>C18+C19+C20+C21+C22</f>
        <v>0</v>
      </c>
      <c r="D17" s="897">
        <f>D18+D19+D20+D21+D22</f>
        <v>268634240.93573314</v>
      </c>
      <c r="E17" s="894">
        <f t="shared" si="0"/>
        <v>268634240.93573314</v>
      </c>
      <c r="F17" s="896">
        <f>F18+F19+F20+F21+F22</f>
        <v>0</v>
      </c>
      <c r="G17" s="897">
        <f>G18+G19+G20+G21+G22</f>
        <v>266214253.2495445</v>
      </c>
      <c r="H17" s="895">
        <f t="shared" si="1"/>
        <v>266214253.2495445</v>
      </c>
    </row>
    <row r="18" spans="1:8" ht="15.75">
      <c r="A18" s="859" t="s">
        <v>169</v>
      </c>
      <c r="B18" s="908" t="s">
        <v>789</v>
      </c>
      <c r="C18" s="892"/>
      <c r="D18" s="893">
        <v>26242878.997011777</v>
      </c>
      <c r="E18" s="894">
        <f t="shared" si="0"/>
        <v>26242878.997011777</v>
      </c>
      <c r="F18" s="893"/>
      <c r="G18" s="893">
        <v>26006470.399948008</v>
      </c>
      <c r="H18" s="895">
        <f t="shared" si="1"/>
        <v>26006470.399948008</v>
      </c>
    </row>
    <row r="19" spans="1:8" ht="15.75">
      <c r="A19" s="859" t="s">
        <v>170</v>
      </c>
      <c r="B19" s="909" t="s">
        <v>790</v>
      </c>
      <c r="C19" s="892"/>
      <c r="D19" s="893">
        <v>162479993.6882174</v>
      </c>
      <c r="E19" s="894">
        <f t="shared" si="0"/>
        <v>162479993.6882174</v>
      </c>
      <c r="F19" s="893"/>
      <c r="G19" s="893">
        <v>161016295.00778165</v>
      </c>
      <c r="H19" s="895">
        <f t="shared" si="1"/>
        <v>161016295.00778165</v>
      </c>
    </row>
    <row r="20" spans="1:8" ht="15.75">
      <c r="A20" s="859" t="s">
        <v>171</v>
      </c>
      <c r="B20" s="909" t="s">
        <v>791</v>
      </c>
      <c r="C20" s="892"/>
      <c r="D20" s="893">
        <v>161180.54456143992</v>
      </c>
      <c r="E20" s="894">
        <f t="shared" si="0"/>
        <v>161180.54456143992</v>
      </c>
      <c r="F20" s="893"/>
      <c r="G20" s="893">
        <v>159728.55194972671</v>
      </c>
      <c r="H20" s="895">
        <f t="shared" si="1"/>
        <v>159728.55194972671</v>
      </c>
    </row>
    <row r="21" spans="1:8" ht="15.75">
      <c r="A21" s="859" t="s">
        <v>172</v>
      </c>
      <c r="B21" s="909" t="s">
        <v>792</v>
      </c>
      <c r="C21" s="892"/>
      <c r="D21" s="893">
        <v>79750187.705942497</v>
      </c>
      <c r="E21" s="894">
        <f t="shared" si="0"/>
        <v>79750187.705942497</v>
      </c>
      <c r="F21" s="893"/>
      <c r="G21" s="893">
        <v>79031759.289865121</v>
      </c>
      <c r="H21" s="895">
        <f t="shared" si="1"/>
        <v>79031759.289865121</v>
      </c>
    </row>
    <row r="22" spans="1:8" ht="15.75">
      <c r="A22" s="859" t="s">
        <v>173</v>
      </c>
      <c r="B22" s="909" t="s">
        <v>510</v>
      </c>
      <c r="C22" s="892"/>
      <c r="D22" s="893">
        <v>0</v>
      </c>
      <c r="E22" s="894">
        <f t="shared" si="0"/>
        <v>0</v>
      </c>
      <c r="F22" s="893"/>
      <c r="G22" s="893">
        <v>0</v>
      </c>
      <c r="H22" s="895">
        <f t="shared" si="1"/>
        <v>0</v>
      </c>
    </row>
    <row r="23" spans="1:8" ht="15.75">
      <c r="A23" s="859">
        <v>5.4</v>
      </c>
      <c r="B23" s="907" t="s">
        <v>793</v>
      </c>
      <c r="C23" s="892"/>
      <c r="D23" s="893">
        <v>15821330.219159702</v>
      </c>
      <c r="E23" s="894">
        <f t="shared" si="0"/>
        <v>15821330.219159702</v>
      </c>
      <c r="F23" s="893"/>
      <c r="G23" s="893">
        <v>15960797.005860288</v>
      </c>
      <c r="H23" s="895">
        <f t="shared" si="1"/>
        <v>15960797.005860288</v>
      </c>
    </row>
    <row r="24" spans="1:8" ht="15.75">
      <c r="A24" s="859">
        <v>5.5</v>
      </c>
      <c r="B24" s="907" t="s">
        <v>794</v>
      </c>
      <c r="C24" s="892"/>
      <c r="D24" s="893">
        <v>0</v>
      </c>
      <c r="E24" s="894">
        <f t="shared" si="0"/>
        <v>0</v>
      </c>
      <c r="F24" s="893"/>
      <c r="G24" s="893">
        <v>0</v>
      </c>
      <c r="H24" s="895">
        <f t="shared" si="1"/>
        <v>0</v>
      </c>
    </row>
    <row r="25" spans="1:8" ht="15.75">
      <c r="A25" s="859">
        <v>5.6</v>
      </c>
      <c r="B25" s="907" t="s">
        <v>795</v>
      </c>
      <c r="C25" s="892"/>
      <c r="D25" s="893">
        <v>0</v>
      </c>
      <c r="E25" s="894">
        <f t="shared" si="0"/>
        <v>0</v>
      </c>
      <c r="F25" s="893"/>
      <c r="G25" s="893">
        <v>0</v>
      </c>
      <c r="H25" s="895">
        <f t="shared" si="1"/>
        <v>0</v>
      </c>
    </row>
    <row r="26" spans="1:8" ht="15.75">
      <c r="A26" s="859">
        <v>5.7</v>
      </c>
      <c r="B26" s="907" t="s">
        <v>510</v>
      </c>
      <c r="C26" s="892"/>
      <c r="D26" s="893">
        <v>5485984.5821882021</v>
      </c>
      <c r="E26" s="894">
        <f t="shared" si="0"/>
        <v>5485984.5821882021</v>
      </c>
      <c r="F26" s="893"/>
      <c r="G26" s="893">
        <v>5454962.2980828602</v>
      </c>
      <c r="H26" s="895">
        <f t="shared" si="1"/>
        <v>5454962.2980828602</v>
      </c>
    </row>
    <row r="27" spans="1:8" ht="15.75">
      <c r="A27" s="859">
        <v>6</v>
      </c>
      <c r="B27" s="906" t="s">
        <v>796</v>
      </c>
      <c r="C27" s="892"/>
      <c r="D27" s="893"/>
      <c r="E27" s="894">
        <f t="shared" si="0"/>
        <v>0</v>
      </c>
      <c r="F27" s="893">
        <v>33030.82</v>
      </c>
      <c r="G27" s="893"/>
      <c r="H27" s="895">
        <f t="shared" si="1"/>
        <v>33030.82</v>
      </c>
    </row>
    <row r="28" spans="1:8" ht="15.75">
      <c r="A28" s="859">
        <v>7</v>
      </c>
      <c r="B28" s="906" t="s">
        <v>797</v>
      </c>
      <c r="C28" s="892">
        <v>78948300.829999998</v>
      </c>
      <c r="D28" s="893">
        <v>71294110.900114998</v>
      </c>
      <c r="E28" s="894">
        <f t="shared" si="0"/>
        <v>150242411.730115</v>
      </c>
      <c r="F28" s="893">
        <v>48210205.899999991</v>
      </c>
      <c r="G28" s="893">
        <v>71109050.770000011</v>
      </c>
      <c r="H28" s="895">
        <f t="shared" si="1"/>
        <v>119319256.67</v>
      </c>
    </row>
    <row r="29" spans="1:8" ht="15.75">
      <c r="A29" s="859">
        <v>8</v>
      </c>
      <c r="B29" s="906" t="s">
        <v>798</v>
      </c>
      <c r="C29" s="892"/>
      <c r="D29" s="893"/>
      <c r="E29" s="894">
        <f t="shared" si="0"/>
        <v>0</v>
      </c>
      <c r="F29" s="893"/>
      <c r="G29" s="893"/>
      <c r="H29" s="895">
        <f t="shared" si="1"/>
        <v>0</v>
      </c>
    </row>
    <row r="30" spans="1:8" ht="15.75">
      <c r="A30" s="859">
        <v>9</v>
      </c>
      <c r="B30" s="904" t="s">
        <v>174</v>
      </c>
      <c r="C30" s="892">
        <f>C31+C32+C33+C34+C35+C36+C37</f>
        <v>0</v>
      </c>
      <c r="D30" s="893">
        <f>D31+D32+D33+D34+D35+D36+D37</f>
        <v>0</v>
      </c>
      <c r="E30" s="894">
        <f t="shared" si="0"/>
        <v>0</v>
      </c>
      <c r="F30" s="893">
        <f>F31+F32+F33+F34+F35+F36+F37</f>
        <v>0</v>
      </c>
      <c r="G30" s="893">
        <f>G31+G32+G33+G34+G35+G36+G37</f>
        <v>0</v>
      </c>
      <c r="H30" s="895">
        <f t="shared" si="1"/>
        <v>0</v>
      </c>
    </row>
    <row r="31" spans="1:8" ht="25.5">
      <c r="A31" s="859">
        <v>9.1</v>
      </c>
      <c r="B31" s="905" t="s">
        <v>799</v>
      </c>
      <c r="C31" s="892"/>
      <c r="D31" s="893"/>
      <c r="E31" s="894">
        <f t="shared" si="0"/>
        <v>0</v>
      </c>
      <c r="F31" s="893"/>
      <c r="G31" s="893"/>
      <c r="H31" s="895">
        <f t="shared" si="1"/>
        <v>0</v>
      </c>
    </row>
    <row r="32" spans="1:8" ht="25.5">
      <c r="A32" s="859">
        <v>9.1999999999999993</v>
      </c>
      <c r="B32" s="905" t="s">
        <v>800</v>
      </c>
      <c r="C32" s="892"/>
      <c r="D32" s="893"/>
      <c r="E32" s="894">
        <f t="shared" si="0"/>
        <v>0</v>
      </c>
      <c r="F32" s="893"/>
      <c r="G32" s="893"/>
      <c r="H32" s="895">
        <f t="shared" si="1"/>
        <v>0</v>
      </c>
    </row>
    <row r="33" spans="1:8" ht="25.5">
      <c r="A33" s="859">
        <v>9.3000000000000007</v>
      </c>
      <c r="B33" s="905" t="s">
        <v>801</v>
      </c>
      <c r="C33" s="892"/>
      <c r="D33" s="893"/>
      <c r="E33" s="894">
        <f t="shared" si="0"/>
        <v>0</v>
      </c>
      <c r="F33" s="893"/>
      <c r="G33" s="893"/>
      <c r="H33" s="895">
        <f t="shared" si="1"/>
        <v>0</v>
      </c>
    </row>
    <row r="34" spans="1:8" ht="15.75">
      <c r="A34" s="859">
        <v>9.4</v>
      </c>
      <c r="B34" s="905" t="s">
        <v>802</v>
      </c>
      <c r="C34" s="892"/>
      <c r="D34" s="893"/>
      <c r="E34" s="894">
        <f t="shared" si="0"/>
        <v>0</v>
      </c>
      <c r="F34" s="893"/>
      <c r="G34" s="893"/>
      <c r="H34" s="895">
        <f t="shared" si="1"/>
        <v>0</v>
      </c>
    </row>
    <row r="35" spans="1:8" ht="15.75">
      <c r="A35" s="859">
        <v>9.5</v>
      </c>
      <c r="B35" s="905" t="s">
        <v>803</v>
      </c>
      <c r="C35" s="892"/>
      <c r="D35" s="893"/>
      <c r="E35" s="894">
        <f t="shared" si="0"/>
        <v>0</v>
      </c>
      <c r="F35" s="893"/>
      <c r="G35" s="893"/>
      <c r="H35" s="895">
        <f t="shared" si="1"/>
        <v>0</v>
      </c>
    </row>
    <row r="36" spans="1:8" ht="25.5">
      <c r="A36" s="859">
        <v>9.6</v>
      </c>
      <c r="B36" s="905" t="s">
        <v>804</v>
      </c>
      <c r="C36" s="892"/>
      <c r="D36" s="893"/>
      <c r="E36" s="894">
        <f t="shared" si="0"/>
        <v>0</v>
      </c>
      <c r="F36" s="893"/>
      <c r="G36" s="893"/>
      <c r="H36" s="895">
        <f t="shared" si="1"/>
        <v>0</v>
      </c>
    </row>
    <row r="37" spans="1:8" ht="25.5">
      <c r="A37" s="859">
        <v>9.6999999999999993</v>
      </c>
      <c r="B37" s="905" t="s">
        <v>805</v>
      </c>
      <c r="C37" s="892"/>
      <c r="D37" s="893"/>
      <c r="E37" s="894">
        <f t="shared" si="0"/>
        <v>0</v>
      </c>
      <c r="F37" s="893"/>
      <c r="G37" s="893"/>
      <c r="H37" s="895">
        <f t="shared" si="1"/>
        <v>0</v>
      </c>
    </row>
    <row r="38" spans="1:8" ht="15.75">
      <c r="A38" s="859">
        <v>10</v>
      </c>
      <c r="B38" s="910" t="s">
        <v>806</v>
      </c>
      <c r="C38" s="892">
        <f>C41+C42</f>
        <v>0</v>
      </c>
      <c r="D38" s="893">
        <f>D41+D42</f>
        <v>0</v>
      </c>
      <c r="E38" s="894">
        <f t="shared" si="0"/>
        <v>0</v>
      </c>
      <c r="F38" s="893">
        <f>F41+F42</f>
        <v>0</v>
      </c>
      <c r="G38" s="893">
        <f>G41+G42</f>
        <v>0</v>
      </c>
      <c r="H38" s="895">
        <f t="shared" si="1"/>
        <v>0</v>
      </c>
    </row>
    <row r="39" spans="1:8" ht="15.75">
      <c r="A39" s="859">
        <v>10.1</v>
      </c>
      <c r="B39" s="905" t="s">
        <v>807</v>
      </c>
      <c r="C39" s="892"/>
      <c r="D39" s="893"/>
      <c r="E39" s="894">
        <f t="shared" si="0"/>
        <v>0</v>
      </c>
      <c r="F39" s="893"/>
      <c r="G39" s="893"/>
      <c r="H39" s="895">
        <f t="shared" si="1"/>
        <v>0</v>
      </c>
    </row>
    <row r="40" spans="1:8" ht="25.5">
      <c r="A40" s="859">
        <v>10.199999999999999</v>
      </c>
      <c r="B40" s="905" t="s">
        <v>808</v>
      </c>
      <c r="C40" s="892"/>
      <c r="D40" s="893"/>
      <c r="E40" s="894">
        <f t="shared" si="0"/>
        <v>0</v>
      </c>
      <c r="F40" s="893"/>
      <c r="G40" s="893"/>
      <c r="H40" s="895">
        <f t="shared" si="1"/>
        <v>0</v>
      </c>
    </row>
    <row r="41" spans="1:8" ht="25.5">
      <c r="A41" s="859">
        <v>10.3</v>
      </c>
      <c r="B41" s="905" t="s">
        <v>809</v>
      </c>
      <c r="C41" s="892"/>
      <c r="D41" s="893"/>
      <c r="E41" s="894">
        <f t="shared" si="0"/>
        <v>0</v>
      </c>
      <c r="F41" s="893"/>
      <c r="G41" s="893"/>
      <c r="H41" s="895">
        <f t="shared" si="1"/>
        <v>0</v>
      </c>
    </row>
    <row r="42" spans="1:8" ht="25.5">
      <c r="A42" s="859">
        <v>10.4</v>
      </c>
      <c r="B42" s="905" t="s">
        <v>810</v>
      </c>
      <c r="C42" s="892"/>
      <c r="D42" s="893"/>
      <c r="E42" s="894">
        <f t="shared" si="0"/>
        <v>0</v>
      </c>
      <c r="F42" s="893"/>
      <c r="G42" s="893"/>
      <c r="H42" s="895">
        <f t="shared" si="1"/>
        <v>0</v>
      </c>
    </row>
    <row r="43" spans="1:8" ht="16.5" thickBot="1">
      <c r="A43" s="868">
        <v>11</v>
      </c>
      <c r="B43" s="911" t="s">
        <v>175</v>
      </c>
      <c r="C43" s="898"/>
      <c r="D43" s="899"/>
      <c r="E43" s="900">
        <f t="shared" si="0"/>
        <v>0</v>
      </c>
      <c r="F43" s="899"/>
      <c r="G43" s="899"/>
      <c r="H43" s="901">
        <f t="shared" si="1"/>
        <v>0</v>
      </c>
    </row>
    <row r="44" spans="1:8" ht="15.75">
      <c r="C44" s="354"/>
      <c r="D44" s="354"/>
      <c r="E44" s="354"/>
      <c r="F44" s="354"/>
      <c r="G44" s="354"/>
      <c r="H44" s="354"/>
    </row>
    <row r="45" spans="1:8" ht="15.75">
      <c r="C45" s="354"/>
      <c r="D45" s="354"/>
      <c r="E45" s="354"/>
      <c r="F45" s="354"/>
      <c r="G45" s="354"/>
      <c r="H45" s="354"/>
    </row>
    <row r="46" spans="1:8" ht="15.75">
      <c r="C46" s="354"/>
      <c r="D46" s="354"/>
      <c r="E46" s="354"/>
      <c r="F46" s="354"/>
      <c r="G46" s="354"/>
      <c r="H46" s="354"/>
    </row>
    <row r="47" spans="1:8" ht="15.75">
      <c r="C47" s="354"/>
      <c r="D47" s="354"/>
      <c r="E47" s="354"/>
      <c r="F47" s="354"/>
      <c r="G47" s="354"/>
      <c r="H47" s="354"/>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80" zoomScaleNormal="80" workbookViewId="0">
      <pane xSplit="1" ySplit="4" topLeftCell="B5"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9.5703125" style="2" bestFit="1" customWidth="1"/>
    <col min="2" max="2" width="93.5703125" style="2" customWidth="1"/>
    <col min="3" max="4" width="13" style="2" bestFit="1" customWidth="1"/>
    <col min="5" max="7" width="13" style="12" bestFit="1" customWidth="1"/>
    <col min="8" max="11" width="9.85546875" style="12" customWidth="1"/>
    <col min="12" max="16384" width="9.140625" style="12"/>
  </cols>
  <sheetData>
    <row r="1" spans="1:8" ht="15">
      <c r="A1" s="17" t="s">
        <v>97</v>
      </c>
      <c r="B1" s="783" t="str">
        <f>Info!C2</f>
        <v>სს იშბანკი საქართველო</v>
      </c>
      <c r="C1" s="16"/>
      <c r="D1" s="183"/>
    </row>
    <row r="2" spans="1:8" ht="15">
      <c r="A2" s="17" t="s">
        <v>98</v>
      </c>
      <c r="B2" s="784">
        <f>'1. key ratios'!B2</f>
        <v>45747</v>
      </c>
      <c r="C2" s="28"/>
      <c r="D2" s="18"/>
      <c r="E2" s="11"/>
      <c r="F2" s="11"/>
      <c r="G2" s="11"/>
      <c r="H2" s="11"/>
    </row>
    <row r="3" spans="1:8" ht="15">
      <c r="A3" s="17"/>
      <c r="B3" s="16"/>
      <c r="C3" s="28"/>
      <c r="D3" s="18"/>
      <c r="E3" s="11"/>
      <c r="F3" s="11"/>
      <c r="G3" s="11"/>
      <c r="H3" s="11"/>
    </row>
    <row r="4" spans="1:8" ht="15" customHeight="1" thickBot="1">
      <c r="A4" s="129" t="s">
        <v>242</v>
      </c>
      <c r="B4" s="130" t="s">
        <v>96</v>
      </c>
      <c r="C4" s="131" t="s">
        <v>76</v>
      </c>
    </row>
    <row r="5" spans="1:8" ht="15" customHeight="1">
      <c r="A5" s="127" t="s">
        <v>25</v>
      </c>
      <c r="B5" s="128"/>
      <c r="C5" s="924" t="str">
        <f>INT((MONTH($B$2))/3)&amp;"Q"&amp;"-"&amp;YEAR($B$2)</f>
        <v>1Q-2025</v>
      </c>
      <c r="D5" s="924" t="str">
        <f>IF(INT(MONTH($B$2))=3, "4"&amp;"Q"&amp;"-"&amp;YEAR($B$2)-1, IF(INT(MONTH($B$2))=6, "1"&amp;"Q"&amp;"-"&amp;YEAR($B$2), IF(INT(MONTH($B$2))=9, "2"&amp;"Q"&amp;"-"&amp;YEAR($B$2),IF(INT(MONTH($B$2))=12, "3"&amp;"Q"&amp;"-"&amp;YEAR($B$2), 0))))</f>
        <v>4Q-2024</v>
      </c>
      <c r="E5" s="924" t="str">
        <f>IF(INT(MONTH($B$2))=3, "3"&amp;"Q"&amp;"-"&amp;YEAR($B$2)-1, IF(INT(MONTH($B$2))=6, "4"&amp;"Q"&amp;"-"&amp;YEAR($B$2)-1, IF(INT(MONTH($B$2))=9, "1"&amp;"Q"&amp;"-"&amp;YEAR($B$2),IF(INT(MONTH($B$2))=12, "2"&amp;"Q"&amp;"-"&amp;YEAR($B$2), 0))))</f>
        <v>3Q-2024</v>
      </c>
      <c r="F5" s="924" t="str">
        <f>IF(INT(MONTH($B$2))=3, "2"&amp;"Q"&amp;"-"&amp;YEAR($B$2)-1, IF(INT(MONTH($B$2))=6, "3"&amp;"Q"&amp;"-"&amp;YEAR($B$2)-1, IF(INT(MONTH($B$2))=9, "4"&amp;"Q"&amp;"-"&amp;YEAR($B$2)-1,IF(INT(MONTH($B$2))=12, "1"&amp;"Q"&amp;"-"&amp;YEAR($B$2), 0))))</f>
        <v>2Q-2024</v>
      </c>
      <c r="G5" s="925" t="str">
        <f>IF(INT(MONTH($B$2))=3, "1"&amp;"Q"&amp;"-"&amp;YEAR($B$2)-1, IF(INT(MONTH($B$2))=6, "2"&amp;"Q"&amp;"-"&amp;YEAR($B$2)-1, IF(INT(MONTH($B$2))=9, "3"&amp;"Q"&amp;"-"&amp;YEAR($B$2)-1,IF(INT(MONTH($B$2))=12, "4"&amp;"Q"&amp;"-"&amp;YEAR($B$2)-1, 0))))</f>
        <v>1Q-2024</v>
      </c>
    </row>
    <row r="6" spans="1:8" ht="15" customHeight="1">
      <c r="A6" s="219">
        <v>1</v>
      </c>
      <c r="B6" s="245" t="s">
        <v>101</v>
      </c>
      <c r="C6" s="912">
        <f>C7+C9+C10</f>
        <v>495692457.84769219</v>
      </c>
      <c r="D6" s="913">
        <f>D7+D9+D10</f>
        <v>505920620.41776514</v>
      </c>
      <c r="E6" s="913">
        <f t="shared" ref="E6:G6" si="0">E7+E9+E10</f>
        <v>451023241.76627278</v>
      </c>
      <c r="F6" s="913">
        <f t="shared" si="0"/>
        <v>453465952.97883582</v>
      </c>
      <c r="G6" s="914">
        <f t="shared" si="0"/>
        <v>463663570.65652567</v>
      </c>
    </row>
    <row r="7" spans="1:8" ht="15" customHeight="1">
      <c r="A7" s="219">
        <v>1.1000000000000001</v>
      </c>
      <c r="B7" s="220" t="s">
        <v>995</v>
      </c>
      <c r="C7" s="915">
        <v>431850751.88500565</v>
      </c>
      <c r="D7" s="916">
        <v>436667818.09710544</v>
      </c>
      <c r="E7" s="916">
        <v>392031044.3125686</v>
      </c>
      <c r="F7" s="916">
        <v>400916828.91723734</v>
      </c>
      <c r="G7" s="917">
        <v>402269054.15615577</v>
      </c>
    </row>
    <row r="8" spans="1:8" ht="25.5">
      <c r="A8" s="219" t="s">
        <v>146</v>
      </c>
      <c r="B8" s="221" t="s">
        <v>239</v>
      </c>
      <c r="C8" s="915"/>
      <c r="D8" s="916"/>
      <c r="E8" s="916"/>
      <c r="F8" s="916"/>
      <c r="G8" s="917"/>
    </row>
    <row r="9" spans="1:8" ht="15" customHeight="1">
      <c r="A9" s="219">
        <v>1.2</v>
      </c>
      <c r="B9" s="220" t="s">
        <v>21</v>
      </c>
      <c r="C9" s="915">
        <v>63841705.962686554</v>
      </c>
      <c r="D9" s="916">
        <v>69252802.320659697</v>
      </c>
      <c r="E9" s="916">
        <v>58992197.453704193</v>
      </c>
      <c r="F9" s="916">
        <v>52549124.061598495</v>
      </c>
      <c r="G9" s="917">
        <v>61394516.500369921</v>
      </c>
    </row>
    <row r="10" spans="1:8" ht="15" customHeight="1">
      <c r="A10" s="219">
        <v>1.3</v>
      </c>
      <c r="B10" s="246" t="s">
        <v>73</v>
      </c>
      <c r="C10" s="918"/>
      <c r="D10" s="916"/>
      <c r="E10" s="919"/>
      <c r="F10" s="916"/>
      <c r="G10" s="920"/>
    </row>
    <row r="11" spans="1:8" ht="15" customHeight="1">
      <c r="A11" s="219">
        <v>2</v>
      </c>
      <c r="B11" s="245" t="s">
        <v>102</v>
      </c>
      <c r="C11" s="915">
        <v>9404774.7338500712</v>
      </c>
      <c r="D11" s="916">
        <v>2918293.1334402016</v>
      </c>
      <c r="E11" s="916">
        <v>683468.83679594751</v>
      </c>
      <c r="F11" s="916">
        <v>1037501.9833303278</v>
      </c>
      <c r="G11" s="917">
        <v>1611426.084706008</v>
      </c>
    </row>
    <row r="12" spans="1:8" ht="15" customHeight="1">
      <c r="A12" s="231">
        <v>3</v>
      </c>
      <c r="B12" s="247" t="s">
        <v>100</v>
      </c>
      <c r="C12" s="918">
        <v>53560166.794155389</v>
      </c>
      <c r="D12" s="916">
        <v>53560166.794155389</v>
      </c>
      <c r="E12" s="919">
        <v>50929556.451571435</v>
      </c>
      <c r="F12" s="916">
        <v>50929556.451571435</v>
      </c>
      <c r="G12" s="920">
        <v>50929556.451571435</v>
      </c>
    </row>
    <row r="13" spans="1:8" ht="15" customHeight="1" thickBot="1">
      <c r="A13" s="73">
        <v>4</v>
      </c>
      <c r="B13" s="248" t="s">
        <v>147</v>
      </c>
      <c r="C13" s="921">
        <f>C6+C11+C12</f>
        <v>558657399.37569761</v>
      </c>
      <c r="D13" s="922">
        <f>D6+D11+D12</f>
        <v>562399080.34536076</v>
      </c>
      <c r="E13" s="922">
        <f t="shared" ref="E13:G13" si="1">E6+E11+E12</f>
        <v>502636267.05464017</v>
      </c>
      <c r="F13" s="922">
        <f t="shared" si="1"/>
        <v>505433011.41373754</v>
      </c>
      <c r="G13" s="923">
        <f t="shared" si="1"/>
        <v>516204553.19280314</v>
      </c>
    </row>
    <row r="14" spans="1:8">
      <c r="B14" s="23"/>
    </row>
    <row r="15" spans="1:8">
      <c r="B15" s="65"/>
    </row>
    <row r="16" spans="1:8">
      <c r="B16" s="65"/>
    </row>
    <row r="17" spans="2:2">
      <c r="B17" s="65"/>
    </row>
    <row r="18" spans="2:2">
      <c r="B18" s="6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activeCell="B4" sqref="B4"/>
    </sheetView>
  </sheetViews>
  <sheetFormatPr defaultRowHeight="15"/>
  <cols>
    <col min="1" max="1" width="9.5703125" style="2" bestFit="1" customWidth="1"/>
    <col min="2" max="2" width="58.85546875" style="2" customWidth="1"/>
    <col min="3" max="3" width="34.140625" style="2" customWidth="1"/>
  </cols>
  <sheetData>
    <row r="1" spans="1:8">
      <c r="A1" s="2" t="s">
        <v>97</v>
      </c>
      <c r="B1" s="783" t="str">
        <f>Info!C2</f>
        <v>სს იშბანკი საქართველო</v>
      </c>
    </row>
    <row r="2" spans="1:8">
      <c r="A2" s="2" t="s">
        <v>98</v>
      </c>
      <c r="B2" s="784">
        <f>'1. key ratios'!B2</f>
        <v>45747</v>
      </c>
    </row>
    <row r="4" spans="1:8" ht="30.75" thickBot="1">
      <c r="A4" s="143" t="s">
        <v>243</v>
      </c>
      <c r="B4" s="30" t="s">
        <v>80</v>
      </c>
      <c r="C4" s="13"/>
    </row>
    <row r="5" spans="1:8" ht="15.75">
      <c r="A5" s="10"/>
      <c r="B5" s="240" t="s">
        <v>81</v>
      </c>
      <c r="C5" s="252" t="s">
        <v>419</v>
      </c>
    </row>
    <row r="6" spans="1:8">
      <c r="A6" s="14">
        <v>1</v>
      </c>
      <c r="B6" s="31" t="s">
        <v>1001</v>
      </c>
      <c r="C6" s="249" t="s">
        <v>1004</v>
      </c>
    </row>
    <row r="7" spans="1:8">
      <c r="A7" s="14">
        <v>2</v>
      </c>
      <c r="B7" s="31" t="s">
        <v>1011</v>
      </c>
      <c r="C7" s="249" t="s">
        <v>1005</v>
      </c>
    </row>
    <row r="8" spans="1:8">
      <c r="A8" s="14">
        <v>3</v>
      </c>
      <c r="B8" s="31" t="s">
        <v>1006</v>
      </c>
      <c r="C8" s="249" t="s">
        <v>1005</v>
      </c>
    </row>
    <row r="9" spans="1:8">
      <c r="A9" s="14">
        <v>4</v>
      </c>
      <c r="B9" s="31" t="s">
        <v>1007</v>
      </c>
      <c r="C9" s="249" t="s">
        <v>1005</v>
      </c>
    </row>
    <row r="10" spans="1:8">
      <c r="A10" s="14">
        <v>5</v>
      </c>
      <c r="B10" s="31" t="s">
        <v>1008</v>
      </c>
      <c r="C10" s="249" t="s">
        <v>1009</v>
      </c>
    </row>
    <row r="11" spans="1:8">
      <c r="A11" s="14">
        <v>6</v>
      </c>
      <c r="B11" s="31" t="s">
        <v>1010</v>
      </c>
      <c r="C11" s="249" t="s">
        <v>1009</v>
      </c>
    </row>
    <row r="12" spans="1:8">
      <c r="A12" s="14">
        <v>7</v>
      </c>
      <c r="B12" s="31"/>
      <c r="C12" s="249"/>
      <c r="H12" s="4"/>
    </row>
    <row r="13" spans="1:8">
      <c r="A13" s="14">
        <v>8</v>
      </c>
      <c r="B13" s="31"/>
      <c r="C13" s="249"/>
    </row>
    <row r="14" spans="1:8">
      <c r="A14" s="14">
        <v>9</v>
      </c>
      <c r="B14" s="31"/>
      <c r="C14" s="249"/>
    </row>
    <row r="15" spans="1:8">
      <c r="A15" s="14">
        <v>10</v>
      </c>
      <c r="B15" s="31"/>
      <c r="C15" s="249"/>
    </row>
    <row r="16" spans="1:8">
      <c r="A16" s="14"/>
      <c r="B16" s="614"/>
      <c r="C16" s="615"/>
    </row>
    <row r="17" spans="1:3" ht="60">
      <c r="A17" s="14"/>
      <c r="B17" s="241" t="s">
        <v>82</v>
      </c>
      <c r="C17" s="253" t="s">
        <v>420</v>
      </c>
    </row>
    <row r="18" spans="1:3" ht="15.75">
      <c r="A18" s="14">
        <v>1</v>
      </c>
      <c r="B18" s="26" t="s">
        <v>1002</v>
      </c>
      <c r="C18" s="250" t="s">
        <v>1012</v>
      </c>
    </row>
    <row r="19" spans="1:3" ht="15.75">
      <c r="A19" s="14">
        <v>2</v>
      </c>
      <c r="B19" s="26" t="s">
        <v>1013</v>
      </c>
      <c r="C19" s="250" t="s">
        <v>1014</v>
      </c>
    </row>
    <row r="20" spans="1:3" ht="15.75">
      <c r="A20" s="14">
        <v>3</v>
      </c>
      <c r="B20" s="26" t="s">
        <v>1015</v>
      </c>
      <c r="C20" s="250" t="s">
        <v>1014</v>
      </c>
    </row>
    <row r="21" spans="1:3" ht="15.75">
      <c r="A21" s="14">
        <v>4</v>
      </c>
      <c r="B21" s="26" t="s">
        <v>1016</v>
      </c>
      <c r="C21" s="250" t="s">
        <v>1017</v>
      </c>
    </row>
    <row r="22" spans="1:3" ht="15.75">
      <c r="A22" s="14">
        <v>5</v>
      </c>
      <c r="B22" s="26" t="s">
        <v>1018</v>
      </c>
      <c r="C22" s="250" t="s">
        <v>1019</v>
      </c>
    </row>
    <row r="23" spans="1:3" ht="15.75">
      <c r="A23" s="14">
        <v>6</v>
      </c>
      <c r="B23" s="26"/>
      <c r="C23" s="250"/>
    </row>
    <row r="24" spans="1:3" ht="15.75">
      <c r="A24" s="14">
        <v>7</v>
      </c>
      <c r="B24" s="26"/>
      <c r="C24" s="250"/>
    </row>
    <row r="25" spans="1:3" ht="15.75">
      <c r="A25" s="14">
        <v>8</v>
      </c>
      <c r="B25" s="26"/>
      <c r="C25" s="250"/>
    </row>
    <row r="26" spans="1:3" ht="15.75">
      <c r="A26" s="14">
        <v>9</v>
      </c>
      <c r="B26" s="26"/>
      <c r="C26" s="250"/>
    </row>
    <row r="27" spans="1:3" ht="15.75" customHeight="1">
      <c r="A27" s="14">
        <v>10</v>
      </c>
      <c r="B27" s="26"/>
      <c r="C27" s="251"/>
    </row>
    <row r="28" spans="1:3" ht="15.75" customHeight="1">
      <c r="A28" s="14"/>
      <c r="B28" s="26"/>
      <c r="C28" s="27"/>
    </row>
    <row r="29" spans="1:3" ht="30" customHeight="1">
      <c r="A29" s="14"/>
      <c r="B29" s="616" t="s">
        <v>83</v>
      </c>
      <c r="C29" s="617"/>
    </row>
    <row r="30" spans="1:3">
      <c r="A30" s="14">
        <v>1</v>
      </c>
      <c r="B30" s="31" t="s">
        <v>1020</v>
      </c>
      <c r="C30" s="926">
        <v>1</v>
      </c>
    </row>
    <row r="31" spans="1:3" ht="15.75" customHeight="1">
      <c r="A31" s="14"/>
      <c r="B31" s="31"/>
      <c r="C31" s="32"/>
    </row>
    <row r="32" spans="1:3" ht="29.25" customHeight="1">
      <c r="A32" s="14"/>
      <c r="B32" s="616" t="s">
        <v>163</v>
      </c>
      <c r="C32" s="617"/>
    </row>
    <row r="33" spans="1:3">
      <c r="A33" s="14">
        <v>1</v>
      </c>
      <c r="B33" s="31" t="s">
        <v>1021</v>
      </c>
      <c r="C33" s="927">
        <v>0.3866</v>
      </c>
    </row>
    <row r="34" spans="1:3" ht="16.5" thickBot="1">
      <c r="A34" s="15">
        <v>2</v>
      </c>
      <c r="B34" s="33" t="s">
        <v>1022</v>
      </c>
      <c r="C34" s="928">
        <v>0.28089999999999998</v>
      </c>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showGridLines="0" zoomScale="80" zoomScaleNormal="80" workbookViewId="0">
      <pane xSplit="1" ySplit="5" topLeftCell="B6" activePane="bottomRight" state="frozen"/>
      <selection activeCell="H6" sqref="H6"/>
      <selection pane="topRight" activeCell="H6" sqref="H6"/>
      <selection pane="bottomLeft" activeCell="H6" sqref="H6"/>
      <selection pane="bottomRight" activeCell="B4" sqref="B4"/>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7" ht="15.75">
      <c r="A1" s="17" t="s">
        <v>97</v>
      </c>
      <c r="B1" s="783" t="str">
        <f>Info!C2</f>
        <v>სს იშბანკი საქართველო</v>
      </c>
    </row>
    <row r="2" spans="1:7" s="21" customFormat="1" ht="15.75" customHeight="1">
      <c r="A2" s="21" t="s">
        <v>98</v>
      </c>
      <c r="B2" s="784">
        <f>'1. key ratios'!B2</f>
        <v>45747</v>
      </c>
    </row>
    <row r="3" spans="1:7" s="21" customFormat="1" ht="15.75" customHeight="1"/>
    <row r="4" spans="1:7" s="21" customFormat="1" ht="15.75" customHeight="1" thickBot="1">
      <c r="A4" s="144" t="s">
        <v>244</v>
      </c>
      <c r="B4" s="145" t="s">
        <v>157</v>
      </c>
      <c r="C4" s="109"/>
      <c r="D4" s="109"/>
      <c r="E4" s="110" t="s">
        <v>76</v>
      </c>
    </row>
    <row r="5" spans="1:7" s="69" customFormat="1" ht="17.45" customHeight="1">
      <c r="A5" s="195"/>
      <c r="B5" s="196"/>
      <c r="C5" s="108" t="s">
        <v>0</v>
      </c>
      <c r="D5" s="108" t="s">
        <v>1</v>
      </c>
      <c r="E5" s="197" t="s">
        <v>2</v>
      </c>
    </row>
    <row r="6" spans="1:7" s="88" customFormat="1" ht="14.45" customHeight="1">
      <c r="A6" s="198"/>
      <c r="B6" s="618" t="s">
        <v>133</v>
      </c>
      <c r="C6" s="618" t="s">
        <v>824</v>
      </c>
      <c r="D6" s="619" t="s">
        <v>132</v>
      </c>
      <c r="E6" s="620"/>
      <c r="G6"/>
    </row>
    <row r="7" spans="1:7" s="88" customFormat="1" ht="99.6" customHeight="1">
      <c r="A7" s="198"/>
      <c r="B7" s="618"/>
      <c r="C7" s="618"/>
      <c r="D7" s="193" t="s">
        <v>131</v>
      </c>
      <c r="E7" s="194" t="s">
        <v>341</v>
      </c>
      <c r="G7"/>
    </row>
    <row r="8" spans="1:7" s="88" customFormat="1" ht="22.5" customHeight="1">
      <c r="A8" s="356">
        <v>1</v>
      </c>
      <c r="B8" s="324" t="s">
        <v>811</v>
      </c>
      <c r="C8" s="929">
        <f>SUM(C9:C11)</f>
        <v>86249860.759325922</v>
      </c>
      <c r="D8" s="930">
        <f>SUM(D9:D11)</f>
        <v>0</v>
      </c>
      <c r="E8" s="931">
        <f>SUM(E9:E11)</f>
        <v>86249860.759325922</v>
      </c>
      <c r="G8"/>
    </row>
    <row r="9" spans="1:7" s="88" customFormat="1">
      <c r="A9" s="356">
        <v>1.1000000000000001</v>
      </c>
      <c r="B9" s="325" t="s">
        <v>85</v>
      </c>
      <c r="C9" s="930">
        <f>'2. SOFP'!E8</f>
        <v>818773.49450000003</v>
      </c>
      <c r="D9" s="930"/>
      <c r="E9" s="932">
        <f t="shared" ref="E9:E15" si="0">C9-D9</f>
        <v>818773.49450000003</v>
      </c>
      <c r="G9"/>
    </row>
    <row r="10" spans="1:7" s="88" customFormat="1">
      <c r="A10" s="356">
        <v>1.2</v>
      </c>
      <c r="B10" s="325" t="s">
        <v>86</v>
      </c>
      <c r="C10" s="930">
        <f>'2. SOFP'!E9</f>
        <v>52068101.494819775</v>
      </c>
      <c r="D10" s="930"/>
      <c r="E10" s="932">
        <f t="shared" si="0"/>
        <v>52068101.494819775</v>
      </c>
      <c r="G10"/>
    </row>
    <row r="11" spans="1:7" s="88" customFormat="1">
      <c r="A11" s="356">
        <v>1.3</v>
      </c>
      <c r="B11" s="325" t="s">
        <v>87</v>
      </c>
      <c r="C11" s="930">
        <f>'2. SOFP'!E10</f>
        <v>33362985.770006157</v>
      </c>
      <c r="D11" s="930"/>
      <c r="E11" s="932">
        <f t="shared" si="0"/>
        <v>33362985.770006157</v>
      </c>
      <c r="G11"/>
    </row>
    <row r="12" spans="1:7" s="88" customFormat="1">
      <c r="A12" s="356">
        <v>2</v>
      </c>
      <c r="B12" s="326" t="s">
        <v>698</v>
      </c>
      <c r="C12" s="929">
        <f>'2. SOFP'!E11</f>
        <v>0</v>
      </c>
      <c r="D12" s="930"/>
      <c r="E12" s="932">
        <f t="shared" si="0"/>
        <v>0</v>
      </c>
      <c r="G12"/>
    </row>
    <row r="13" spans="1:7" s="88" customFormat="1" ht="21">
      <c r="A13" s="356">
        <v>2.1</v>
      </c>
      <c r="B13" s="327" t="s">
        <v>699</v>
      </c>
      <c r="C13" s="930">
        <f>'2. SOFP'!E12</f>
        <v>0</v>
      </c>
      <c r="D13" s="930"/>
      <c r="E13" s="932">
        <f t="shared" si="0"/>
        <v>0</v>
      </c>
      <c r="G13"/>
    </row>
    <row r="14" spans="1:7" s="88" customFormat="1" ht="33.950000000000003" customHeight="1">
      <c r="A14" s="356">
        <v>3</v>
      </c>
      <c r="B14" s="328" t="s">
        <v>700</v>
      </c>
      <c r="C14" s="929">
        <f>'2. SOFP'!E13</f>
        <v>0</v>
      </c>
      <c r="D14" s="930"/>
      <c r="E14" s="932">
        <f t="shared" si="0"/>
        <v>0</v>
      </c>
      <c r="G14"/>
    </row>
    <row r="15" spans="1:7" s="88" customFormat="1" ht="32.450000000000003" customHeight="1">
      <c r="A15" s="356">
        <v>4</v>
      </c>
      <c r="B15" s="329" t="s">
        <v>701</v>
      </c>
      <c r="C15" s="929">
        <f>'2. SOFP'!E14</f>
        <v>0</v>
      </c>
      <c r="D15" s="930"/>
      <c r="E15" s="932">
        <f t="shared" si="0"/>
        <v>0</v>
      </c>
      <c r="G15"/>
    </row>
    <row r="16" spans="1:7" s="88" customFormat="1" ht="23.1" customHeight="1">
      <c r="A16" s="356">
        <v>5</v>
      </c>
      <c r="B16" s="329" t="s">
        <v>702</v>
      </c>
      <c r="C16" s="929">
        <f>SUM(C17:C19)</f>
        <v>0</v>
      </c>
      <c r="D16" s="930">
        <f>SUM(D17:D19)</f>
        <v>0</v>
      </c>
      <c r="E16" s="931">
        <f>SUM(E17:E19)</f>
        <v>0</v>
      </c>
      <c r="G16"/>
    </row>
    <row r="17" spans="1:7" s="88" customFormat="1">
      <c r="A17" s="356">
        <v>5.0999999999999996</v>
      </c>
      <c r="B17" s="330" t="s">
        <v>703</v>
      </c>
      <c r="C17" s="930">
        <f>'2. SOFP'!E16</f>
        <v>0</v>
      </c>
      <c r="D17" s="930"/>
      <c r="E17" s="932">
        <f t="shared" ref="E17:E19" si="1">C17-D17</f>
        <v>0</v>
      </c>
      <c r="G17"/>
    </row>
    <row r="18" spans="1:7" s="88" customFormat="1">
      <c r="A18" s="356">
        <v>5.2</v>
      </c>
      <c r="B18" s="330" t="s">
        <v>538</v>
      </c>
      <c r="C18" s="930">
        <f>'2. SOFP'!E17</f>
        <v>0</v>
      </c>
      <c r="D18" s="930"/>
      <c r="E18" s="932">
        <f t="shared" si="1"/>
        <v>0</v>
      </c>
      <c r="G18"/>
    </row>
    <row r="19" spans="1:7" s="88" customFormat="1">
      <c r="A19" s="356">
        <v>5.3</v>
      </c>
      <c r="B19" s="330" t="s">
        <v>704</v>
      </c>
      <c r="C19" s="930">
        <f>'2. SOFP'!E18</f>
        <v>0</v>
      </c>
      <c r="D19" s="930"/>
      <c r="E19" s="932">
        <f t="shared" si="1"/>
        <v>0</v>
      </c>
      <c r="G19"/>
    </row>
    <row r="20" spans="1:7" s="88" customFormat="1" ht="21">
      <c r="A20" s="356">
        <v>6</v>
      </c>
      <c r="B20" s="328" t="s">
        <v>705</v>
      </c>
      <c r="C20" s="929">
        <f>SUM(C21:C22)</f>
        <v>367947959.46700925</v>
      </c>
      <c r="D20" s="930">
        <f>SUM(D21:D22)</f>
        <v>0</v>
      </c>
      <c r="E20" s="931">
        <f>SUM(E21:E22)</f>
        <v>367947959.46700925</v>
      </c>
      <c r="G20"/>
    </row>
    <row r="21" spans="1:7">
      <c r="A21" s="356">
        <v>6.1</v>
      </c>
      <c r="B21" s="330" t="s">
        <v>538</v>
      </c>
      <c r="C21" s="930">
        <f>'2. SOFP'!E20</f>
        <v>47407441.048140004</v>
      </c>
      <c r="D21" s="930"/>
      <c r="E21" s="932">
        <f t="shared" ref="E21:E24" si="2">C21-D21</f>
        <v>47407441.048140004</v>
      </c>
    </row>
    <row r="22" spans="1:7">
      <c r="A22" s="356">
        <v>6.2</v>
      </c>
      <c r="B22" s="330" t="s">
        <v>704</v>
      </c>
      <c r="C22" s="930">
        <f>'2. SOFP'!E21</f>
        <v>320540518.41886926</v>
      </c>
      <c r="D22" s="930"/>
      <c r="E22" s="932">
        <f t="shared" si="2"/>
        <v>320540518.41886926</v>
      </c>
    </row>
    <row r="23" spans="1:7" ht="21">
      <c r="A23" s="356">
        <v>7</v>
      </c>
      <c r="B23" s="331" t="s">
        <v>706</v>
      </c>
      <c r="C23" s="929">
        <f>'2. SOFP'!E22</f>
        <v>0</v>
      </c>
      <c r="D23" s="930"/>
      <c r="E23" s="932">
        <f t="shared" si="2"/>
        <v>0</v>
      </c>
    </row>
    <row r="24" spans="1:7" ht="21">
      <c r="A24" s="356">
        <v>8</v>
      </c>
      <c r="B24" s="332" t="s">
        <v>707</v>
      </c>
      <c r="C24" s="929">
        <f>'2. SOFP'!E23</f>
        <v>0</v>
      </c>
      <c r="D24" s="930"/>
      <c r="E24" s="932">
        <f t="shared" si="2"/>
        <v>0</v>
      </c>
    </row>
    <row r="25" spans="1:7">
      <c r="A25" s="356">
        <v>9</v>
      </c>
      <c r="B25" s="329" t="s">
        <v>708</v>
      </c>
      <c r="C25" s="929">
        <f>SUM(C26:C27)</f>
        <v>6517159.959999999</v>
      </c>
      <c r="D25" s="930">
        <f>SUM(D26:D27)</f>
        <v>0</v>
      </c>
      <c r="E25" s="931">
        <f>SUM(E26:E27)</f>
        <v>6517159.959999999</v>
      </c>
    </row>
    <row r="26" spans="1:7">
      <c r="A26" s="356">
        <v>9.1</v>
      </c>
      <c r="B26" s="333" t="s">
        <v>709</v>
      </c>
      <c r="C26" s="930">
        <f>'2. SOFP'!E25</f>
        <v>6517159.959999999</v>
      </c>
      <c r="D26" s="930"/>
      <c r="E26" s="932">
        <f t="shared" ref="E26:E27" si="3">C26-D26</f>
        <v>6517159.959999999</v>
      </c>
    </row>
    <row r="27" spans="1:7">
      <c r="A27" s="356">
        <v>9.1999999999999993</v>
      </c>
      <c r="B27" s="333" t="s">
        <v>710</v>
      </c>
      <c r="C27" s="930">
        <f>'2. SOFP'!E26</f>
        <v>0</v>
      </c>
      <c r="D27" s="930"/>
      <c r="E27" s="932">
        <f t="shared" si="3"/>
        <v>0</v>
      </c>
    </row>
    <row r="28" spans="1:7">
      <c r="A28" s="356">
        <v>10</v>
      </c>
      <c r="B28" s="329" t="s">
        <v>36</v>
      </c>
      <c r="C28" s="929">
        <f>SUM(C29:C30)</f>
        <v>2674939.83</v>
      </c>
      <c r="D28" s="929">
        <f>SUM(D29:D30)</f>
        <v>2674939.83</v>
      </c>
      <c r="E28" s="931">
        <f>SUM(E29:E30)</f>
        <v>0</v>
      </c>
    </row>
    <row r="29" spans="1:7">
      <c r="A29" s="356">
        <v>10.1</v>
      </c>
      <c r="B29" s="333" t="s">
        <v>711</v>
      </c>
      <c r="C29" s="930">
        <f>'2. SOFP'!E28</f>
        <v>0</v>
      </c>
      <c r="D29" s="930">
        <f>C29</f>
        <v>0</v>
      </c>
      <c r="E29" s="932">
        <f t="shared" ref="E29:E30" si="4">C29-D29</f>
        <v>0</v>
      </c>
    </row>
    <row r="30" spans="1:7">
      <c r="A30" s="356">
        <v>10.199999999999999</v>
      </c>
      <c r="B30" s="333" t="s">
        <v>712</v>
      </c>
      <c r="C30" s="930">
        <f>'2. SOFP'!E29</f>
        <v>2674939.83</v>
      </c>
      <c r="D30" s="930">
        <f>C30</f>
        <v>2674939.83</v>
      </c>
      <c r="E30" s="932">
        <f t="shared" si="4"/>
        <v>0</v>
      </c>
    </row>
    <row r="31" spans="1:7">
      <c r="A31" s="356">
        <v>11</v>
      </c>
      <c r="B31" s="329" t="s">
        <v>713</v>
      </c>
      <c r="C31" s="929">
        <f>SUM(C32:C33)</f>
        <v>3805017.28</v>
      </c>
      <c r="D31" s="930">
        <f>SUM(D32:D33)</f>
        <v>0</v>
      </c>
      <c r="E31" s="931">
        <f>SUM(E32:E33)</f>
        <v>3805017.28</v>
      </c>
    </row>
    <row r="32" spans="1:7">
      <c r="A32" s="356">
        <v>11.1</v>
      </c>
      <c r="B32" s="333" t="s">
        <v>714</v>
      </c>
      <c r="C32" s="930">
        <f>'2. SOFP'!E31</f>
        <v>3805017.28</v>
      </c>
      <c r="D32" s="930"/>
      <c r="E32" s="932">
        <f t="shared" ref="E32:E36" si="5">C32-D32</f>
        <v>3805017.28</v>
      </c>
    </row>
    <row r="33" spans="1:7">
      <c r="A33" s="356">
        <v>11.2</v>
      </c>
      <c r="B33" s="333" t="s">
        <v>715</v>
      </c>
      <c r="C33" s="930">
        <f>'2. SOFP'!E32</f>
        <v>0</v>
      </c>
      <c r="D33" s="930"/>
      <c r="E33" s="932">
        <f t="shared" si="5"/>
        <v>0</v>
      </c>
    </row>
    <row r="34" spans="1:7">
      <c r="A34" s="356">
        <v>13</v>
      </c>
      <c r="B34" s="329" t="s">
        <v>88</v>
      </c>
      <c r="C34" s="929">
        <f>'2. SOFP'!E33</f>
        <v>4485046.6767859999</v>
      </c>
      <c r="D34" s="930"/>
      <c r="E34" s="932">
        <f t="shared" si="5"/>
        <v>4485046.6767859999</v>
      </c>
    </row>
    <row r="35" spans="1:7">
      <c r="A35" s="356">
        <v>13.1</v>
      </c>
      <c r="B35" s="334" t="s">
        <v>716</v>
      </c>
      <c r="C35" s="930">
        <f>'2. SOFP'!E34</f>
        <v>1349093.18</v>
      </c>
      <c r="D35" s="930"/>
      <c r="E35" s="932">
        <f t="shared" si="5"/>
        <v>1349093.18</v>
      </c>
    </row>
    <row r="36" spans="1:7">
      <c r="A36" s="356">
        <v>13.2</v>
      </c>
      <c r="B36" s="334" t="s">
        <v>717</v>
      </c>
      <c r="C36" s="930">
        <f>'2. SOFP'!E35</f>
        <v>0</v>
      </c>
      <c r="D36" s="930"/>
      <c r="E36" s="932">
        <f t="shared" si="5"/>
        <v>0</v>
      </c>
    </row>
    <row r="37" spans="1:7" ht="39" thickBot="1">
      <c r="A37" s="199"/>
      <c r="B37" s="200" t="s">
        <v>308</v>
      </c>
      <c r="C37" s="933">
        <f>SUM(C8,C12,C14,C15,C16,C20,C23,C24,C25,C28,C31,C34)</f>
        <v>471679983.97312111</v>
      </c>
      <c r="D37" s="933">
        <f>SUM(D8,D12,D14,D15,D16,D20,D23,D24,D25,D28,D31,D34)</f>
        <v>2674939.83</v>
      </c>
      <c r="E37" s="934">
        <f>SUM(E8,E12,E14,E15,E16,E20,E23,E24,E25,E28,E31,E34)</f>
        <v>469005044.14312112</v>
      </c>
    </row>
    <row r="38" spans="1:7">
      <c r="A38"/>
      <c r="B38"/>
      <c r="C38"/>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80" zoomScaleNormal="80" workbookViewId="0">
      <pane xSplit="1" ySplit="4" topLeftCell="B5" activePane="bottomRight" state="frozen"/>
      <selection activeCell="H6" sqref="H6"/>
      <selection pane="topRight" activeCell="H6" sqref="H6"/>
      <selection pane="bottomLeft" activeCell="H6" sqref="H6"/>
      <selection pane="bottomRight" activeCell="B4" sqref="B4"/>
    </sheetView>
  </sheetViews>
  <sheetFormatPr defaultRowHeight="15" outlineLevelRow="1"/>
  <cols>
    <col min="1" max="1" width="9.5703125" style="2" bestFit="1" customWidth="1"/>
    <col min="2" max="2" width="114.140625" style="2"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7" t="s">
        <v>97</v>
      </c>
      <c r="B1" s="783" t="str">
        <f>Info!C2</f>
        <v>სს იშბანკი საქართველო</v>
      </c>
    </row>
    <row r="2" spans="1:6" s="21" customFormat="1" ht="15.75" customHeight="1">
      <c r="A2" s="21" t="s">
        <v>98</v>
      </c>
      <c r="B2" s="784">
        <f>'1. key ratios'!B2</f>
        <v>45747</v>
      </c>
      <c r="C2"/>
      <c r="D2"/>
      <c r="E2"/>
      <c r="F2"/>
    </row>
    <row r="3" spans="1:6" s="21" customFormat="1" ht="15.75" customHeight="1">
      <c r="C3"/>
      <c r="D3"/>
      <c r="E3"/>
      <c r="F3"/>
    </row>
    <row r="4" spans="1:6" s="21" customFormat="1" ht="26.25" thickBot="1">
      <c r="A4" s="21" t="s">
        <v>245</v>
      </c>
      <c r="B4" s="116" t="s">
        <v>160</v>
      </c>
      <c r="C4" s="110" t="s">
        <v>76</v>
      </c>
      <c r="D4"/>
      <c r="E4"/>
      <c r="F4"/>
    </row>
    <row r="5" spans="1:6">
      <c r="A5" s="111">
        <v>1</v>
      </c>
      <c r="B5" s="112" t="s">
        <v>695</v>
      </c>
      <c r="C5" s="937">
        <f>'7. LI1'!E37</f>
        <v>469005044.14312112</v>
      </c>
    </row>
    <row r="6" spans="1:6" s="101" customFormat="1">
      <c r="A6" s="68">
        <v>2.1</v>
      </c>
      <c r="B6" s="118" t="s">
        <v>829</v>
      </c>
      <c r="C6" s="935">
        <f>'4. Off-balance'!E27+'4. Off-balance'!E28+'4. Off-balance'!E29-'2. SOFP'!E46</f>
        <v>149850236.26533818</v>
      </c>
    </row>
    <row r="7" spans="1:6" s="4" customFormat="1" ht="25.5" outlineLevel="1">
      <c r="A7" s="117">
        <v>2.2000000000000002</v>
      </c>
      <c r="B7" s="113" t="s">
        <v>830</v>
      </c>
      <c r="C7" s="150"/>
    </row>
    <row r="8" spans="1:6" s="4" customFormat="1" ht="26.25">
      <c r="A8" s="117">
        <v>3</v>
      </c>
      <c r="B8" s="114" t="s">
        <v>696</v>
      </c>
      <c r="C8" s="938">
        <f>SUM(C5:C7)</f>
        <v>618855280.40845931</v>
      </c>
    </row>
    <row r="9" spans="1:6" s="101" customFormat="1">
      <c r="A9" s="68">
        <v>4</v>
      </c>
      <c r="B9" s="121" t="s">
        <v>158</v>
      </c>
      <c r="C9" s="149"/>
    </row>
    <row r="10" spans="1:6" s="4" customFormat="1" ht="25.5" outlineLevel="1">
      <c r="A10" s="117">
        <v>5.0999999999999996</v>
      </c>
      <c r="B10" s="113" t="s">
        <v>164</v>
      </c>
      <c r="C10" s="936">
        <v>-71868272.949400797</v>
      </c>
    </row>
    <row r="11" spans="1:6" s="4" customFormat="1" ht="25.5" outlineLevel="1">
      <c r="A11" s="117">
        <v>5.2</v>
      </c>
      <c r="B11" s="113" t="s">
        <v>165</v>
      </c>
      <c r="C11" s="150"/>
    </row>
    <row r="12" spans="1:6" s="4" customFormat="1">
      <c r="A12" s="117">
        <v>6</v>
      </c>
      <c r="B12" s="119" t="s">
        <v>996</v>
      </c>
      <c r="C12" s="201"/>
    </row>
    <row r="13" spans="1:6" s="4" customFormat="1" ht="15.75" thickBot="1">
      <c r="A13" s="120">
        <v>7</v>
      </c>
      <c r="B13" s="115" t="s">
        <v>159</v>
      </c>
      <c r="C13" s="939">
        <f>SUM(C8:C12)</f>
        <v>546987007.45905852</v>
      </c>
    </row>
    <row r="15" spans="1:6">
      <c r="B15" s="23"/>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lBMErq6OjFz2KXR7AT5VmQmDGdXxuafn1X4BlRQ8meQ=</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nO/UFEoj04L5jcZi/K0+1NUmWrne9n75OXGn3m9j59Y=</DigestValue>
    </Reference>
  </SignedInfo>
  <SignatureValue>QCS14+F7B1eHdE266p0WqTckAP/pPvodIu+QkuOT74IwsjDcf0s+URVtNRU5dMx4bLrASQNCLD0b
woG6JSUQx0IoCkma1jhuDRSOR2bSCl6l0MfN5hNeU14sHp0qEp8d1EXfN33nh1ei3lg8V5rtoRAe
gCUXdGPsERk1tYXnsVcQ+3now29jtSo7jgelBfEgBSUCtAHtwIdegGreF9W888fbtlEA3OVUUyz9
DC6305LDNcxGq1TzMH5VNr6Az0tHz1H1EuBuwWyGi0+7QN3I7xzd3vVpdQ3//51A6FbdWxUsFRht
wrrq7moAMN8duld9FvAgs7ekzKhMbXdzrRRMZA==</SignatureValue>
  <KeyInfo>
    <X509Data>
      <X509Certificate>MIIGPjCCBSagAwIBAgIKJnXA4AADAAJFXjANBgkqhkiG9w0BAQsFADBKMRIwEAYKCZImiZPyLGQBGRYCZ2UxEzARBgoJkiaJk/IsZAEZFgNuYmcxHzAdBgNVBAMTFk5CRyBDbGFzcyAyIElOVCBTdWIgQ0EwHhcNMjMxMjA2MDk1NDI0WhcNMjUxMTI0MjI0OTMzWjA8MRswGQYDVQQKExJKU0MgSXNiYW5rIEdlb3JnaWExHTAbBgNVBAMTFEJJUyAtIFVjaGEgU2FyYWxpZHplMIIBIjANBgkqhkiG9w0BAQEFAAOCAQ8AMIIBCgKCAQEA48cGTTNDJarHmvTGwoP95WHKvB5TNP342q76SZakyRI+0CbJmHs3hvvZcIUvYXlY/ZBIzrBRw6Vq8JxgnrGStm6lHvJxTxjtfL0UPzQHD0V4kZuEK/tKL2uVaJr8g1guesSh1qXhgxEhmQz8RUmI521hL2j6fKmNvjyIYykLX81HojNhPSZHiOK7Ji3ThhPMnUS1Ik9xSGTwvhQg/Sj/auhHhypAOrddTvnCgU/1kxfWrph7XbHbr0qIwN1exu8CUJMG1nDiUuIppUPIRv7qX4Z7+fk56TJGfvMxA1IbtOfsDGjirIVNXZL0DrjDI65Ka6JaSCWYOqWlp2JGqOWd2QIDAQABo4IDMjCCAy4wPAYJKwYBBAGCNxUHBC8wLQYlKwYBBAGCNxUI5rJgg431RIaBmQmDuKFKg76EcQSDxJEzhIOIXQIBZAIBIzAdBgNVHSUEFjAUBggrBgEFBQcDAgYIKwYBBQUHAwQwCwYDVR0PBAQDAgeAMCcGCSsGAQQBgjcVCgQaMBgwCgYIKwYBBQUHAwIwCgYIKwYBBQUHAwQwHQYDVR0OBBYEFFEsIDEzYZMx8VikSLtD9411k9cH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AosP7LLjgZWay2UUnvH0Pt04RhOcCtt/LT1NPH/YGVV9p2PKRg3zs91NDreQpAAY/sJ34LPrj1dhzReRNAdRQYq7YMWZNL0zEpUhAkBchmx8DeDRp+PiNOh7DX+6XHclzO8X0KlbTEN13HibS4r9VDKi3N/dUM1kZxPCL1+dHw8n6pVQk1Q9fAtsY+3YETXCKPgitxAGmciufrxj9GomTRUETbJp8aawDyIUCwDhGJKXyNBKwKklre9HSjzRmSAqEx0kEVQfwIDaw5t/h9eE7nFHDEZrwCMnQKlkwWGTf1Mohe6PXT3NYnVjpAp6jzcl0taSl//mxq3gswUX/dQoT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Transform>
          <Transform Algorithm="http://www.w3.org/TR/2001/REC-xml-c14n-20010315"/>
        </Transforms>
        <DigestMethod Algorithm="http://www.w3.org/2001/04/xmlenc#sha256"/>
        <DigestValue>FIPYzJrxJQE93FYGpL7uHSqYmEId9rv/PcVg8hLWM3A=</DigestValue>
      </Reference>
      <Reference URI="/xl/calcChain.xml?ContentType=application/vnd.openxmlformats-officedocument.spreadsheetml.calcChain+xml">
        <DigestMethod Algorithm="http://www.w3.org/2001/04/xmlenc#sha256"/>
        <DigestValue>qNbvPUrDtldMhGtWDseA5RNWTusNd6TW1B/hyUNVFqY=</DigestValue>
      </Reference>
      <Reference URI="/xl/comments1.xml?ContentType=application/vnd.openxmlformats-officedocument.spreadsheetml.comments+xml">
        <DigestMethod Algorithm="http://www.w3.org/2001/04/xmlenc#sha256"/>
        <DigestValue>WPaaLWL6iaW5O6EyBPq6/JbOY8Vj0uS3YEktt7A/inA=</DigestValue>
      </Reference>
      <Reference URI="/xl/drawings/drawing1.xml?ContentType=application/vnd.openxmlformats-officedocument.drawing+xml">
        <DigestMethod Algorithm="http://www.w3.org/2001/04/xmlenc#sha256"/>
        <DigestValue>0D25YNbSQmUWivg4tU9tfUkqp2zKkiK4SYs6gwYhzJo=</DigestValue>
      </Reference>
      <Reference URI="/xl/drawings/vmlDrawing1.vml?ContentType=application/vnd.openxmlformats-officedocument.vmlDrawing">
        <DigestMethod Algorithm="http://www.w3.org/2001/04/xmlenc#sha256"/>
        <DigestValue>e/ypqsDH+S/20fo9KxIiNmFEXegbznBu6b66t1qf004=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ar6hk/aRBhJ3Q7h1Xd48HWTe7Gl3RUqECzD058YGBrM=</DigestValue>
      </Reference>
      <Reference URI="/xl/printerSettings/printerSettings17.bin?ContentType=application/vnd.openxmlformats-officedocument.spreadsheetml.printerSettings">
        <DigestMethod Algorithm="http://www.w3.org/2001/04/xmlenc#sha256"/>
        <DigestValue>ze+MZOtihPj9dKeV/Dz5QESpeY6Fdwmnkxhrh69STxA=</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2EYGMqHdFEyLRjGAUSmZHdhJwfazeRfjjZKvGME2nPA=</DigestValue>
      </Reference>
      <Reference URI="/xl/styles.xml?ContentType=application/vnd.openxmlformats-officedocument.spreadsheetml.styles+xml">
        <DigestMethod Algorithm="http://www.w3.org/2001/04/xmlenc#sha256"/>
        <DigestValue>TlRPCJHuEVs1OGBJUvARCwd54KhZyOd5+tPVlsxh8Jc=</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rlg+ZK1DJkb1rGXNXW7vsc4W+8fvoMhnLNTysNYGD/U=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uw+e2gPjbpl2MGxmF9dJflkThrhhYnsEXi9cgj7ZVSI=</DigestValue>
      </Reference>
      <Reference URI="/xl/worksheets/sheet10.xml?ContentType=application/vnd.openxmlformats-officedocument.spreadsheetml.worksheet+xml">
        <DigestMethod Algorithm="http://www.w3.org/2001/04/xmlenc#sha256"/>
        <DigestValue>UnQBZF5DDdSDYDOIXoN02kgSmbISSk4eDlLZmcO11xQ=</DigestValue>
      </Reference>
      <Reference URI="/xl/worksheets/sheet11.xml?ContentType=application/vnd.openxmlformats-officedocument.spreadsheetml.worksheet+xml">
        <DigestMethod Algorithm="http://www.w3.org/2001/04/xmlenc#sha256"/>
        <DigestValue>+4Io8PkgQ389r0/AUBShfs2w6EWcXDkJ1nWK73wGSX0=</DigestValue>
      </Reference>
      <Reference URI="/xl/worksheets/sheet12.xml?ContentType=application/vnd.openxmlformats-officedocument.spreadsheetml.worksheet+xml">
        <DigestMethod Algorithm="http://www.w3.org/2001/04/xmlenc#sha256"/>
        <DigestValue>hyKwmBFtmUQTSW6VDI6NVlDV0bxgTCN5zZJ8ZEzyxZQ=</DigestValue>
      </Reference>
      <Reference URI="/xl/worksheets/sheet13.xml?ContentType=application/vnd.openxmlformats-officedocument.spreadsheetml.worksheet+xml">
        <DigestMethod Algorithm="http://www.w3.org/2001/04/xmlenc#sha256"/>
        <DigestValue>gk9KjkrbIH9tN266UAae9waZlg/Dzu05GTrARDvqJno=</DigestValue>
      </Reference>
      <Reference URI="/xl/worksheets/sheet14.xml?ContentType=application/vnd.openxmlformats-officedocument.spreadsheetml.worksheet+xml">
        <DigestMethod Algorithm="http://www.w3.org/2001/04/xmlenc#sha256"/>
        <DigestValue>BAIsxGqXV0qPNlfekltwfyaE+oTShEq47rz0KgRIRR0=</DigestValue>
      </Reference>
      <Reference URI="/xl/worksheets/sheet15.xml?ContentType=application/vnd.openxmlformats-officedocument.spreadsheetml.worksheet+xml">
        <DigestMethod Algorithm="http://www.w3.org/2001/04/xmlenc#sha256"/>
        <DigestValue>nG9erubc1wiWt78aGMPfx9FTCzZSUsoH+pl7R9KTzH4=</DigestValue>
      </Reference>
      <Reference URI="/xl/worksheets/sheet16.xml?ContentType=application/vnd.openxmlformats-officedocument.spreadsheetml.worksheet+xml">
        <DigestMethod Algorithm="http://www.w3.org/2001/04/xmlenc#sha256"/>
        <DigestValue>BHdqlKbUfXN2IkSPFqDXvMrEGMlAo5SLnyoGS1u9lSk=</DigestValue>
      </Reference>
      <Reference URI="/xl/worksheets/sheet17.xml?ContentType=application/vnd.openxmlformats-officedocument.spreadsheetml.worksheet+xml">
        <DigestMethod Algorithm="http://www.w3.org/2001/04/xmlenc#sha256"/>
        <DigestValue>mxdYeB5/2Kuv98YqF9gRbxeVBmE1xAVQKLBdCwZLRSo=</DigestValue>
      </Reference>
      <Reference URI="/xl/worksheets/sheet18.xml?ContentType=application/vnd.openxmlformats-officedocument.spreadsheetml.worksheet+xml">
        <DigestMethod Algorithm="http://www.w3.org/2001/04/xmlenc#sha256"/>
        <DigestValue>Ow0DwWkIZeusPN4JXV9D0UAiyspT09zCPmQLU3LL3VE=</DigestValue>
      </Reference>
      <Reference URI="/xl/worksheets/sheet19.xml?ContentType=application/vnd.openxmlformats-officedocument.spreadsheetml.worksheet+xml">
        <DigestMethod Algorithm="http://www.w3.org/2001/04/xmlenc#sha256"/>
        <DigestValue>QXKkQJw/gtas9bUelNrwKAn8Agpt0di0Na9T850IOkE=</DigestValue>
      </Reference>
      <Reference URI="/xl/worksheets/sheet2.xml?ContentType=application/vnd.openxmlformats-officedocument.spreadsheetml.worksheet+xml">
        <DigestMethod Algorithm="http://www.w3.org/2001/04/xmlenc#sha256"/>
        <DigestValue>BsDIXNUT4flBe/2bJvE23b/77q/jea42YKrUvKtmx78=</DigestValue>
      </Reference>
      <Reference URI="/xl/worksheets/sheet20.xml?ContentType=application/vnd.openxmlformats-officedocument.spreadsheetml.worksheet+xml">
        <DigestMethod Algorithm="http://www.w3.org/2001/04/xmlenc#sha256"/>
        <DigestValue>tXAjoApWeojOf6Q5kO7Og5iy4e55nRNiujdBg5vUi1c=</DigestValue>
      </Reference>
      <Reference URI="/xl/worksheets/sheet21.xml?ContentType=application/vnd.openxmlformats-officedocument.spreadsheetml.worksheet+xml">
        <DigestMethod Algorithm="http://www.w3.org/2001/04/xmlenc#sha256"/>
        <DigestValue>YOPaVOWVGBtvx11h+8fdVUP3iVNiGKXTreqhsRH01kE=</DigestValue>
      </Reference>
      <Reference URI="/xl/worksheets/sheet22.xml?ContentType=application/vnd.openxmlformats-officedocument.spreadsheetml.worksheet+xml">
        <DigestMethod Algorithm="http://www.w3.org/2001/04/xmlenc#sha256"/>
        <DigestValue>ujNo1Htheh+C5WJhpLluJKdScrOWzpNc3qv8YJ6AQx4=</DigestValue>
      </Reference>
      <Reference URI="/xl/worksheets/sheet23.xml?ContentType=application/vnd.openxmlformats-officedocument.spreadsheetml.worksheet+xml">
        <DigestMethod Algorithm="http://www.w3.org/2001/04/xmlenc#sha256"/>
        <DigestValue>7Uhar2HCC6jfd6d8kkImwXvvgrSJD50WpxnDVLJ/UvI=</DigestValue>
      </Reference>
      <Reference URI="/xl/worksheets/sheet24.xml?ContentType=application/vnd.openxmlformats-officedocument.spreadsheetml.worksheet+xml">
        <DigestMethod Algorithm="http://www.w3.org/2001/04/xmlenc#sha256"/>
        <DigestValue>lnCitvby+8dRz68isQ6KIJSI7NCzxqeyV4kvaNgLM5M=</DigestValue>
      </Reference>
      <Reference URI="/xl/worksheets/sheet25.xml?ContentType=application/vnd.openxmlformats-officedocument.spreadsheetml.worksheet+xml">
        <DigestMethod Algorithm="http://www.w3.org/2001/04/xmlenc#sha256"/>
        <DigestValue>OVVJc9UT6VvvNlWXRNnKWIh2S3zSBTzMQ2cwyeAjmT8=</DigestValue>
      </Reference>
      <Reference URI="/xl/worksheets/sheet26.xml?ContentType=application/vnd.openxmlformats-officedocument.spreadsheetml.worksheet+xml">
        <DigestMethod Algorithm="http://www.w3.org/2001/04/xmlenc#sha256"/>
        <DigestValue>bh1F8NsNm5iT/FE5MciMTOFOFasStxVkg00HdyqxDJk=</DigestValue>
      </Reference>
      <Reference URI="/xl/worksheets/sheet27.xml?ContentType=application/vnd.openxmlformats-officedocument.spreadsheetml.worksheet+xml">
        <DigestMethod Algorithm="http://www.w3.org/2001/04/xmlenc#sha256"/>
        <DigestValue>O2i58OLqxPogXqBJhPj8KK521rDnn7f809yXaTElqjQ=</DigestValue>
      </Reference>
      <Reference URI="/xl/worksheets/sheet28.xml?ContentType=application/vnd.openxmlformats-officedocument.spreadsheetml.worksheet+xml">
        <DigestMethod Algorithm="http://www.w3.org/2001/04/xmlenc#sha256"/>
        <DigestValue>bNlasV4liSiOewkNIWmYNL1VohDIKZta3UitIlvep0k=</DigestValue>
      </Reference>
      <Reference URI="/xl/worksheets/sheet29.xml?ContentType=application/vnd.openxmlformats-officedocument.spreadsheetml.worksheet+xml">
        <DigestMethod Algorithm="http://www.w3.org/2001/04/xmlenc#sha256"/>
        <DigestValue>qg/R3Tj5azLOd1nnDrWo0vb6oQ5g7P03SxK8hy/gYus=</DigestValue>
      </Reference>
      <Reference URI="/xl/worksheets/sheet3.xml?ContentType=application/vnd.openxmlformats-officedocument.spreadsheetml.worksheet+xml">
        <DigestMethod Algorithm="http://www.w3.org/2001/04/xmlenc#sha256"/>
        <DigestValue>Ag406F45JNSfa0FytcwlBhQix9GaMZ39pcf9nOxU6m4=</DigestValue>
      </Reference>
      <Reference URI="/xl/worksheets/sheet30.xml?ContentType=application/vnd.openxmlformats-officedocument.spreadsheetml.worksheet+xml">
        <DigestMethod Algorithm="http://www.w3.org/2001/04/xmlenc#sha256"/>
        <DigestValue>8/o/UnlWWntGGuZSDMJ6i11FrBw7O8K+VbAJqqnLnIw=</DigestValue>
      </Reference>
      <Reference URI="/xl/worksheets/sheet31.xml?ContentType=application/vnd.openxmlformats-officedocument.spreadsheetml.worksheet+xml">
        <DigestMethod Algorithm="http://www.w3.org/2001/04/xmlenc#sha256"/>
        <DigestValue>zHuzW2/g5TTCQIRIp0/rImiv4Qp+nmIO0tgJix4xR3I=</DigestValue>
      </Reference>
      <Reference URI="/xl/worksheets/sheet32.xml?ContentType=application/vnd.openxmlformats-officedocument.spreadsheetml.worksheet+xml">
        <DigestMethod Algorithm="http://www.w3.org/2001/04/xmlenc#sha256"/>
        <DigestValue>qMd/s6USVJDFS8qYDZNb3awz/4OTvhTiGWQuAMC66QY=</DigestValue>
      </Reference>
      <Reference URI="/xl/worksheets/sheet33.xml?ContentType=application/vnd.openxmlformats-officedocument.spreadsheetml.worksheet+xml">
        <DigestMethod Algorithm="http://www.w3.org/2001/04/xmlenc#sha256"/>
        <DigestValue>Z4jqSsekNPBvdn3WFWykf8jnWqoQwd3Rz5tTAz0zfIM=</DigestValue>
      </Reference>
      <Reference URI="/xl/worksheets/sheet4.xml?ContentType=application/vnd.openxmlformats-officedocument.spreadsheetml.worksheet+xml">
        <DigestMethod Algorithm="http://www.w3.org/2001/04/xmlenc#sha256"/>
        <DigestValue>OLV9OB7z58Iz+gjAclTvzwsvpLtA7JMjO0GDGi5aW1E=</DigestValue>
      </Reference>
      <Reference URI="/xl/worksheets/sheet5.xml?ContentType=application/vnd.openxmlformats-officedocument.spreadsheetml.worksheet+xml">
        <DigestMethod Algorithm="http://www.w3.org/2001/04/xmlenc#sha256"/>
        <DigestValue>sPYxQhvqur7AKPIDS5RQm0i+BCaMoUNkWMw1yWzFJ0E=</DigestValue>
      </Reference>
      <Reference URI="/xl/worksheets/sheet6.xml?ContentType=application/vnd.openxmlformats-officedocument.spreadsheetml.worksheet+xml">
        <DigestMethod Algorithm="http://www.w3.org/2001/04/xmlenc#sha256"/>
        <DigestValue>+7uIL8icEM1tOqQVxNXfu2d5jgER9Vko7CzFNQqe568=</DigestValue>
      </Reference>
      <Reference URI="/xl/worksheets/sheet7.xml?ContentType=application/vnd.openxmlformats-officedocument.spreadsheetml.worksheet+xml">
        <DigestMethod Algorithm="http://www.w3.org/2001/04/xmlenc#sha256"/>
        <DigestValue>L/1Y/cWamTIyKp5B627JBhBzqjYuGqv1nVYtcmTAxC0=</DigestValue>
      </Reference>
      <Reference URI="/xl/worksheets/sheet8.xml?ContentType=application/vnd.openxmlformats-officedocument.spreadsheetml.worksheet+xml">
        <DigestMethod Algorithm="http://www.w3.org/2001/04/xmlenc#sha256"/>
        <DigestValue>NCblpJeoCSdql0Pmym0z8XzNjfLkjrD6XZy68o3c0vE=</DigestValue>
      </Reference>
      <Reference URI="/xl/worksheets/sheet9.xml?ContentType=application/vnd.openxmlformats-officedocument.spreadsheetml.worksheet+xml">
        <DigestMethod Algorithm="http://www.w3.org/2001/04/xmlenc#sha256"/>
        <DigestValue>p8wellzMmkqSJ7oX7YT6u6cA8yFZr4bE85/MY+PWJWk=</DigestValue>
      </Reference>
    </Manifest>
    <SignatureProperties>
      <SignatureProperty Id="idSignatureTime" Target="#idPackageSignature">
        <mdssi:SignatureTime xmlns:mdssi="http://schemas.openxmlformats.org/package/2006/digital-signature">
          <mdssi:Format>YYYY-MM-DDThh:mm:ssTZD</mdssi:Format>
          <mdssi:Value>2025-04-29T22:16:17Z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2025-04-29T22:16:17Z</xd:SigningTime>
          <xd:SigningCertificate>
            <xd:Cert>
              <xd:CertDigest>
                <DigestMethod Algorithm="http://www.w3.org/2001/04/xmlenc#sha256"/>
                <DigestValue>zi6kpH5IEoePVvRvvBdKke7qj5q9fGeSnwGeiScMW00=</DigestValue>
              </xd:CertDigest>
              <xd:IssuerSerial>
                <X509IssuerName>CN=NBG Class 2 INT Sub CA, DC=nbg, DC=ge</X509IssuerName>
                <X509SerialNumber>181622093514133486060894</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I91aYweOm73jU/BCp7nsQR1TNCz4XbevQzJ+hp/0sNs=</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JDGP1/rwdRzBX6ob1s5+nbVkgGcfsyix+crwrHStwOs=</DigestValue>
    </Reference>
  </SignedInfo>
  <SignatureValue>hs4kYNn61e9cPuUtT3neqLBc8P5jERZlNSiM0VgPODwM4fZ2LBer+7VRyGYmeT//jDvf6lXK/wuQ
/noHOukEunvKQp76WjXzPpBfGQO4CgoWY1oY2+3CzSVBCgLlmR5I706LBI5N7qAXmiACm1ZImXw4
B0JkbYlzORjl3vKgPxwXNdRYLeslX24pg12GNnYLYY0Ee9yn+tzeR07p3wG83SGcsW6DFKd7zsSY
69XX2FPPZrwxBOBYjQ1HxvvZ1KKxO/kGEiJ1BR/+5nPFEdr9MFtPOsBWip2jLsjVXOQ0sX6gNRLq
pb6lfnOps4u6l9Hrc9cQjOMsEi4UYUnR/opwMQ==</SignatureValue>
  <KeyInfo>
    <X509Data>
      <X509Certificate>MIIGQTCCBSmgAwIBAgIKJgLsjwADAAJFWzANBgkqhkiG9w0BAQsFADBKMRIwEAYKCZImiZPyLGQBGRYCZ2UxEzARBgoJkiaJk/IsZAEZFgNuYmcxHzAdBgNVBAMTFk5CRyBDbGFzcyAyIElOVCBTdWIgQ0EwHhcNMjMxMjA2MDc0ODU4WhcNMjUxMTI0MjI0OTMzWjA/MRswGQYDVQQKExJKU0MgSXNiYW5rIEdlb3JnaWExIDAeBgNVBAMTF0JJUyAtIEh1c2V5aW4gS2FyYWJ1bHV0MIIBIjANBgkqhkiG9w0BAQEFAAOCAQ8AMIIBCgKCAQEA02ueCfrXNf/Inkz8XsJRxloR3zw6ddV16AbEWa140N9BL3C7Gc2UJ19+uUflSQ1Eq5Khg1leKF26AYbC+MghROsLVmnpJ8s9EJpOOTu3hLrGSOabwaP+nChL7UBkLI06vrRdXHsVczcwV3FAIfqxONaSfVO4B+a1INE9T3TIofpIVYrczDRysFq9JU9Kk7iFuxqLV5wpTFGnRLTZU2RfSpEcuxhDkRHWfjCtvVkArVJD7Welbl8R1hIHz4bZpmG6BCStiO0nfzhm5LXfoWjN/sYsdYQ4C4u5r/yihHp0gkVXtXrK8zNeB3jQRhP1r4spOprkG2iwtJvvj/5ZdgUy/wIDAQABo4IDMjCCAy4wPAYJKwYBBAGCNxUHBC8wLQYlKwYBBAGCNxUI5rJgg431RIaBmQmDuKFKg76EcQSDxJEzhIOIXQIBZAIBIzAdBgNVHSUEFjAUBggrBgEFBQcDAgYIKwYBBQUHAwQwCwYDVR0PBAQDAgeAMCcGCSsGAQQBgjcVCgQaMBgwCgYIKwYBBQUHAwIwCgYIKwYBBQUHAwQwHQYDVR0OBBYEFDvrT3zKzq3AdUu3GTVL6gNOaZur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BPHI3pqUbBmntkRp/SF4GIv3j+dUpsq2iQVA3CCUPxYeNHku/TPn4XldxoK75CZJG3Jtb6jPc+dqq1Vm4Br2EIIrzIUTwpVuy7x9Hm53yulye+H3yHlsO2nPIlUThFP/SMBlSsJEg7qVCNDQ4rnE0JzDUxpt3aaFjZlwmhmNaQl9UI/agpxu5Gt9P3MGNbeTW3rfEZiavwk2qSaAVP3UAkQjPb/K+TuM7IqQ9KxBGjKzCa8XqeFBJW4YanWGgBgTE4Gxd1/QtiVgyAjT6Fm8Do71DGVxEzhcmR71T34pvkRYPFaECI0Co6/1ODDloKyrYuCTpaJwhyHKR3Apo0Jr5+</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FIPYzJrxJQE93FYGpL7uHSqYmEId9rv/PcVg8hLWM3A=</DigestValue>
      </Reference>
      <Reference URI="/xl/calcChain.xml?ContentType=application/vnd.openxmlformats-officedocument.spreadsheetml.calcChain+xml">
        <DigestMethod Algorithm="http://www.w3.org/2001/04/xmlenc#sha256"/>
        <DigestValue>qNbvPUrDtldMhGtWDseA5RNWTusNd6TW1B/hyUNVFqY=</DigestValue>
      </Reference>
      <Reference URI="/xl/comments1.xml?ContentType=application/vnd.openxmlformats-officedocument.spreadsheetml.comments+xml">
        <DigestMethod Algorithm="http://www.w3.org/2001/04/xmlenc#sha256"/>
        <DigestValue>WPaaLWL6iaW5O6EyBPq6/JbOY8Vj0uS3YEktt7A/inA=</DigestValue>
      </Reference>
      <Reference URI="/xl/drawings/drawing1.xml?ContentType=application/vnd.openxmlformats-officedocument.drawing+xml">
        <DigestMethod Algorithm="http://www.w3.org/2001/04/xmlenc#sha256"/>
        <DigestValue>0D25YNbSQmUWivg4tU9tfUkqp2zKkiK4SYs6gwYhzJo=</DigestValue>
      </Reference>
      <Reference URI="/xl/drawings/vmlDrawing1.vml?ContentType=application/vnd.openxmlformats-officedocument.vmlDrawing">
        <DigestMethod Algorithm="http://www.w3.org/2001/04/xmlenc#sha256"/>
        <DigestValue>e/ypqsDH+S/20fo9KxIiNmFEXegbznBu6b66t1qf004=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ar6hk/aRBhJ3Q7h1Xd48HWTe7Gl3RUqECzD058YGBrM=</DigestValue>
      </Reference>
      <Reference URI="/xl/printerSettings/printerSettings17.bin?ContentType=application/vnd.openxmlformats-officedocument.spreadsheetml.printerSettings">
        <DigestMethod Algorithm="http://www.w3.org/2001/04/xmlenc#sha256"/>
        <DigestValue>ze+MZOtihPj9dKeV/Dz5QESpeY6Fdwmnkxhrh69STxA=</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2EYGMqHdFEyLRjGAUSmZHdhJwfazeRfjjZKvGME2nPA=</DigestValue>
      </Reference>
      <Reference URI="/xl/styles.xml?ContentType=application/vnd.openxmlformats-officedocument.spreadsheetml.styles+xml">
        <DigestMethod Algorithm="http://www.w3.org/2001/04/xmlenc#sha256"/>
        <DigestValue>TlRPCJHuEVs1OGBJUvARCwd54KhZyOd5+tPVlsxh8Jc=</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rlg+ZK1DJkb1rGXNXW7vsc4W+8fvoMhnLNTysNYGD/U=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uw+e2gPjbpl2MGxmF9dJflkThrhhYnsEXi9cgj7ZVSI=</DigestValue>
      </Reference>
      <Reference URI="/xl/worksheets/sheet10.xml?ContentType=application/vnd.openxmlformats-officedocument.spreadsheetml.worksheet+xml">
        <DigestMethod Algorithm="http://www.w3.org/2001/04/xmlenc#sha256"/>
        <DigestValue>UnQBZF5DDdSDYDOIXoN02kgSmbISSk4eDlLZmcO11xQ=</DigestValue>
      </Reference>
      <Reference URI="/xl/worksheets/sheet11.xml?ContentType=application/vnd.openxmlformats-officedocument.spreadsheetml.worksheet+xml">
        <DigestMethod Algorithm="http://www.w3.org/2001/04/xmlenc#sha256"/>
        <DigestValue>+4Io8PkgQ389r0/AUBShfs2w6EWcXDkJ1nWK73wGSX0=</DigestValue>
      </Reference>
      <Reference URI="/xl/worksheets/sheet12.xml?ContentType=application/vnd.openxmlformats-officedocument.spreadsheetml.worksheet+xml">
        <DigestMethod Algorithm="http://www.w3.org/2001/04/xmlenc#sha256"/>
        <DigestValue>hyKwmBFtmUQTSW6VDI6NVlDV0bxgTCN5zZJ8ZEzyxZQ=</DigestValue>
      </Reference>
      <Reference URI="/xl/worksheets/sheet13.xml?ContentType=application/vnd.openxmlformats-officedocument.spreadsheetml.worksheet+xml">
        <DigestMethod Algorithm="http://www.w3.org/2001/04/xmlenc#sha256"/>
        <DigestValue>gk9KjkrbIH9tN266UAae9waZlg/Dzu05GTrARDvqJno=</DigestValue>
      </Reference>
      <Reference URI="/xl/worksheets/sheet14.xml?ContentType=application/vnd.openxmlformats-officedocument.spreadsheetml.worksheet+xml">
        <DigestMethod Algorithm="http://www.w3.org/2001/04/xmlenc#sha256"/>
        <DigestValue>BAIsxGqXV0qPNlfekltwfyaE+oTShEq47rz0KgRIRR0=</DigestValue>
      </Reference>
      <Reference URI="/xl/worksheets/sheet15.xml?ContentType=application/vnd.openxmlformats-officedocument.spreadsheetml.worksheet+xml">
        <DigestMethod Algorithm="http://www.w3.org/2001/04/xmlenc#sha256"/>
        <DigestValue>nG9erubc1wiWt78aGMPfx9FTCzZSUsoH+pl7R9KTzH4=</DigestValue>
      </Reference>
      <Reference URI="/xl/worksheets/sheet16.xml?ContentType=application/vnd.openxmlformats-officedocument.spreadsheetml.worksheet+xml">
        <DigestMethod Algorithm="http://www.w3.org/2001/04/xmlenc#sha256"/>
        <DigestValue>BHdqlKbUfXN2IkSPFqDXvMrEGMlAo5SLnyoGS1u9lSk=</DigestValue>
      </Reference>
      <Reference URI="/xl/worksheets/sheet17.xml?ContentType=application/vnd.openxmlformats-officedocument.spreadsheetml.worksheet+xml">
        <DigestMethod Algorithm="http://www.w3.org/2001/04/xmlenc#sha256"/>
        <DigestValue>mxdYeB5/2Kuv98YqF9gRbxeVBmE1xAVQKLBdCwZLRSo=</DigestValue>
      </Reference>
      <Reference URI="/xl/worksheets/sheet18.xml?ContentType=application/vnd.openxmlformats-officedocument.spreadsheetml.worksheet+xml">
        <DigestMethod Algorithm="http://www.w3.org/2001/04/xmlenc#sha256"/>
        <DigestValue>Ow0DwWkIZeusPN4JXV9D0UAiyspT09zCPmQLU3LL3VE=</DigestValue>
      </Reference>
      <Reference URI="/xl/worksheets/sheet19.xml?ContentType=application/vnd.openxmlformats-officedocument.spreadsheetml.worksheet+xml">
        <DigestMethod Algorithm="http://www.w3.org/2001/04/xmlenc#sha256"/>
        <DigestValue>QXKkQJw/gtas9bUelNrwKAn8Agpt0di0Na9T850IOkE=</DigestValue>
      </Reference>
      <Reference URI="/xl/worksheets/sheet2.xml?ContentType=application/vnd.openxmlformats-officedocument.spreadsheetml.worksheet+xml">
        <DigestMethod Algorithm="http://www.w3.org/2001/04/xmlenc#sha256"/>
        <DigestValue>BsDIXNUT4flBe/2bJvE23b/77q/jea42YKrUvKtmx78=</DigestValue>
      </Reference>
      <Reference URI="/xl/worksheets/sheet20.xml?ContentType=application/vnd.openxmlformats-officedocument.spreadsheetml.worksheet+xml">
        <DigestMethod Algorithm="http://www.w3.org/2001/04/xmlenc#sha256"/>
        <DigestValue>tXAjoApWeojOf6Q5kO7Og5iy4e55nRNiujdBg5vUi1c=</DigestValue>
      </Reference>
      <Reference URI="/xl/worksheets/sheet21.xml?ContentType=application/vnd.openxmlformats-officedocument.spreadsheetml.worksheet+xml">
        <DigestMethod Algorithm="http://www.w3.org/2001/04/xmlenc#sha256"/>
        <DigestValue>YOPaVOWVGBtvx11h+8fdVUP3iVNiGKXTreqhsRH01kE=</DigestValue>
      </Reference>
      <Reference URI="/xl/worksheets/sheet22.xml?ContentType=application/vnd.openxmlformats-officedocument.spreadsheetml.worksheet+xml">
        <DigestMethod Algorithm="http://www.w3.org/2001/04/xmlenc#sha256"/>
        <DigestValue>ujNo1Htheh+C5WJhpLluJKdScrOWzpNc3qv8YJ6AQx4=</DigestValue>
      </Reference>
      <Reference URI="/xl/worksheets/sheet23.xml?ContentType=application/vnd.openxmlformats-officedocument.spreadsheetml.worksheet+xml">
        <DigestMethod Algorithm="http://www.w3.org/2001/04/xmlenc#sha256"/>
        <DigestValue>7Uhar2HCC6jfd6d8kkImwXvvgrSJD50WpxnDVLJ/UvI=</DigestValue>
      </Reference>
      <Reference URI="/xl/worksheets/sheet24.xml?ContentType=application/vnd.openxmlformats-officedocument.spreadsheetml.worksheet+xml">
        <DigestMethod Algorithm="http://www.w3.org/2001/04/xmlenc#sha256"/>
        <DigestValue>lnCitvby+8dRz68isQ6KIJSI7NCzxqeyV4kvaNgLM5M=</DigestValue>
      </Reference>
      <Reference URI="/xl/worksheets/sheet25.xml?ContentType=application/vnd.openxmlformats-officedocument.spreadsheetml.worksheet+xml">
        <DigestMethod Algorithm="http://www.w3.org/2001/04/xmlenc#sha256"/>
        <DigestValue>OVVJc9UT6VvvNlWXRNnKWIh2S3zSBTzMQ2cwyeAjmT8=</DigestValue>
      </Reference>
      <Reference URI="/xl/worksheets/sheet26.xml?ContentType=application/vnd.openxmlformats-officedocument.spreadsheetml.worksheet+xml">
        <DigestMethod Algorithm="http://www.w3.org/2001/04/xmlenc#sha256"/>
        <DigestValue>bh1F8NsNm5iT/FE5MciMTOFOFasStxVkg00HdyqxDJk=</DigestValue>
      </Reference>
      <Reference URI="/xl/worksheets/sheet27.xml?ContentType=application/vnd.openxmlformats-officedocument.spreadsheetml.worksheet+xml">
        <DigestMethod Algorithm="http://www.w3.org/2001/04/xmlenc#sha256"/>
        <DigestValue>O2i58OLqxPogXqBJhPj8KK521rDnn7f809yXaTElqjQ=</DigestValue>
      </Reference>
      <Reference URI="/xl/worksheets/sheet28.xml?ContentType=application/vnd.openxmlformats-officedocument.spreadsheetml.worksheet+xml">
        <DigestMethod Algorithm="http://www.w3.org/2001/04/xmlenc#sha256"/>
        <DigestValue>bNlasV4liSiOewkNIWmYNL1VohDIKZta3UitIlvep0k=</DigestValue>
      </Reference>
      <Reference URI="/xl/worksheets/sheet29.xml?ContentType=application/vnd.openxmlformats-officedocument.spreadsheetml.worksheet+xml">
        <DigestMethod Algorithm="http://www.w3.org/2001/04/xmlenc#sha256"/>
        <DigestValue>qg/R3Tj5azLOd1nnDrWo0vb6oQ5g7P03SxK8hy/gYus=</DigestValue>
      </Reference>
      <Reference URI="/xl/worksheets/sheet3.xml?ContentType=application/vnd.openxmlformats-officedocument.spreadsheetml.worksheet+xml">
        <DigestMethod Algorithm="http://www.w3.org/2001/04/xmlenc#sha256"/>
        <DigestValue>Ag406F45JNSfa0FytcwlBhQix9GaMZ39pcf9nOxU6m4=</DigestValue>
      </Reference>
      <Reference URI="/xl/worksheets/sheet30.xml?ContentType=application/vnd.openxmlformats-officedocument.spreadsheetml.worksheet+xml">
        <DigestMethod Algorithm="http://www.w3.org/2001/04/xmlenc#sha256"/>
        <DigestValue>8/o/UnlWWntGGuZSDMJ6i11FrBw7O8K+VbAJqqnLnIw=</DigestValue>
      </Reference>
      <Reference URI="/xl/worksheets/sheet31.xml?ContentType=application/vnd.openxmlformats-officedocument.spreadsheetml.worksheet+xml">
        <DigestMethod Algorithm="http://www.w3.org/2001/04/xmlenc#sha256"/>
        <DigestValue>zHuzW2/g5TTCQIRIp0/rImiv4Qp+nmIO0tgJix4xR3I=</DigestValue>
      </Reference>
      <Reference URI="/xl/worksheets/sheet32.xml?ContentType=application/vnd.openxmlformats-officedocument.spreadsheetml.worksheet+xml">
        <DigestMethod Algorithm="http://www.w3.org/2001/04/xmlenc#sha256"/>
        <DigestValue>qMd/s6USVJDFS8qYDZNb3awz/4OTvhTiGWQuAMC66QY=</DigestValue>
      </Reference>
      <Reference URI="/xl/worksheets/sheet33.xml?ContentType=application/vnd.openxmlformats-officedocument.spreadsheetml.worksheet+xml">
        <DigestMethod Algorithm="http://www.w3.org/2001/04/xmlenc#sha256"/>
        <DigestValue>Z4jqSsekNPBvdn3WFWykf8jnWqoQwd3Rz5tTAz0zfIM=</DigestValue>
      </Reference>
      <Reference URI="/xl/worksheets/sheet4.xml?ContentType=application/vnd.openxmlformats-officedocument.spreadsheetml.worksheet+xml">
        <DigestMethod Algorithm="http://www.w3.org/2001/04/xmlenc#sha256"/>
        <DigestValue>OLV9OB7z58Iz+gjAclTvzwsvpLtA7JMjO0GDGi5aW1E=</DigestValue>
      </Reference>
      <Reference URI="/xl/worksheets/sheet5.xml?ContentType=application/vnd.openxmlformats-officedocument.spreadsheetml.worksheet+xml">
        <DigestMethod Algorithm="http://www.w3.org/2001/04/xmlenc#sha256"/>
        <DigestValue>sPYxQhvqur7AKPIDS5RQm0i+BCaMoUNkWMw1yWzFJ0E=</DigestValue>
      </Reference>
      <Reference URI="/xl/worksheets/sheet6.xml?ContentType=application/vnd.openxmlformats-officedocument.spreadsheetml.worksheet+xml">
        <DigestMethod Algorithm="http://www.w3.org/2001/04/xmlenc#sha256"/>
        <DigestValue>+7uIL8icEM1tOqQVxNXfu2d5jgER9Vko7CzFNQqe568=</DigestValue>
      </Reference>
      <Reference URI="/xl/worksheets/sheet7.xml?ContentType=application/vnd.openxmlformats-officedocument.spreadsheetml.worksheet+xml">
        <DigestMethod Algorithm="http://www.w3.org/2001/04/xmlenc#sha256"/>
        <DigestValue>L/1Y/cWamTIyKp5B627JBhBzqjYuGqv1nVYtcmTAxC0=</DigestValue>
      </Reference>
      <Reference URI="/xl/worksheets/sheet8.xml?ContentType=application/vnd.openxmlformats-officedocument.spreadsheetml.worksheet+xml">
        <DigestMethod Algorithm="http://www.w3.org/2001/04/xmlenc#sha256"/>
        <DigestValue>NCblpJeoCSdql0Pmym0z8XzNjfLkjrD6XZy68o3c0vE=</DigestValue>
      </Reference>
      <Reference URI="/xl/worksheets/sheet9.xml?ContentType=application/vnd.openxmlformats-officedocument.spreadsheetml.worksheet+xml">
        <DigestMethod Algorithm="http://www.w3.org/2001/04/xmlenc#sha256"/>
        <DigestValue>p8wellzMmkqSJ7oX7YT6u6cA8yFZr4bE85/MY+PWJWk=</DigestValue>
      </Reference>
    </Manifest>
    <SignatureProperties>
      <SignatureProperty Id="idSignatureTime" Target="#idPackageSignature">
        <mdssi:SignatureTime xmlns:mdssi="http://schemas.openxmlformats.org/package/2006/digital-signature">
          <mdssi:Format>YYYY-MM-DDThh:mm:ssTZD</mdssi:Format>
          <mdssi:Value>2025-04-29T22:16:38Z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2025-04-29T22:16:38Z</xd:SigningTime>
          <xd:SigningCertificate>
            <xd:Cert>
              <xd:CertDigest>
                <DigestMethod Algorithm="http://www.w3.org/2001/04/xmlenc#sha256"/>
                <DigestValue>A/dFmHJqi23XirBd9ycHBnxQT+agsgNh0WNznCk9EJg=</DigestValue>
              </xd:CertDigest>
              <xd:IssuerSerial>
                <X509IssuerName>CN=NBG Class 2 INT Sub CA, DC=nbg, DC=ge</X509IssuerName>
                <X509SerialNumber>179503865680321442891099</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2025-04-29T22:15:39Z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