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3" i="104" l="1"/>
  <c r="R19" i="104" s="1"/>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B2" i="96"/>
  <c r="B1" i="96"/>
  <c r="G22" i="95"/>
  <c r="F22" i="95"/>
  <c r="E22" i="95"/>
  <c r="D22" i="95"/>
  <c r="C22" i="95"/>
  <c r="H21" i="95"/>
  <c r="H20" i="95"/>
  <c r="H19" i="95"/>
  <c r="H18" i="95"/>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B2" i="107"/>
  <c r="B1" i="107"/>
  <c r="B2" i="79"/>
  <c r="B1" i="79"/>
  <c r="B2" i="37"/>
  <c r="B1" i="37"/>
  <c r="J23" i="36"/>
  <c r="I23" i="36"/>
  <c r="G23" i="36"/>
  <c r="F23" i="36"/>
  <c r="J21" i="36"/>
  <c r="I21" i="36"/>
  <c r="G21" i="36"/>
  <c r="F21" i="36"/>
  <c r="D21" i="36"/>
  <c r="C21" i="36"/>
  <c r="E21" i="36" s="1"/>
  <c r="K20" i="36"/>
  <c r="H20" i="36"/>
  <c r="E20" i="36"/>
  <c r="K19" i="36"/>
  <c r="H19" i="36"/>
  <c r="E19" i="36"/>
  <c r="K18" i="36"/>
  <c r="H18" i="36"/>
  <c r="E18" i="36"/>
  <c r="J16" i="36"/>
  <c r="J24" i="36" s="1"/>
  <c r="I16" i="36"/>
  <c r="K16" i="36" s="1"/>
  <c r="G16" i="36"/>
  <c r="F16" i="36"/>
  <c r="H16" i="36" s="1"/>
  <c r="D16" i="36"/>
  <c r="C16" i="36"/>
  <c r="K15" i="36"/>
  <c r="H15" i="36"/>
  <c r="E15" i="36"/>
  <c r="K14" i="36"/>
  <c r="H14" i="36"/>
  <c r="E14" i="36"/>
  <c r="K13" i="36"/>
  <c r="H13" i="36"/>
  <c r="E13" i="36"/>
  <c r="K12" i="36"/>
  <c r="H12" i="36"/>
  <c r="E12" i="36"/>
  <c r="K11" i="36"/>
  <c r="H11" i="36"/>
  <c r="E11" i="36"/>
  <c r="K10" i="36"/>
  <c r="H10" i="36"/>
  <c r="E10" i="36"/>
  <c r="K8" i="36"/>
  <c r="H8" i="36"/>
  <c r="B2" i="36"/>
  <c r="B1" i="36"/>
  <c r="E14" i="74"/>
  <c r="D14" i="74"/>
  <c r="E13" i="74"/>
  <c r="D13" i="74"/>
  <c r="D22" i="74" s="1"/>
  <c r="C21" i="74"/>
  <c r="C20" i="74"/>
  <c r="C19" i="74"/>
  <c r="C18" i="74"/>
  <c r="C17" i="74"/>
  <c r="C16" i="74"/>
  <c r="C15" i="74"/>
  <c r="C14" i="74"/>
  <c r="C13" i="74"/>
  <c r="C12" i="74"/>
  <c r="C11" i="74"/>
  <c r="C10" i="74"/>
  <c r="C9" i="74"/>
  <c r="C8" i="74"/>
  <c r="B2" i="74"/>
  <c r="B1" i="74"/>
  <c r="U21" i="64"/>
  <c r="S21" i="64"/>
  <c r="R21" i="64"/>
  <c r="Q21" i="64"/>
  <c r="P21" i="64"/>
  <c r="O21" i="64"/>
  <c r="N21" i="64"/>
  <c r="M21" i="64"/>
  <c r="L21" i="64"/>
  <c r="K21" i="64"/>
  <c r="J21" i="64"/>
  <c r="I21" i="64"/>
  <c r="H21" i="64"/>
  <c r="G21" i="64"/>
  <c r="F21" i="64"/>
  <c r="E21" i="64"/>
  <c r="C21" i="64"/>
  <c r="V20" i="64"/>
  <c r="T21" i="64"/>
  <c r="V19" i="64"/>
  <c r="V18" i="64"/>
  <c r="V17" i="64"/>
  <c r="V16" i="64"/>
  <c r="V15" i="64"/>
  <c r="V14" i="64"/>
  <c r="V13" i="64"/>
  <c r="D21" i="64"/>
  <c r="V12" i="64"/>
  <c r="V11" i="64"/>
  <c r="V10" i="64"/>
  <c r="V9" i="64"/>
  <c r="V8" i="64"/>
  <c r="V7" i="64"/>
  <c r="B2" i="64"/>
  <c r="B1" i="64"/>
  <c r="R22" i="35"/>
  <c r="Q22" i="35"/>
  <c r="P22" i="35"/>
  <c r="O22" i="35"/>
  <c r="N22" i="35"/>
  <c r="M22" i="35"/>
  <c r="L22" i="35"/>
  <c r="K22" i="35"/>
  <c r="J22" i="35"/>
  <c r="I22" i="35"/>
  <c r="H22" i="35"/>
  <c r="G22" i="35"/>
  <c r="F22" i="35"/>
  <c r="E22" i="35"/>
  <c r="D22" i="35"/>
  <c r="C22" i="35"/>
  <c r="S21" i="35"/>
  <c r="F21" i="74" s="1"/>
  <c r="G21" i="74" s="1"/>
  <c r="H21" i="74" s="1"/>
  <c r="S20" i="35"/>
  <c r="F20" i="74" s="1"/>
  <c r="G20" i="74" s="1"/>
  <c r="H20" i="74" s="1"/>
  <c r="S19" i="35"/>
  <c r="F19" i="74" s="1"/>
  <c r="G19" i="74" s="1"/>
  <c r="H19" i="74" s="1"/>
  <c r="S18" i="35"/>
  <c r="F18" i="74" s="1"/>
  <c r="G18" i="74" s="1"/>
  <c r="H18" i="74" s="1"/>
  <c r="S17" i="35"/>
  <c r="F17" i="74" s="1"/>
  <c r="S16" i="35"/>
  <c r="F16" i="74" s="1"/>
  <c r="S15" i="35"/>
  <c r="F15" i="74" s="1"/>
  <c r="S14" i="35"/>
  <c r="F14" i="74" s="1"/>
  <c r="S13" i="35"/>
  <c r="F13" i="74" s="1"/>
  <c r="G13" i="74" s="1"/>
  <c r="S12" i="35"/>
  <c r="F12" i="74" s="1"/>
  <c r="G12" i="74" s="1"/>
  <c r="H12" i="74" s="1"/>
  <c r="S11" i="35"/>
  <c r="F11" i="74" s="1"/>
  <c r="S10" i="35"/>
  <c r="F10" i="74" s="1"/>
  <c r="S9" i="35"/>
  <c r="F9" i="74" s="1"/>
  <c r="S8" i="35"/>
  <c r="B2" i="35"/>
  <c r="B1" i="35"/>
  <c r="C65" i="69"/>
  <c r="C64" i="69"/>
  <c r="C63" i="69"/>
  <c r="C61" i="69"/>
  <c r="C60" i="69"/>
  <c r="C59" i="69"/>
  <c r="C57" i="69"/>
  <c r="C56" i="69"/>
  <c r="C55" i="69"/>
  <c r="C54" i="69"/>
  <c r="C51" i="69"/>
  <c r="C49" i="69"/>
  <c r="C48" i="69"/>
  <c r="C39" i="69"/>
  <c r="C38" i="69"/>
  <c r="C37" i="69"/>
  <c r="C31" i="69"/>
  <c r="C27" i="69"/>
  <c r="C25" i="69"/>
  <c r="C22" i="69"/>
  <c r="C21" i="69"/>
  <c r="C16" i="69"/>
  <c r="C17" i="69"/>
  <c r="C15" i="69"/>
  <c r="C13" i="69"/>
  <c r="C12" i="69"/>
  <c r="C11" i="69"/>
  <c r="C10" i="69"/>
  <c r="C62" i="69"/>
  <c r="C58" i="69"/>
  <c r="C14" i="69"/>
  <c r="B2" i="69"/>
  <c r="B1" i="69"/>
  <c r="B2" i="106"/>
  <c r="B1" i="106"/>
  <c r="B2" i="77"/>
  <c r="B1" i="77"/>
  <c r="C7" i="28"/>
  <c r="B2" i="28"/>
  <c r="B1" i="28"/>
  <c r="B2" i="73"/>
  <c r="B1" i="73"/>
  <c r="C36" i="72"/>
  <c r="C33" i="72"/>
  <c r="E33" i="72" s="1"/>
  <c r="C29" i="72"/>
  <c r="C27" i="72"/>
  <c r="C24" i="72"/>
  <c r="C23" i="72"/>
  <c r="C19" i="72"/>
  <c r="C18" i="72"/>
  <c r="E18" i="72" s="1"/>
  <c r="C17" i="72"/>
  <c r="E17" i="72" s="1"/>
  <c r="E16" i="72" s="1"/>
  <c r="C15" i="72"/>
  <c r="C14" i="72"/>
  <c r="C13" i="72"/>
  <c r="C12" i="72"/>
  <c r="E36" i="72"/>
  <c r="D31" i="72"/>
  <c r="D25" i="72"/>
  <c r="E24" i="72"/>
  <c r="E23" i="72"/>
  <c r="D20" i="72"/>
  <c r="E19" i="72"/>
  <c r="D16" i="72"/>
  <c r="E15" i="72"/>
  <c r="E14" i="72"/>
  <c r="E13" i="72"/>
  <c r="E12" i="72"/>
  <c r="D8" i="72"/>
  <c r="B2" i="72"/>
  <c r="B1" i="72"/>
  <c r="B2" i="52"/>
  <c r="B1" i="52"/>
  <c r="G6" i="71"/>
  <c r="G13" i="71" s="1"/>
  <c r="F6" i="71"/>
  <c r="F13" i="71" s="1"/>
  <c r="E6" i="71"/>
  <c r="E13" i="71" s="1"/>
  <c r="D6" i="71"/>
  <c r="D13" i="71" s="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D17" i="94"/>
  <c r="D14" i="94" s="1"/>
  <c r="C17" i="94"/>
  <c r="C14" i="94" s="1"/>
  <c r="H16" i="94"/>
  <c r="E16" i="94"/>
  <c r="H15" i="94"/>
  <c r="E15" i="94"/>
  <c r="G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E13" i="93" s="1"/>
  <c r="C13" i="93"/>
  <c r="H12" i="93"/>
  <c r="E12" i="93"/>
  <c r="H11" i="93"/>
  <c r="E11" i="93"/>
  <c r="H10" i="93"/>
  <c r="E10" i="93"/>
  <c r="H9" i="93"/>
  <c r="E9" i="93"/>
  <c r="H8" i="93"/>
  <c r="E8" i="93"/>
  <c r="H7" i="93"/>
  <c r="E7" i="93"/>
  <c r="G6" i="93"/>
  <c r="F6" i="93"/>
  <c r="F43" i="93" s="1"/>
  <c r="D6" i="93"/>
  <c r="C6" i="93"/>
  <c r="B2" i="93"/>
  <c r="B1" i="93"/>
  <c r="G68" i="92"/>
  <c r="F68" i="92"/>
  <c r="H68" i="92" s="1"/>
  <c r="H67" i="92"/>
  <c r="E67" i="92"/>
  <c r="C11" i="28" s="1"/>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H40" i="92"/>
  <c r="E40" i="92"/>
  <c r="H39" i="92"/>
  <c r="E39" i="92"/>
  <c r="H38" i="92"/>
  <c r="E38" i="92"/>
  <c r="H35" i="92"/>
  <c r="E35" i="92"/>
  <c r="H34" i="92"/>
  <c r="E34" i="92"/>
  <c r="C35" i="72" s="1"/>
  <c r="C33" i="69" s="1"/>
  <c r="H33" i="92"/>
  <c r="E33" i="92"/>
  <c r="C34" i="72" s="1"/>
  <c r="H32" i="92"/>
  <c r="E32" i="92"/>
  <c r="H31" i="92"/>
  <c r="E31" i="92"/>
  <c r="C32" i="72" s="1"/>
  <c r="G30" i="92"/>
  <c r="F30" i="92"/>
  <c r="H30" i="92" s="1"/>
  <c r="D30" i="92"/>
  <c r="C30" i="92"/>
  <c r="E30" i="92" s="1"/>
  <c r="H29" i="92"/>
  <c r="E29" i="92"/>
  <c r="C30" i="72" s="1"/>
  <c r="H28" i="92"/>
  <c r="E28" i="92"/>
  <c r="G27" i="92"/>
  <c r="F27" i="92"/>
  <c r="H27" i="92" s="1"/>
  <c r="D27" i="92"/>
  <c r="C27" i="92"/>
  <c r="E27" i="92" s="1"/>
  <c r="C15" i="28" s="1"/>
  <c r="C7" i="79" s="1"/>
  <c r="H26" i="92"/>
  <c r="E26" i="92"/>
  <c r="H25" i="92"/>
  <c r="E25" i="92"/>
  <c r="C26" i="72" s="1"/>
  <c r="G24" i="92"/>
  <c r="F24" i="92"/>
  <c r="H24" i="92" s="1"/>
  <c r="D24" i="92"/>
  <c r="C24" i="92"/>
  <c r="E24" i="92" s="1"/>
  <c r="H23" i="92"/>
  <c r="E23" i="92"/>
  <c r="H22" i="92"/>
  <c r="E22" i="92"/>
  <c r="H21" i="92"/>
  <c r="E21" i="92"/>
  <c r="C22" i="72" s="1"/>
  <c r="H20" i="92"/>
  <c r="E20" i="92"/>
  <c r="C21" i="72" s="1"/>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C11" i="72" s="1"/>
  <c r="H9" i="92"/>
  <c r="E9" i="92"/>
  <c r="C10" i="72" s="1"/>
  <c r="C8" i="69" s="1"/>
  <c r="H8" i="92"/>
  <c r="E8" i="92"/>
  <c r="C9" i="72" s="1"/>
  <c r="G7" i="92"/>
  <c r="G36" i="92" s="1"/>
  <c r="F7" i="92"/>
  <c r="D7" i="92"/>
  <c r="C7" i="92"/>
  <c r="C36" i="92" s="1"/>
  <c r="C50" i="6"/>
  <c r="C46" i="6"/>
  <c r="B1" i="6"/>
  <c r="H34" i="97" l="1"/>
  <c r="I24" i="36"/>
  <c r="K24" i="36" s="1"/>
  <c r="G16" i="74"/>
  <c r="H16" i="74" s="1"/>
  <c r="E37" i="93"/>
  <c r="E34" i="93"/>
  <c r="E6" i="93"/>
  <c r="C43" i="93"/>
  <c r="C45" i="93" s="1"/>
  <c r="E41" i="92"/>
  <c r="H7" i="92"/>
  <c r="H21" i="96"/>
  <c r="K21" i="36"/>
  <c r="E16" i="36"/>
  <c r="G15" i="74"/>
  <c r="H15" i="74" s="1"/>
  <c r="V21" i="64"/>
  <c r="G17" i="74"/>
  <c r="H17" i="74" s="1"/>
  <c r="H37" i="93"/>
  <c r="H34" i="93"/>
  <c r="H29" i="93"/>
  <c r="H13" i="93"/>
  <c r="C32" i="69"/>
  <c r="E34" i="72"/>
  <c r="C15" i="98"/>
  <c r="D15" i="98"/>
  <c r="H22" i="95"/>
  <c r="G21" i="80"/>
  <c r="I25" i="36"/>
  <c r="J25" i="36"/>
  <c r="G24" i="36"/>
  <c r="G25" i="36" s="1"/>
  <c r="H21" i="36"/>
  <c r="F24" i="36"/>
  <c r="F25" i="36" s="1"/>
  <c r="G9" i="74"/>
  <c r="H9" i="74" s="1"/>
  <c r="G10" i="74"/>
  <c r="H10" i="74" s="1"/>
  <c r="G14" i="74"/>
  <c r="H14" i="74" s="1"/>
  <c r="G11" i="74"/>
  <c r="H11" i="74" s="1"/>
  <c r="E22" i="74"/>
  <c r="S22" i="35"/>
  <c r="F8" i="74"/>
  <c r="G8" i="74" s="1"/>
  <c r="E17" i="94"/>
  <c r="C6" i="73"/>
  <c r="H14" i="94"/>
  <c r="G43" i="93"/>
  <c r="G45" i="93" s="1"/>
  <c r="E29" i="93"/>
  <c r="C66" i="69"/>
  <c r="H41" i="92"/>
  <c r="C45" i="69"/>
  <c r="C40" i="69"/>
  <c r="C52" i="69" s="1"/>
  <c r="E35" i="72"/>
  <c r="C30" i="69"/>
  <c r="C29" i="69" s="1"/>
  <c r="E32" i="72"/>
  <c r="E31" i="72" s="1"/>
  <c r="C31" i="72"/>
  <c r="C28" i="72"/>
  <c r="C28" i="69"/>
  <c r="C26" i="69" s="1"/>
  <c r="C24" i="69"/>
  <c r="C23" i="69" s="1"/>
  <c r="E26" i="72"/>
  <c r="E25" i="72" s="1"/>
  <c r="C25" i="72"/>
  <c r="F36" i="92"/>
  <c r="H36" i="92" s="1"/>
  <c r="C20" i="72"/>
  <c r="C19" i="69"/>
  <c r="C20" i="69"/>
  <c r="E22" i="72"/>
  <c r="D36" i="92"/>
  <c r="E36" i="92" s="1"/>
  <c r="C6" i="79" s="1"/>
  <c r="E19" i="92"/>
  <c r="C9" i="69"/>
  <c r="E11" i="72"/>
  <c r="C8" i="72"/>
  <c r="E9" i="72"/>
  <c r="C7" i="69"/>
  <c r="H23" i="36"/>
  <c r="K23" i="36"/>
  <c r="K25" i="36" s="1"/>
  <c r="H13" i="74"/>
  <c r="C22" i="74"/>
  <c r="C67" i="69"/>
  <c r="C16" i="72"/>
  <c r="E27" i="72"/>
  <c r="E21" i="72"/>
  <c r="E20" i="72" s="1"/>
  <c r="D29" i="72"/>
  <c r="E29" i="72"/>
  <c r="D30" i="72"/>
  <c r="E30" i="72" s="1"/>
  <c r="E10" i="72"/>
  <c r="E14" i="94"/>
  <c r="H17" i="94"/>
  <c r="F45" i="93"/>
  <c r="H6" i="93"/>
  <c r="D43" i="93"/>
  <c r="D45" i="93" s="1"/>
  <c r="D69" i="92"/>
  <c r="C53" i="92"/>
  <c r="E59" i="92"/>
  <c r="F53" i="92"/>
  <c r="E7" i="92"/>
  <c r="C37" i="72" l="1"/>
  <c r="C6" i="69"/>
  <c r="G22" i="74"/>
  <c r="H24" i="36"/>
  <c r="H25" i="36" s="1"/>
  <c r="F22" i="74"/>
  <c r="H8" i="74"/>
  <c r="H43" i="93"/>
  <c r="H45" i="93"/>
  <c r="C68" i="69"/>
  <c r="C35" i="69"/>
  <c r="C18" i="69"/>
  <c r="E8" i="72"/>
  <c r="H22" i="74"/>
  <c r="E28" i="72"/>
  <c r="D28" i="72"/>
  <c r="D37" i="72" s="1"/>
  <c r="E45" i="93"/>
  <c r="E43" i="93"/>
  <c r="F69" i="92"/>
  <c r="H69" i="92" s="1"/>
  <c r="H53" i="92"/>
  <c r="E53" i="92"/>
  <c r="C69" i="92"/>
  <c r="E69" i="92" s="1"/>
  <c r="E37" i="72" l="1"/>
  <c r="C14" i="79"/>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Q7" i="37"/>
  <c r="Q6" i="37" s="1"/>
  <c r="Q34" i="37" s="1"/>
  <c r="F6" i="107" l="1"/>
  <c r="E6" i="107"/>
  <c r="D6" i="107"/>
  <c r="C6" i="107"/>
  <c r="B1" i="105" l="1"/>
  <c r="B2" i="105"/>
  <c r="B19" i="105" l="1"/>
  <c r="B18" i="105"/>
  <c r="B10"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s="1"/>
  <c r="C21" i="77" l="1"/>
  <c r="D16" i="77"/>
  <c r="D17" i="77"/>
  <c r="D15" i="77"/>
  <c r="D12" i="77"/>
  <c r="D13" i="77"/>
  <c r="D11" i="77"/>
  <c r="D8" i="77"/>
  <c r="D9" i="77"/>
  <c r="D7" i="77"/>
  <c r="C20" i="77"/>
  <c r="C19" i="77"/>
  <c r="D21" i="77" l="1"/>
  <c r="D19" i="77"/>
  <c r="D20" i="77"/>
  <c r="C5" i="73" l="1"/>
  <c r="C8" i="73" l="1"/>
  <c r="C13" i="73" s="1"/>
  <c r="C44" i="28"/>
  <c r="C32" i="28" l="1"/>
  <c r="C31" i="28" s="1"/>
  <c r="C48" i="28" l="1"/>
  <c r="C53" i="28" s="1"/>
  <c r="C36" i="28"/>
  <c r="C42" i="28" s="1"/>
  <c r="C12" i="28"/>
  <c r="C6" i="28" l="1"/>
  <c r="C29" i="28" s="1"/>
  <c r="B8" i="105" l="1"/>
  <c r="B7" i="105" s="1"/>
  <c r="B16" i="105" s="1"/>
  <c r="B14" i="105" s="1"/>
  <c r="C31" i="79"/>
  <c r="C34" i="79" s="1"/>
  <c r="B2" i="92"/>
  <c r="C5" i="6"/>
  <c r="F5" i="6"/>
  <c r="G5" i="71"/>
  <c r="E5" i="6"/>
  <c r="D5" i="6"/>
  <c r="G5" i="6"/>
  <c r="B6" i="105" l="1"/>
  <c r="B21" i="105" s="1"/>
  <c r="B22" i="105"/>
  <c r="B23"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<sst xmlns="http://schemas.openxmlformats.org/spreadsheetml/2006/main" count="1642" uniqueCount="1028">
  <si>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</si>
  <si>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</si>
  <si>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</si>
  <si>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</si>
  <si>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</si>
  <si>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</si>
  <si>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</si>
  <si>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</si>
  <si>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</si>
  <si>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</si>
  <si>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</si>
  <si>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</si>
  <si>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</si>
  <si>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</si>
  <si>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</si>
  <si>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</si>
  <si>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</si>
  <si>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</si>
  <si>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</si>
  <si>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</si>
  <si>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</si>
  <si>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</si>
  <si>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</si>
  <si>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</si>
  <si>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</si>
  <si>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</si>
  <si>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</si>
  <si>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</si>
  <si>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</si>
  <si>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</si>
  <si>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</si>
  <si>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</si>
  <si>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</si>
  <si>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</si>
  <si>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</si>
  <si>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</si>
  <si>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</si>
  <si>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</si>
  <si>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</si>
  <si>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</si>
  <si>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</si>
  <si>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</si>
  <si>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</si>
  <si>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</si>
  <si>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</si>
  <si>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</si>
  <si>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</si>
  <si>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</si>
  <si>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</si>
  <si>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</si>
  <si>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</si>
  <si>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</si>
  <si>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</si>
  <si>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</si>
  <si>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</si>
  <si>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</si>
  <si>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</si>
  <si>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</si>
  <si>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</si>
  <si>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</si>
  <si>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</si>
  <si>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</si>
  <si>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</si>
  <si>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</si>
  <si>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</si>
  <si>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</si>
  <si>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</si>
  <si>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</si>
  <si>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</si>
  <si>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</si>
  <si>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</si>
  <si>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</si>
  <si>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</si>
  <si>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</si>
  <si>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</si>
  <si>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</si>
  <si>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</si>
  <si>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</si>
  <si>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</si>
  <si>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</si>
  <si>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</si>
  <si>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</si>
  <si>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</si>
  <si>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</si>
  <si>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</si>
  <si>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</si>
  <si>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</si>
  <si>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</si>
  <si>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</si>
  <si>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</si>
  <si>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</si>
  <si>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</si>
  <si>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</si>
  <si>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</si>
  <si>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</si>
  <si>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</si>
  <si>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</si>
  <si>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</si>
  <si>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</si>
  <si>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</si>
  <si>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</si>
  <si>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</si>
  <si>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</si>
  <si>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</si>
  <si>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</si>
  <si>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</si>
  <si>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</si>
  <si>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</si>
  <si>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</si>
  <si>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</si>
  <si>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</si>
  <si>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</si>
  <si>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</si>
  <si>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</si>
  <si>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</si>
  <si>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</si>
  <si>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</si>
  <si>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</si>
  <si>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</si>
  <si>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</si>
  <si>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</si>
  <si>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</si>
  <si>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</si>
  <si>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</si>
  <si>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</si>
  <si>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</si>
  <si>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</si>
  <si>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</si>
  <si>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</si>
  <si>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</si>
  <si>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</si>
  <si>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</si>
  <si>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</si>
  <si>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</si>
  <si>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</si>
  <si>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</si>
  <si>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</si>
  <si>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</si>
  <si>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</si>
  <si>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</si>
  <si>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</si>
  <si>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</si>
  <si>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</si>
  <si>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</si>
  <si>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</si>
  <si>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</si>
  <si>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</si>
  <si>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</si>
  <si>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</si>
  <si>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</si>
  <si>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</si>
  <si>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</si>
  <si>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</si>
  <si>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</si>
  <si>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</si>
  <si>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</si>
  <si>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</si>
  <si>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</si>
  <si>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</si>
  <si>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</si>
  <si>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</si>
  <si>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</si>
  <si>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</si>
  <si>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</si>
  <si>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</si>
  <si>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</si>
  <si>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</si>
  <si>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</si>
  <si>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</si>
  <si>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</si>
  <si>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</si>
  <si>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</si>
  <si>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</si>
  <si>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</si>
  <si>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</si>
  <si>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</si>
  <si>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</si>
  <si>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</si>
  <si>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</si>
  <si>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</si>
  <si>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</si>
  <si>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</si>
  <si>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</si>
  <si>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</si>
  <si>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</si>
  <si>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</si>
  <si>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</si>
  <si>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</si>
  <si>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</si>
  <si>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</si>
  <si>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</si>
  <si>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</si>
  <si>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</si>
  <si>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</si>
  <si>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</si>
  <si>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</si>
  <si>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</si>
  <si>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</si>
  <si>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</si>
  <si>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</si>
  <si>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</si>
  <si>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</si>
  <si>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</si>
  <si>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</si>
  <si>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</si>
  <si>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</si>
  <si>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</si>
  <si>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</si>
  <si>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</si>
  <si>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</si>
  <si>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</si>
  <si>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</si>
  <si>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</si>
  <si>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</si>
  <si>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</si>
  <si>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</si>
  <si>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</si>
  <si>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</si>
  <si>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</si>
  <si>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</si>
  <si>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</si>
  <si>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</si>
  <si>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</si>
  <si>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</si>
  <si>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</si>
  <si>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</si>
  <si>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</si>
  <si>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</si>
  <si>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</si>
  <si>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</si>
  <si>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</si>
  <si>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</si>
  <si>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</si>
  <si>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</si>
  <si>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</si>
  <si>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</si>
  <si>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</si>
  <si>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</si>
  <si>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</si>
  <si>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</si>
  <si>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</si>
  <si>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</si>
  <si>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</si>
  <si>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</si>
  <si>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</si>
  <si>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</si>
  <si>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</si>
  <si>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</si>
  <si>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</si>
  <si>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</si>
  <si>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</si>
  <si>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</si>
  <si>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</si>
  <si>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</si>
  <si>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</si>
  <si>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</si>
  <si>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</si>
  <si>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</si>
  <si>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</si>
  <si>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</si>
  <si>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</si>
  <si>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</si>
  <si>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</si>
  <si>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</si>
  <si>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</si>
  <si>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</si>
  <si>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</si>
  <si>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</si>
  <si>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</si>
  <si>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</si>
  <si>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</si>
  <si>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</si>
  <si>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</si>
  <si>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</si>
  <si>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</si>
  <si>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</si>
  <si>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</si>
  <si>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</si>
  <si>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</si>
  <si>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</si>
  <si>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</si>
  <si>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</si>
  <si>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</si>
  <si>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</si>
  <si>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</si>
  <si>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</si>
  <si>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</si>
  <si>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</si>
  <si>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</si>
  <si>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</si>
  <si>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</si>
  <si>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</si>
  <si>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</si>
  <si>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</si>
  <si>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</si>
  <si>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</si>
  <si>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</si>
  <si>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</si>
  <si>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</si>
  <si>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</si>
  <si>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</si>
  <si>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</si>
  <si>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</si>
  <si>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</si>
  <si>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</si>
  <si>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</si>
  <si>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</si>
  <si>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</si>
  <si>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</si>
  <si>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</si>
  <si>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</si>
  <si>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</si>
  <si>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</si>
  <si>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</si>
  <si>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</si>
  <si>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</si>
  <si>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</si>
  <si>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</si>
  <si>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</si>
  <si>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</si>
  <si>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</si>
  <si>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</si>
  <si>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</si>
  <si>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</si>
  <si>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</si>
  <si>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</si>
  <si>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</si>
  <si>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</si>
  <si>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</si>
  <si>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</si>
  <si>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</si>
  <si>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</si>
  <si>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</si>
  <si>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</si>
  <si>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</si>
  <si>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</si>
  <si>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</si>
  <si>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</si>
  <si>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</si>
  <si>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</si>
  <si>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</si>
  <si>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</si>
  <si>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</si>
  <si>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</si>
  <si>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</si>
  <si>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</si>
  <si>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</si>
  <si>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</si>
  <si>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</si>
  <si>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</si>
  <si>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</si>
  <si>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</si>
  <si>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</si>
  <si>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</si>
  <si>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</si>
  <si>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</si>
  <si>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</si>
  <si>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</si>
  <si>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</si>
  <si>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</si>
  <si>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</si>
  <si>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</si>
  <si>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</si>
  <si>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</si>
  <si>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</si>
  <si>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</si>
  <si>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</si>
  <si>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</si>
  <si>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</si>
  <si>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</si>
  <si>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</si>
  <si>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</si>
  <si>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</si>
  <si>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</si>
  <si>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</si>
  <si>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</si>
  <si>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</si>
  <si>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</si>
  <si>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</si>
  <si>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</si>
  <si>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</si>
  <si>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</si>
  <si>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</si>
  <si>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</si>
  <si>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</si>
  <si>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</si>
  <si>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</si>
  <si>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</si>
  <si>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</si>
  <si>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</si>
  <si>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</si>
  <si>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</si>
  <si>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</si>
  <si>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</si>
  <si>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</si>
  <si>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</si>
  <si>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</si>
  <si>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</si>
  <si>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</si>
  <si>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</si>
  <si>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</si>
  <si>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</si>
  <si>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</si>
  <si>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</si>
  <si>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</si>
  <si>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</si>
  <si>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</si>
  <si>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</si>
  <si>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</si>
  <si>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</si>
  <si>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</si>
  <si>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</si>
  <si>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</si>
  <si>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</si>
  <si>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</si>
  <si>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</si>
  <si>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</si>
  <si>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</si>
  <si>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</si>
  <si>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</si>
  <si>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</si>
  <si>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</si>
  <si>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</si>
  <si>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</si>
  <si>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</si>
  <si>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</si>
  <si>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</si>
  <si>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</si>
  <si>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</si>
  <si>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</si>
  <si>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</si>
  <si>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</si>
  <si>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</si>
  <si>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</si>
  <si>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</si>
  <si>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</si>
  <si>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</si>
  <si>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</si>
  <si>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</si>
  <si>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</si>
  <si>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</si>
  <si>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</si>
  <si>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</si>
  <si>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</si>
  <si>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</si>
  <si>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</si>
  <si>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</si>
  <si>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</si>
  <si>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</si>
  <si>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</si>
  <si>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</si>
  <si>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</si>
  <si>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</si>
  <si>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</si>
  <si>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</si>
  <si>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</si>
  <si>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</si>
  <si>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</si>
  <si>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</si>
  <si>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</si>
  <si>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</si>
  <si>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</si>
  <si>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</si>
  <si>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</si>
  <si>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</si>
  <si>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</si>
  <si>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</si>
  <si>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</si>
  <si>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</si>
  <si>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</si>
  <si>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</si>
  <si>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</si>
  <si>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</si>
  <si>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</si>
  <si>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</si>
  <si>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</si>
  <si>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</si>
  <si>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</si>
  <si>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</si>
  <si>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</si>
  <si>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</si>
  <si>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</si>
  <si>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</si>
  <si>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</si>
  <si>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</si>
  <si>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</si>
  <si>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</si>
  <si>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</si>
  <si>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</si>
  <si>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</si>
  <si>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</si>
  <si>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</si>
  <si>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</si>
  <si>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</si>
  <si>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</si>
  <si>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</si>
  <si>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</si>
  <si>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</si>
  <si>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</si>
  <si>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</si>
  <si>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</si>
  <si>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</si>
  <si>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</si>
  <si>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</si>
  <si>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</si>
  <si>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</si>
  <si>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</si>
  <si>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</si>
  <si>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</si>
  <si>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</si>
  <si>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</si>
  <si>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</si>
  <si>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</si>
  <si>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</si>
  <si>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</si>
  <si>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</si>
  <si>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</si>
  <si>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</si>
  <si>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</si>
  <si>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</si>
  <si>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</si>
  <si>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</si>
  <si>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</si>
  <si>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</si>
  <si>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</si>
  <si>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</si>
  <si>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</si>
  <si>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</si>
  <si>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</si>
  <si>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</si>
  <si>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</si>
  <si>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</si>
  <si>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</si>
  <si>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</si>
  <si>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</si>
  <si>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</si>
  <si>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</si>
  <si>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</si>
  <si>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</si>
  <si>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</si>
  <si>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</si>
  <si>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</si>
  <si>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</si>
  <si>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</si>
  <si>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</si>
  <si>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</si>
  <si>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</si>
  <si>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</si>
  <si>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</si>
  <si>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</si>
  <si>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</si>
  <si>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</si>
  <si>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</si>
  <si>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</si>
  <si>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</si>
  <si>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</si>
  <si>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</si>
  <si>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</si>
  <si>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</si>
  <si>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</si>
  <si>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</si>
  <si>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</si>
  <si>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</si>
  <si>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</si>
  <si>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</si>
  <si>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</si>
  <si>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</si>
  <si>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</si>
  <si>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</si>
  <si>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</si>
  <si>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</si>
  <si>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</si>
  <si>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</si>
  <si>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</si>
  <si>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</si>
  <si>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</si>
  <si>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</si>
  <si>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</si>
  <si>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</si>
  <si>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</si>
  <si>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</si>
  <si>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</si>
  <si>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</si>
  <si>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</si>
  <si>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</si>
  <si>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</si>
  <si>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</si>
  <si>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</si>
  <si>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</si>
  <si>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</si>
  <si>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</si>
  <si>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</si>
  <si>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</si>
  <si>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</si>
  <si>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</si>
  <si>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</si>
  <si>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</si>
  <si>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</si>
  <si>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</si>
  <si>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</si>
  <si>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</si>
  <si>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</si>
  <si>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</si>
  <si>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</si>
  <si>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</si>
  <si>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</si>
  <si>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</si>
  <si>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</si>
  <si>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</si>
  <si>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</si>
  <si>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</si>
  <si>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</si>
  <si>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</si>
  <si>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</si>
  <si>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</si>
  <si>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</si>
  <si>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</si>
  <si>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</si>
  <si>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</si>
  <si>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</si>
  <si>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</si>
  <si>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</si>
  <si>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</si>
  <si>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</si>
  <si>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</si>
  <si>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</si>
  <si>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</si>
  <si>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</si>
  <si>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</si>
  <si>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</si>
  <si>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</si>
  <si>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</si>
  <si>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</si>
  <si>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</si>
  <si>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</si>
  <si>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</si>
  <si>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</si>
  <si>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</si>
  <si>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</si>
  <si>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</si>
  <si>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</si>
  <si>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</si>
  <si>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</si>
  <si>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</si>
  <si>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</si>
  <si>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</si>
  <si>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</si>
  <si>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</si>
  <si>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</si>
  <si>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</si>
  <si>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</si>
  <si>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</si>
  <si>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</si>
  <si>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</si>
  <si>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</si>
  <si>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</si>
  <si>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</si>
  <si>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</si>
  <si>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</si>
  <si>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</si>
  <si>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</si>
  <si>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</si>
  <si>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</si>
  <si>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</si>
  <si>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</si>
  <si>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</si>
  <si>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</si>
  <si>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</si>
  <si>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</si>
  <si>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</si>
  <si>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</si>
  <si>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</si>
  <si>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</si>
  <si>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</si>
  <si>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</si>
  <si>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</si>
  <si>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</si>
  <si>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</si>
  <si>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</si>
  <si>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</si>
  <si>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</si>
  <si>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</si>
  <si>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</si>
  <si>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</si>
  <si>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</si>
  <si>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</si>
  <si>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</si>
  <si>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</si>
  <si>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</si>
  <si>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</si>
  <si>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</si>
  <si>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</si>
  <si>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</si>
  <si>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</si>
  <si>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</si>
  <si>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</si>
  <si>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</si>
  <si>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</si>
  <si>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</si>
  <si>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</si>
  <si>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</si>
  <si>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</si>
  <si>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</si>
  <si>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</si>
  <si>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</si>
  <si>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</si>
  <si>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</si>
  <si>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</si>
  <si>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</si>
  <si>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</si>
  <si>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</si>
  <si>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</si>
  <si>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</si>
  <si>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</si>
  <si>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</si>
  <si>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</si>
  <si>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</si>
  <si>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</si>
  <si>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</si>
  <si>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</si>
  <si>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</si>
  <si>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</si>
  <si>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</si>
  <si>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</si>
  <si>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</si>
  <si>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</si>
  <si>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</si>
  <si>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</si>
  <si>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</si>
  <si>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</si>
  <si>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</si>
  <si>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</si>
  <si>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</si>
  <si>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</si>
  <si>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</si>
  <si>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</si>
  <si>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</si>
  <si>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</si>
  <si>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</si>
  <si>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</si>
  <si>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</si>
  <si>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</si>
  <si>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</si>
  <si>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</si>
  <si>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</si>
  <si>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</si>
  <si>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</si>
  <si>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</si>
  <si>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</si>
  <si>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</si>
  <si>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</si>
  <si>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</si>
  <si>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</si>
  <si>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</si>
  <si>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</si>
  <si>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</si>
  <si>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</si>
  <si>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</si>
  <si>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</si>
  <si>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</si>
  <si>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</si>
  <si>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</si>
  <si>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</si>
  <si>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</si>
  <si>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</si>
  <si>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</si>
  <si>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</si>
  <si>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</si>
  <si>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</si>
  <si>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</si>
  <si>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</si>
  <si>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</si>
  <si>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</si>
  <si>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</si>
  <si>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</si>
  <si>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</si>
  <si>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</si>
  <si>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</si>
  <si>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</si>
  <si>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</si>
  <si>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</si>
  <si>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</si>
  <si>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</si>
  <si>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</si>
  <si>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</si>
  <si>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</si>
  <si>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</si>
  <si>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</si>
  <si>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</si>
  <si>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</si>
  <si>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</si>
  <si>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</si>
  <si>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</si>
  <si>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</si>
  <si>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</si>
  <si>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</si>
  <si>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</si>
  <si>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</si>
  <si>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</si>
  <si>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</si>
  <si>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</si>
  <si>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</si>
  <si>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</si>
  <si>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</si>
  <si>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</si>
  <si>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</si>
  <si>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</si>
  <si>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</si>
  <si>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</si>
  <si>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</si>
  <si>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</si>
  <si>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</si>
  <si>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</si>
  <si>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</si>
  <si>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</si>
  <si>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</si>
  <si>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</si>
  <si>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</si>
  <si>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</si>
  <si>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</si>
  <si>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</si>
  <si>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</si>
  <si>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</si>
  <si>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</si>
  <si>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</si>
  <si>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</si>
  <si>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</si>
  <si>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</si>
  <si>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</si>
  <si>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</si>
  <si>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</si>
  <si>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</si>
  <si>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</si>
  <si>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</si>
  <si>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</si>
  <si>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</si>
  <si>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</si>
  <si>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</si>
  <si>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</si>
  <si>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</si>
  <si>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</si>
  <si>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</si>
  <si>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</si>
  <si>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</si>
  <si>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</si>
  <si>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</si>
  <si>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</si>
  <si>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</si>
  <si>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</si>
  <si>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</si>
  <si>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</si>
  <si>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</si>
  <si>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</si>
  <si>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</si>
  <si>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</si>
  <si>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</si>
  <si>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</si>
  <si>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</si>
  <si>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</si>
  <si>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</si>
  <si>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</si>
  <si>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</si>
  <si>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</si>
  <si>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</si>
  <si>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</si>
  <si>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</si>
  <si>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</si>
  <si>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</si>
  <si>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</si>
  <si>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</si>
  <si>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</si>
  <si>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</si>
  <si>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</si>
  <si>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</si>
  <si>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</si>
  <si>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</si>
  <si>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</si>
  <si>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</si>
  <si>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</si>
  <si>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</si>
  <si>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</si>
  <si>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</si>
  <si>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</si>
  <si>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</si>
  <si>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</si>
  <si>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</si>
  <si>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</si>
  <si>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</si>
  <si>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</si>
  <si>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</si>
  <si>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</si>
  <si>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</si>
  <si>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</si>
  <si>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</si>
  <si>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</si>
  <si>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</si>
  <si>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</si>
  <si>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</si>
  <si>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</si>
  <si>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</si>
  <si>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</si>
  <si>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</si>
  <si>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</si>
  <si>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</si>
  <si>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</si>
  <si>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</si>
  <si>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</si>
  <si>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</si>
  <si>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</si>
  <si>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</si>
  <si>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</si>
  <si>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</si>
  <si>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</si>
  <si>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</si>
  <si>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</si>
  <si>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</si>
  <si>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</si>
  <si>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</si>
  <si>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</si>
  <si>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</si>
  <si>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</si>
  <si>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</si>
  <si>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</si>
  <si>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</si>
  <si>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</si>
  <si>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</si>
  <si>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</si>
  <si>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</si>
  <si>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</si>
  <si>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</si>
  <si>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</si>
  <si>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</si>
  <si>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</si>
  <si>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</si>
  <si>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</si>
  <si>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</si>
  <si>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</si>
  <si>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</si>
  <si>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</si>
  <si>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</si>
  <si>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</si>
  <si>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</si>
  <si>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</si>
  <si>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</si>
  <si>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</si>
  <si>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</si>
  <si>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</si>
  <si>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</si>
  <si>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</si>
  <si>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</si>
  <si>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</si>
  <si>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</si>
  <si>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</si>
  <si>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</si>
  <si>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</si>
  <si>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</si>
  <si>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</si>
  <si>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</si>
  <si>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</si>
  <si>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</si>
  <si>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</si>
  <si>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</si>
  <si>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</si>
  <si>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</si>
  <si>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</si>
  <si>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</si>
  <si>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</si>
  <si>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</si>
  <si>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</si>
  <si>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</si>
  <si>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</si>
  <si>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</si>
  <si>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</si>
  <si>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</si>
  <si>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</si>
  <si>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</si>
  <si>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</si>
  <si>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</si>
  <si>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</si>
  <si>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</si>
  <si>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</si>
  <si>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</si>
  <si>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</si>
  <si>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</si>
  <si>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</si>
  <si>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</si>
  <si>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</si>
  <si>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</si>
  <si>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</si>
  <si>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</si>
  <si>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</si>
  <si>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</si>
  <si>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</si>
  <si>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</si>
  <si>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</si>
  <si>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</si>
  <si>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</si>
  <si>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</si>
  <si>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</si>
  <si>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</si>
  <si>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</si>
  <si>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</si>
  <si>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</si>
  <si>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</si>
  <si>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</si>
  <si>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</si>
  <si>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</si>
  <si>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</si>
  <si>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</si>
  <si>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</si>
  <si>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</si>
  <si>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</si>
  <si>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</si>
  <si>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</si>
  <si>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</si>
  <si>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</si>
  <si>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</si>
  <si>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</si>
  <si>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</si>
  <si>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</si>
  <si>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</si>
  <si>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</si>
  <si>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</si>
  <si>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</si>
  <si>
    <t>ონურ ქუთუქ</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</si>
  <si>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</si>
  <si>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</si>
  <si>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ოზგე სევალ დედეოღლუ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</si>
</sst>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_-;\-* #,##0_-;_-* &quot;-&quot;??_-;_-@_-"/>
  </numFmts>
  <fonts count="18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6" fontId="4" fillId="0" borderId="111" xfId="7" applyNumberFormat="1" applyFont="1" applyFill="1" applyBorder="1" applyAlignment="1">
      <alignment vertical="center"/>
    </xf>
    <xf numFmtId="196" fontId="4" fillId="0" borderId="51" xfId="7" applyNumberFormat="1" applyFont="1" applyFill="1" applyBorder="1" applyAlignment="1">
      <alignment vertical="center"/>
    </xf>
    <xf numFmtId="196" fontId="6" fillId="0" borderId="152" xfId="7" applyNumberFormat="1" applyFont="1" applyFill="1" applyBorder="1" applyAlignment="1">
      <alignment vertical="center"/>
    </xf>
    <xf numFmtId="196" fontId="4" fillId="0" borderId="148" xfId="7" applyNumberFormat="1" applyFont="1" applyFill="1" applyBorder="1" applyAlignment="1">
      <alignment vertical="center"/>
    </xf>
    <xf numFmtId="196" fontId="4" fillId="0" borderId="143" xfId="7" applyNumberFormat="1" applyFont="1" applyFill="1" applyBorder="1" applyAlignment="1">
      <alignment vertical="center"/>
    </xf>
    <xf numFmtId="196"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6" fontId="6" fillId="0" borderId="153" xfId="0" applyNumberFormat="1" applyFont="1" applyFill="1" applyBorder="1" applyAlignment="1">
      <alignment vertical="center"/>
    </xf>
    <xf numFmtId="196" fontId="6" fillId="0" borderId="148" xfId="0" applyNumberFormat="1" applyFont="1" applyFill="1" applyBorder="1" applyAlignment="1">
      <alignment vertical="center"/>
    </xf>
    <xf numFmtId="196" fontId="6" fillId="0" borderId="111" xfId="0" applyNumberFormat="1" applyFont="1" applyFill="1" applyBorder="1" applyAlignment="1">
      <alignment vertical="center"/>
    </xf>
    <xf numFmtId="196" fontId="6" fillId="0" borderId="143" xfId="0" applyNumberFormat="1" applyFont="1" applyFill="1" applyBorder="1" applyAlignment="1">
      <alignment vertical="center"/>
    </xf>
    <xf numFmtId="196" fontId="4" fillId="0" borderId="146" xfId="7" applyNumberFormat="1" applyFont="1" applyFill="1" applyBorder="1" applyAlignment="1">
      <alignment vertical="center"/>
    </xf>
    <xf numFmtId="196" fontId="4" fillId="0" borderId="145" xfId="7" applyNumberFormat="1" applyFont="1" applyFill="1" applyBorder="1" applyAlignment="1">
      <alignment vertical="center"/>
    </xf>
    <xf numFmtId="196" fontId="6" fillId="0" borderId="151" xfId="0" applyNumberFormat="1" applyFont="1" applyFill="1" applyBorder="1" applyAlignment="1">
      <alignment vertical="center"/>
    </xf>
    <xf numFmtId="196" fontId="6" fillId="0" borderId="107" xfId="0" applyNumberFormat="1" applyFont="1" applyFill="1" applyBorder="1" applyAlignment="1">
      <alignment vertical="center"/>
    </xf>
    <xf numFmtId="196" fontId="6" fillId="0" borderId="149" xfId="7" applyNumberFormat="1" applyFont="1" applyFill="1" applyBorder="1" applyAlignment="1">
      <alignment vertical="center"/>
    </xf>
    <xf numFmtId="196" fontId="6" fillId="0" borderId="163" xfId="0" applyNumberFormat="1" applyFont="1" applyFill="1" applyBorder="1" applyAlignment="1">
      <alignment vertical="center"/>
    </xf>
    <xf numFmtId="196" fontId="6" fillId="0" borderId="150" xfId="0" applyNumberFormat="1" applyFont="1" applyFill="1" applyBorder="1" applyAlignment="1">
      <alignment vertical="center"/>
    </xf>
    <xf numFmtId="196" fontId="4" fillId="0" borderId="114" xfId="7" applyNumberFormat="1" applyFont="1" applyFill="1" applyBorder="1" applyAlignment="1">
      <alignment vertical="center"/>
    </xf>
    <xf numFmtId="196" fontId="4" fillId="0" borderId="26" xfId="7" applyNumberFormat="1" applyFont="1" applyFill="1" applyBorder="1" applyAlignment="1">
      <alignment vertical="center"/>
    </xf>
    <xf numFmtId="196"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6"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xf numFmtId="0" fontId="183" fillId="0" borderId="0" xfId="0" applyFont="1" applyAlignment="1">
      <alignment horizontal="left" vertical="center" wrapText="1"/>
    </xf>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3"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3" fillId="75" borderId="143" xfId="0" applyFont="1" applyFill="1" applyBorder="1" applyAlignment="1">
      <alignment horizontal="center"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03" fillId="0" borderId="143" xfId="0" applyFont="1" applyFill="1" applyBorder="1" applyAlignment="1">
      <alignment horizontal="center" vertical="center"/>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5" t="s">
        <v>148</v>
      </c>
      <c r="C1" s="54"/>
    </row>
    <row r="2" spans="1:3" s="102" customFormat="1" ht="15.75">
      <c r="A2" s="146">
        <v>1</v>
      </c>
      <c r="B2" s="103" t="s">
        <v>149</v>
      </c>
      <c r="C2" s="603" t="s">
        <v>1000</v>
      </c>
    </row>
    <row r="3" spans="1:3" s="102" customFormat="1" ht="15.75">
      <c r="A3" s="146">
        <v>2</v>
      </c>
      <c r="B3" s="104" t="s">
        <v>150</v>
      </c>
      <c r="C3" s="603" t="s">
        <v>1001</v>
      </c>
    </row>
    <row r="4" spans="1:3" s="102" customFormat="1" ht="15.75">
      <c r="A4" s="146">
        <v>3</v>
      </c>
      <c r="B4" s="104" t="s">
        <v>151</v>
      </c>
      <c r="C4" s="603" t="s">
        <v>1024</v>
      </c>
    </row>
    <row r="5" spans="1:3" s="102" customFormat="1" ht="15.75">
      <c r="A5" s="147">
        <v>4</v>
      </c>
      <c r="B5" s="107" t="s">
        <v>152</v>
      </c>
      <c r="C5" s="604" t="s">
        <v>1003</v>
      </c>
    </row>
    <row r="6" spans="1:3" s="106" customFormat="1" ht="65.25" customHeight="1">
      <c r="A6" s="902" t="s">
        <v>309</v>
      </c>
      <c r="B6" s="903"/>
      <c r="C6" s="903"/>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5.5">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605" t="str">
        <f>Info!C2</f>
        <v>სს იშბანკი საქართველო</v>
      </c>
      <c r="D1" s="2"/>
      <c r="E1" s="2"/>
      <c r="F1" s="2"/>
    </row>
    <row r="2" spans="1:6" s="21" customFormat="1" ht="15.75" customHeight="1">
      <c r="A2" s="21" t="s">
        <v>98</v>
      </c>
      <c r="B2" s="606">
        <f>'1. key ratios'!B2</f>
        <v>46022</v>
      </c>
    </row>
    <row r="3" spans="1:6" s="21" customFormat="1" ht="15.75" customHeight="1"/>
    <row r="4" spans="1:6" ht="15.75" thickBot="1">
      <c r="A4" s="5" t="s">
        <v>246</v>
      </c>
      <c r="B4" s="29" t="s">
        <v>74</v>
      </c>
    </row>
    <row r="5" spans="1:6">
      <c r="A5" s="75" t="s">
        <v>25</v>
      </c>
      <c r="B5" s="76"/>
      <c r="C5" s="77" t="s">
        <v>26</v>
      </c>
    </row>
    <row r="6" spans="1:6">
      <c r="A6" s="78">
        <v>1</v>
      </c>
      <c r="B6" s="50" t="s">
        <v>27</v>
      </c>
      <c r="C6" s="750">
        <f>SUM(C7:C11)</f>
        <v>160301220.30474496</v>
      </c>
    </row>
    <row r="7" spans="1:6">
      <c r="A7" s="78">
        <v>2</v>
      </c>
      <c r="B7" s="47" t="s">
        <v>28</v>
      </c>
      <c r="C7" s="748">
        <f>'2. SOFP'!E55</f>
        <v>69161600</v>
      </c>
    </row>
    <row r="8" spans="1:6">
      <c r="A8" s="78">
        <v>3</v>
      </c>
      <c r="B8" s="41" t="s">
        <v>29</v>
      </c>
      <c r="C8" s="748"/>
    </row>
    <row r="9" spans="1:6">
      <c r="A9" s="78">
        <v>4</v>
      </c>
      <c r="B9" s="41" t="s">
        <v>30</v>
      </c>
      <c r="C9" s="748"/>
    </row>
    <row r="10" spans="1:6">
      <c r="A10" s="78">
        <v>5</v>
      </c>
      <c r="B10" s="41" t="s">
        <v>31</v>
      </c>
      <c r="C10" s="748"/>
    </row>
    <row r="11" spans="1:6">
      <c r="A11" s="78">
        <v>6</v>
      </c>
      <c r="B11" s="48" t="s">
        <v>32</v>
      </c>
      <c r="C11" s="748">
        <f>'2. SOFP'!E67</f>
        <v>91139620.304744974</v>
      </c>
    </row>
    <row r="12" spans="1:6" s="4" customFormat="1">
      <c r="A12" s="78">
        <v>7</v>
      </c>
      <c r="B12" s="50" t="s">
        <v>33</v>
      </c>
      <c r="C12" s="751">
        <f>SUM(C13:C28)</f>
        <v>2515703.7999999998</v>
      </c>
    </row>
    <row r="13" spans="1:6" s="4" customFormat="1">
      <c r="A13" s="78">
        <v>8</v>
      </c>
      <c r="B13" s="49" t="s">
        <v>34</v>
      </c>
      <c r="C13" s="151"/>
    </row>
    <row r="14" spans="1:6" s="4" customFormat="1" ht="25.5">
      <c r="A14" s="78">
        <v>9</v>
      </c>
      <c r="B14" s="42" t="s">
        <v>35</v>
      </c>
      <c r="C14" s="151"/>
    </row>
    <row r="15" spans="1:6" s="4" customFormat="1">
      <c r="A15" s="78">
        <v>10</v>
      </c>
      <c r="B15" s="43" t="s">
        <v>36</v>
      </c>
      <c r="C15" s="749">
        <f>'2. SOFP'!E27</f>
        <v>2515703.7999999998</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5.5">
      <c r="A20" s="78">
        <v>15</v>
      </c>
      <c r="B20" s="43" t="s">
        <v>41</v>
      </c>
      <c r="C20" s="151"/>
    </row>
    <row r="21" spans="1:3" s="4" customFormat="1" ht="25.5">
      <c r="A21" s="78">
        <v>16</v>
      </c>
      <c r="B21" s="42" t="s">
        <v>42</v>
      </c>
      <c r="C21" s="151"/>
    </row>
    <row r="22" spans="1:3" s="4" customFormat="1">
      <c r="A22" s="78">
        <v>17</v>
      </c>
      <c r="B22" s="79" t="s">
        <v>43</v>
      </c>
      <c r="C22" s="151"/>
    </row>
    <row r="23" spans="1:3" s="4" customFormat="1">
      <c r="A23" s="78">
        <v>18</v>
      </c>
      <c r="B23" s="544" t="s">
        <v>694</v>
      </c>
      <c r="C23" s="323"/>
    </row>
    <row r="24" spans="1:3" s="4" customFormat="1" ht="25.5">
      <c r="A24" s="78">
        <v>19</v>
      </c>
      <c r="B24" s="42" t="s">
        <v>44</v>
      </c>
      <c r="C24" s="151"/>
    </row>
    <row r="25" spans="1:3" s="4" customFormat="1" ht="25.5">
      <c r="A25" s="78">
        <v>20</v>
      </c>
      <c r="B25" s="42" t="s">
        <v>45</v>
      </c>
      <c r="C25" s="151"/>
    </row>
    <row r="26" spans="1:3" s="4" customFormat="1" ht="25.5">
      <c r="A26" s="78">
        <v>21</v>
      </c>
      <c r="B26" s="45" t="s">
        <v>46</v>
      </c>
      <c r="C26" s="151"/>
    </row>
    <row r="27" spans="1:3" s="4" customFormat="1">
      <c r="A27" s="78">
        <v>22</v>
      </c>
      <c r="B27" s="45" t="s">
        <v>47</v>
      </c>
      <c r="C27" s="151"/>
    </row>
    <row r="28" spans="1:3" s="4" customFormat="1" ht="25.5">
      <c r="A28" s="78">
        <v>23</v>
      </c>
      <c r="B28" s="45" t="s">
        <v>48</v>
      </c>
      <c r="C28" s="151"/>
    </row>
    <row r="29" spans="1:3" s="4" customFormat="1">
      <c r="A29" s="78">
        <v>24</v>
      </c>
      <c r="B29" s="51" t="s">
        <v>22</v>
      </c>
      <c r="C29" s="751">
        <f>C6-C12</f>
        <v>157785516.50474495</v>
      </c>
    </row>
    <row r="30" spans="1:3" s="4" customFormat="1">
      <c r="A30" s="80"/>
      <c r="B30" s="46"/>
      <c r="C30" s="151"/>
    </row>
    <row r="31" spans="1:3" s="4" customFormat="1">
      <c r="A31" s="80">
        <v>25</v>
      </c>
      <c r="B31" s="51" t="s">
        <v>49</v>
      </c>
      <c r="C31" s="751">
        <f>C32+C35</f>
        <v>0</v>
      </c>
    </row>
    <row r="32" spans="1:3" s="4" customFormat="1">
      <c r="A32" s="80">
        <v>26</v>
      </c>
      <c r="B32" s="41" t="s">
        <v>50</v>
      </c>
      <c r="C32" s="752">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751">
        <f>SUM(C37:C41)</f>
        <v>0</v>
      </c>
    </row>
    <row r="37" spans="1:3" s="4" customFormat="1">
      <c r="A37" s="80">
        <v>31</v>
      </c>
      <c r="B37" s="42" t="s">
        <v>55</v>
      </c>
      <c r="C37" s="151"/>
    </row>
    <row r="38" spans="1:3" s="4" customFormat="1">
      <c r="A38" s="80">
        <v>32</v>
      </c>
      <c r="B38" s="43" t="s">
        <v>56</v>
      </c>
      <c r="C38" s="151"/>
    </row>
    <row r="39" spans="1:3" s="4" customFormat="1" ht="25.5">
      <c r="A39" s="80">
        <v>33</v>
      </c>
      <c r="B39" s="42" t="s">
        <v>57</v>
      </c>
      <c r="C39" s="151"/>
    </row>
    <row r="40" spans="1:3" s="4" customFormat="1" ht="25.5">
      <c r="A40" s="80">
        <v>34</v>
      </c>
      <c r="B40" s="42" t="s">
        <v>45</v>
      </c>
      <c r="C40" s="151"/>
    </row>
    <row r="41" spans="1:3" s="4" customFormat="1" ht="25.5">
      <c r="A41" s="80">
        <v>35</v>
      </c>
      <c r="B41" s="45" t="s">
        <v>58</v>
      </c>
      <c r="C41" s="151"/>
    </row>
    <row r="42" spans="1:3" s="4" customFormat="1">
      <c r="A42" s="80">
        <v>36</v>
      </c>
      <c r="B42" s="51" t="s">
        <v>23</v>
      </c>
      <c r="C42" s="751">
        <f>C31-C36</f>
        <v>0</v>
      </c>
    </row>
    <row r="43" spans="1:3" s="4" customFormat="1">
      <c r="A43" s="80"/>
      <c r="B43" s="46"/>
      <c r="C43" s="151"/>
    </row>
    <row r="44" spans="1:3" s="4" customFormat="1">
      <c r="A44" s="80">
        <v>37</v>
      </c>
      <c r="B44" s="52" t="s">
        <v>59</v>
      </c>
      <c r="C44" s="751">
        <f>SUM(C45:C47)</f>
        <v>0</v>
      </c>
    </row>
    <row r="45" spans="1:3" s="4" customFormat="1">
      <c r="A45" s="80">
        <v>38</v>
      </c>
      <c r="B45" s="41" t="s">
        <v>60</v>
      </c>
      <c r="C45" s="151"/>
    </row>
    <row r="46" spans="1:3" s="4" customFormat="1">
      <c r="A46" s="80">
        <v>39</v>
      </c>
      <c r="B46" s="41" t="s">
        <v>61</v>
      </c>
      <c r="C46" s="151"/>
    </row>
    <row r="47" spans="1:3" s="4" customFormat="1">
      <c r="A47" s="80">
        <v>40</v>
      </c>
      <c r="B47" s="545" t="s">
        <v>693</v>
      </c>
      <c r="C47" s="151"/>
    </row>
    <row r="48" spans="1:3" s="4" customFormat="1">
      <c r="A48" s="80">
        <v>41</v>
      </c>
      <c r="B48" s="52" t="s">
        <v>62</v>
      </c>
      <c r="C48" s="751">
        <f>SUM(C49:C52)</f>
        <v>0</v>
      </c>
    </row>
    <row r="49" spans="1:3" s="4" customFormat="1">
      <c r="A49" s="80">
        <v>42</v>
      </c>
      <c r="B49" s="42" t="s">
        <v>63</v>
      </c>
      <c r="C49" s="151"/>
    </row>
    <row r="50" spans="1:3" s="4" customFormat="1">
      <c r="A50" s="80">
        <v>43</v>
      </c>
      <c r="B50" s="43" t="s">
        <v>64</v>
      </c>
      <c r="C50" s="151"/>
    </row>
    <row r="51" spans="1:3" s="4" customFormat="1" ht="25.5">
      <c r="A51" s="80">
        <v>44</v>
      </c>
      <c r="B51" s="42" t="s">
        <v>65</v>
      </c>
      <c r="C51" s="151"/>
    </row>
    <row r="52" spans="1:3" s="4" customFormat="1" ht="25.5">
      <c r="A52" s="80">
        <v>45</v>
      </c>
      <c r="B52" s="42" t="s">
        <v>45</v>
      </c>
      <c r="C52" s="151"/>
    </row>
    <row r="53" spans="1:3" s="4" customFormat="1" ht="15.75" thickBot="1">
      <c r="A53" s="80">
        <v>46</v>
      </c>
      <c r="B53" s="81" t="s">
        <v>24</v>
      </c>
      <c r="C53" s="753">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40625" defaultRowHeight="12.75"/>
  <cols>
    <col min="1" max="1" width="10.85546875" style="183" bestFit="1" customWidth="1"/>
    <col min="2" max="2" width="59" style="183" customWidth="1"/>
    <col min="3" max="3" width="16.85546875" style="183" bestFit="1" customWidth="1"/>
    <col min="4" max="4" width="22.140625" style="183" customWidth="1"/>
    <col min="5" max="16384" width="9.140625" style="183"/>
  </cols>
  <sheetData>
    <row r="1" spans="1:4" ht="15">
      <c r="A1" s="17" t="s">
        <v>97</v>
      </c>
      <c r="B1" s="605" t="str">
        <f>Info!C2</f>
        <v>სს იშბანკი საქართველო</v>
      </c>
    </row>
    <row r="2" spans="1:4" s="21" customFormat="1" ht="15.75" customHeight="1">
      <c r="A2" s="21" t="s">
        <v>98</v>
      </c>
      <c r="B2" s="606">
        <f>'1. key ratios'!B2</f>
        <v>46022</v>
      </c>
    </row>
    <row r="3" spans="1:4" s="21" customFormat="1" ht="15.75" customHeight="1"/>
    <row r="4" spans="1:4" ht="13.5" thickBot="1">
      <c r="A4" s="184" t="s">
        <v>345</v>
      </c>
      <c r="B4" s="213" t="s">
        <v>346</v>
      </c>
    </row>
    <row r="5" spans="1:4" s="214" customFormat="1">
      <c r="A5" s="934" t="s">
        <v>347</v>
      </c>
      <c r="B5" s="935"/>
      <c r="C5" s="203" t="s">
        <v>348</v>
      </c>
      <c r="D5" s="204" t="s">
        <v>349</v>
      </c>
    </row>
    <row r="6" spans="1:4" s="215" customFormat="1">
      <c r="A6" s="205">
        <v>1</v>
      </c>
      <c r="B6" s="206" t="s">
        <v>350</v>
      </c>
      <c r="C6" s="206"/>
      <c r="D6" s="207"/>
    </row>
    <row r="7" spans="1:4" s="215" customFormat="1">
      <c r="A7" s="208" t="s">
        <v>351</v>
      </c>
      <c r="B7" s="209" t="s">
        <v>352</v>
      </c>
      <c r="C7" s="232">
        <v>4.4999999999999998E-2</v>
      </c>
      <c r="D7" s="754">
        <f>C7*'5. RWA'!$C$13</f>
        <v>27679935.877078865</v>
      </c>
    </row>
    <row r="8" spans="1:4" s="215" customFormat="1">
      <c r="A8" s="208" t="s">
        <v>353</v>
      </c>
      <c r="B8" s="209" t="s">
        <v>354</v>
      </c>
      <c r="C8" s="233">
        <v>0.06</v>
      </c>
      <c r="D8" s="754">
        <f>C8*'5. RWA'!$C$13</f>
        <v>36906581.169438481</v>
      </c>
    </row>
    <row r="9" spans="1:4" s="215" customFormat="1">
      <c r="A9" s="208" t="s">
        <v>355</v>
      </c>
      <c r="B9" s="209" t="s">
        <v>356</v>
      </c>
      <c r="C9" s="233">
        <v>0.08</v>
      </c>
      <c r="D9" s="754">
        <f>C9*'5. RWA'!$C$13</f>
        <v>49208774.892584652</v>
      </c>
    </row>
    <row r="10" spans="1:4" s="215" customFormat="1">
      <c r="A10" s="205" t="s">
        <v>357</v>
      </c>
      <c r="B10" s="206" t="s">
        <v>358</v>
      </c>
      <c r="C10" s="234"/>
      <c r="D10" s="755"/>
    </row>
    <row r="11" spans="1:4" s="216" customFormat="1">
      <c r="A11" s="210" t="s">
        <v>359</v>
      </c>
      <c r="B11" s="211" t="s">
        <v>997</v>
      </c>
      <c r="C11" s="235">
        <v>2.5000000000000001E-2</v>
      </c>
      <c r="D11" s="756">
        <f>C11*'5. RWA'!$C$13</f>
        <v>15377742.153932704</v>
      </c>
    </row>
    <row r="12" spans="1:4" s="216" customFormat="1">
      <c r="A12" s="210" t="s">
        <v>360</v>
      </c>
      <c r="B12" s="211" t="s">
        <v>361</v>
      </c>
      <c r="C12" s="235">
        <v>7.4999999999999997E-3</v>
      </c>
      <c r="D12" s="756">
        <f>C12*'5. RWA'!$C$13</f>
        <v>4613322.6461798102</v>
      </c>
    </row>
    <row r="13" spans="1:4" s="216" customFormat="1">
      <c r="A13" s="210" t="s">
        <v>362</v>
      </c>
      <c r="B13" s="211" t="s">
        <v>363</v>
      </c>
      <c r="C13" s="235"/>
      <c r="D13" s="756">
        <f>C13*'5. RWA'!$C$13</f>
        <v>0</v>
      </c>
    </row>
    <row r="14" spans="1:4" s="215" customFormat="1">
      <c r="A14" s="205" t="s">
        <v>364</v>
      </c>
      <c r="B14" s="206" t="s">
        <v>409</v>
      </c>
      <c r="C14" s="236"/>
      <c r="D14" s="755"/>
    </row>
    <row r="15" spans="1:4" s="215" customFormat="1">
      <c r="A15" s="223" t="s">
        <v>367</v>
      </c>
      <c r="B15" s="211" t="s">
        <v>410</v>
      </c>
      <c r="C15" s="235">
        <v>7.5106896479889218E-2</v>
      </c>
      <c r="D15" s="756">
        <f>C15*'5. RWA'!$C$13</f>
        <v>46198979.521994084</v>
      </c>
    </row>
    <row r="16" spans="1:4" s="215" customFormat="1">
      <c r="A16" s="223" t="s">
        <v>368</v>
      </c>
      <c r="B16" s="211" t="s">
        <v>370</v>
      </c>
      <c r="C16" s="235">
        <v>9.6249318622602761E-2</v>
      </c>
      <c r="D16" s="756">
        <f>C16*'5. RWA'!$C$13</f>
        <v>59203888.170803934</v>
      </c>
    </row>
    <row r="17" spans="1:6" s="215" customFormat="1">
      <c r="A17" s="223" t="s">
        <v>369</v>
      </c>
      <c r="B17" s="211" t="s">
        <v>407</v>
      </c>
      <c r="C17" s="235">
        <v>0.12406829512617321</v>
      </c>
      <c r="D17" s="756">
        <f>C17*'5. RWA'!$C$13</f>
        <v>76315610.077132672</v>
      </c>
    </row>
    <row r="18" spans="1:6" s="214" customFormat="1">
      <c r="A18" s="936" t="s">
        <v>408</v>
      </c>
      <c r="B18" s="937"/>
      <c r="C18" s="237" t="s">
        <v>348</v>
      </c>
      <c r="D18" s="757" t="s">
        <v>349</v>
      </c>
    </row>
    <row r="19" spans="1:6" s="215" customFormat="1">
      <c r="A19" s="212">
        <v>4</v>
      </c>
      <c r="B19" s="211" t="s">
        <v>22</v>
      </c>
      <c r="C19" s="235">
        <f>C7+C11+C12+C13+C15</f>
        <v>0.15260689647988923</v>
      </c>
      <c r="D19" s="754">
        <f>C19*'5. RWA'!$C$13</f>
        <v>93869980.199185476</v>
      </c>
    </row>
    <row r="20" spans="1:6" s="215" customFormat="1">
      <c r="A20" s="212">
        <v>5</v>
      </c>
      <c r="B20" s="211" t="s">
        <v>75</v>
      </c>
      <c r="C20" s="235">
        <f>C8+C11+C12+C13+C16</f>
        <v>0.18874931862260275</v>
      </c>
      <c r="D20" s="754">
        <f>C20*'5. RWA'!$C$13</f>
        <v>116101534.14035493</v>
      </c>
    </row>
    <row r="21" spans="1:6" s="215" customFormat="1" ht="13.5" thickBot="1">
      <c r="A21" s="217" t="s">
        <v>365</v>
      </c>
      <c r="B21" s="218" t="s">
        <v>74</v>
      </c>
      <c r="C21" s="238">
        <f>C9+C11+C12+C13+C17</f>
        <v>0.23656829512617322</v>
      </c>
      <c r="D21" s="758">
        <f>C21*'5. RWA'!$C$13</f>
        <v>145515449.76982984</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5" sqref="B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14" t="s">
        <v>97</v>
      </c>
      <c r="B1" s="605" t="str">
        <f>Info!C2</f>
        <v>სს იშბანკი საქართველო</v>
      </c>
    </row>
    <row r="2" spans="1:2">
      <c r="A2" s="515" t="s">
        <v>98</v>
      </c>
      <c r="B2" s="606">
        <f>'1. key ratios'!B2</f>
        <v>46022</v>
      </c>
    </row>
    <row r="3" spans="1:2">
      <c r="A3" s="516" t="s">
        <v>948</v>
      </c>
      <c r="B3" s="510" t="s">
        <v>919</v>
      </c>
    </row>
    <row r="4" spans="1:2" ht="15.75" thickBot="1"/>
    <row r="5" spans="1:2">
      <c r="A5" s="521"/>
      <c r="B5" s="522" t="s">
        <v>920</v>
      </c>
    </row>
    <row r="6" spans="1:2">
      <c r="A6" s="517" t="s">
        <v>921</v>
      </c>
      <c r="B6" s="523">
        <f>SUM(B7,B11)</f>
        <v>157785516.50474495</v>
      </c>
    </row>
    <row r="7" spans="1:2">
      <c r="A7" s="517" t="s">
        <v>954</v>
      </c>
      <c r="B7" s="523">
        <f>SUM(B8:B10)</f>
        <v>157785516.50474495</v>
      </c>
    </row>
    <row r="8" spans="1:2">
      <c r="A8" s="518" t="s">
        <v>922</v>
      </c>
      <c r="B8" s="524">
        <f>'9. Capital'!C29</f>
        <v>157785516.50474495</v>
      </c>
    </row>
    <row r="9" spans="1:2">
      <c r="A9" s="518" t="s">
        <v>923</v>
      </c>
      <c r="B9" s="524">
        <f>'9. Capital'!C42</f>
        <v>0</v>
      </c>
    </row>
    <row r="10" spans="1:2">
      <c r="A10" s="518" t="s">
        <v>924</v>
      </c>
      <c r="B10" s="524">
        <f>'9. Capital'!C53</f>
        <v>0</v>
      </c>
    </row>
    <row r="11" spans="1:2">
      <c r="A11" s="517" t="s">
        <v>925</v>
      </c>
      <c r="B11" s="523">
        <f>SUM(B12:B13)</f>
        <v>0</v>
      </c>
    </row>
    <row r="12" spans="1:2">
      <c r="A12" s="518" t="s">
        <v>955</v>
      </c>
      <c r="B12" s="524"/>
    </row>
    <row r="13" spans="1:2">
      <c r="A13" s="518" t="s">
        <v>956</v>
      </c>
      <c r="B13" s="524"/>
    </row>
    <row r="14" spans="1:2">
      <c r="A14" s="517" t="s">
        <v>926</v>
      </c>
      <c r="B14" s="523">
        <f>SUM(B15:B16)</f>
        <v>157785516.50474495</v>
      </c>
    </row>
    <row r="15" spans="1:2">
      <c r="A15" s="519" t="s">
        <v>927</v>
      </c>
      <c r="B15" s="524"/>
    </row>
    <row r="16" spans="1:2">
      <c r="A16" s="519" t="s">
        <v>74</v>
      </c>
      <c r="B16" s="524">
        <f>B7</f>
        <v>157785516.50474495</v>
      </c>
    </row>
    <row r="17" spans="1:5">
      <c r="A17" s="517" t="s">
        <v>928</v>
      </c>
      <c r="B17" s="523"/>
    </row>
    <row r="18" spans="1:5">
      <c r="A18" s="519" t="s">
        <v>929</v>
      </c>
      <c r="B18" s="524">
        <f>'5. RWA'!C13</f>
        <v>615109686.1573081</v>
      </c>
    </row>
    <row r="19" spans="1:5">
      <c r="A19" s="519" t="s">
        <v>930</v>
      </c>
      <c r="B19" s="524">
        <f>'15.1. LR'!C36</f>
        <v>0</v>
      </c>
    </row>
    <row r="20" spans="1:5">
      <c r="A20" s="517" t="s">
        <v>931</v>
      </c>
      <c r="B20" s="523"/>
    </row>
    <row r="21" spans="1:5">
      <c r="A21" s="520" t="s">
        <v>932</v>
      </c>
      <c r="B21" s="525">
        <f>IFERROR(B6/B18,0)</f>
        <v>0.25651606543616173</v>
      </c>
    </row>
    <row r="22" spans="1:5">
      <c r="A22" s="520" t="s">
        <v>933</v>
      </c>
      <c r="B22" s="525">
        <f>IFERROR(B6/B19,0)</f>
        <v>0</v>
      </c>
    </row>
    <row r="23" spans="1:5" ht="15.7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5"/>
  <cols>
    <col min="1" max="1" width="82" customWidth="1"/>
    <col min="2" max="2" width="28.140625" bestFit="1" customWidth="1"/>
    <col min="3" max="6" width="28.140625" customWidth="1"/>
  </cols>
  <sheetData>
    <row r="1" spans="1:6">
      <c r="A1" s="514" t="s">
        <v>97</v>
      </c>
      <c r="B1" s="605" t="str">
        <f>Info!C2</f>
        <v>სს იშბანკი საქართველო</v>
      </c>
      <c r="C1" s="183"/>
    </row>
    <row r="2" spans="1:6">
      <c r="A2" s="515" t="s">
        <v>98</v>
      </c>
      <c r="B2" s="606">
        <f>'1. key ratios'!B2</f>
        <v>46022</v>
      </c>
      <c r="C2" s="183"/>
    </row>
    <row r="3" spans="1:6">
      <c r="A3" s="516" t="s">
        <v>949</v>
      </c>
      <c r="B3" s="510" t="s">
        <v>919</v>
      </c>
      <c r="C3" s="183"/>
    </row>
    <row r="5" spans="1:6">
      <c r="A5" s="512"/>
    </row>
    <row r="6" spans="1:6" ht="15.75" thickBot="1">
      <c r="A6" s="528"/>
      <c r="B6" s="528"/>
      <c r="C6" s="528"/>
      <c r="D6" s="528"/>
      <c r="E6" s="528"/>
      <c r="F6" s="528"/>
    </row>
    <row r="7" spans="1:6">
      <c r="A7" s="938"/>
      <c r="B7" s="940" t="s">
        <v>935</v>
      </c>
      <c r="C7" s="940"/>
      <c r="D7" s="940"/>
      <c r="E7" s="940"/>
      <c r="F7" s="941" t="s">
        <v>936</v>
      </c>
    </row>
    <row r="8" spans="1:6" ht="25.5">
      <c r="A8" s="939"/>
      <c r="B8" s="529" t="s">
        <v>937</v>
      </c>
      <c r="C8" s="529" t="s">
        <v>938</v>
      </c>
      <c r="D8" s="529" t="s">
        <v>939</v>
      </c>
      <c r="E8" s="529" t="s">
        <v>940</v>
      </c>
      <c r="F8" s="942"/>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7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605" t="str">
        <f>Info!C2</f>
        <v>სს იშბანკი საქართველო</v>
      </c>
      <c r="E1" s="2"/>
      <c r="F1" s="2"/>
    </row>
    <row r="2" spans="1:6" s="21" customFormat="1" ht="15.75" customHeight="1">
      <c r="A2" s="21" t="s">
        <v>98</v>
      </c>
      <c r="B2" s="606">
        <f>'1. key ratios'!B2</f>
        <v>46022</v>
      </c>
    </row>
    <row r="3" spans="1:6" s="21" customFormat="1" ht="15.75" customHeight="1">
      <c r="A3" s="25"/>
    </row>
    <row r="4" spans="1:6" s="21" customFormat="1" ht="15.75" customHeight="1" thickBot="1">
      <c r="A4" s="21" t="s">
        <v>247</v>
      </c>
      <c r="B4" s="122" t="s">
        <v>161</v>
      </c>
      <c r="D4" s="124" t="s">
        <v>76</v>
      </c>
    </row>
    <row r="5" spans="1:6" ht="25.5">
      <c r="A5" s="86" t="s">
        <v>25</v>
      </c>
      <c r="B5" s="87" t="s">
        <v>133</v>
      </c>
      <c r="C5" s="602" t="s">
        <v>826</v>
      </c>
      <c r="D5" s="123" t="s">
        <v>162</v>
      </c>
    </row>
    <row r="6" spans="1:6">
      <c r="A6" s="672">
        <v>1</v>
      </c>
      <c r="B6" s="673" t="s">
        <v>811</v>
      </c>
      <c r="C6" s="759">
        <f>SUM(C7:C9)</f>
        <v>207374912.80714548</v>
      </c>
      <c r="D6" s="777"/>
      <c r="E6" s="7"/>
    </row>
    <row r="7" spans="1:6">
      <c r="A7" s="672">
        <v>1.1000000000000001</v>
      </c>
      <c r="B7" s="674" t="s">
        <v>85</v>
      </c>
      <c r="C7" s="760">
        <f>'7. LI1'!C9</f>
        <v>1117140.7106999999</v>
      </c>
      <c r="D7" s="82"/>
      <c r="E7" s="7"/>
    </row>
    <row r="8" spans="1:6">
      <c r="A8" s="672">
        <v>1.2</v>
      </c>
      <c r="B8" s="674" t="s">
        <v>86</v>
      </c>
      <c r="C8" s="760">
        <f>'7. LI1'!C10</f>
        <v>71963557.656065583</v>
      </c>
      <c r="D8" s="82"/>
      <c r="E8" s="7"/>
    </row>
    <row r="9" spans="1:6">
      <c r="A9" s="672">
        <v>1.3</v>
      </c>
      <c r="B9" s="674" t="s">
        <v>87</v>
      </c>
      <c r="C9" s="761">
        <f>'7. LI1'!C11</f>
        <v>134294214.44037989</v>
      </c>
      <c r="D9" s="82"/>
      <c r="E9" s="7"/>
    </row>
    <row r="10" spans="1:6">
      <c r="A10" s="672">
        <v>2</v>
      </c>
      <c r="B10" s="675" t="s">
        <v>698</v>
      </c>
      <c r="C10" s="761">
        <f>'7. LI1'!C12</f>
        <v>0</v>
      </c>
      <c r="D10" s="82"/>
      <c r="E10" s="7"/>
    </row>
    <row r="11" spans="1:6">
      <c r="A11" s="672">
        <v>2.1</v>
      </c>
      <c r="B11" s="676" t="s">
        <v>699</v>
      </c>
      <c r="C11" s="762">
        <f>'7. LI1'!C13</f>
        <v>0</v>
      </c>
      <c r="D11" s="83"/>
      <c r="E11" s="8"/>
    </row>
    <row r="12" spans="1:6" ht="23.45" customHeight="1">
      <c r="A12" s="672">
        <v>3</v>
      </c>
      <c r="B12" s="328" t="s">
        <v>700</v>
      </c>
      <c r="C12" s="763">
        <f>'7. LI1'!C14</f>
        <v>0</v>
      </c>
      <c r="D12" s="83"/>
      <c r="E12" s="8"/>
    </row>
    <row r="13" spans="1:6" ht="23.1" customHeight="1">
      <c r="A13" s="672">
        <v>4</v>
      </c>
      <c r="B13" s="329" t="s">
        <v>701</v>
      </c>
      <c r="C13" s="763">
        <f>'7. LI1'!C15</f>
        <v>0</v>
      </c>
      <c r="D13" s="83"/>
      <c r="E13" s="8"/>
    </row>
    <row r="14" spans="1:6">
      <c r="A14" s="672">
        <v>5</v>
      </c>
      <c r="B14" s="329" t="s">
        <v>702</v>
      </c>
      <c r="C14" s="763">
        <f>SUM(C15:C17)</f>
        <v>0</v>
      </c>
      <c r="D14" s="83"/>
      <c r="E14" s="8"/>
    </row>
    <row r="15" spans="1:6">
      <c r="A15" s="672">
        <v>5.0999999999999996</v>
      </c>
      <c r="B15" s="330" t="s">
        <v>703</v>
      </c>
      <c r="C15" s="761">
        <f>'7. LI1'!C17</f>
        <v>0</v>
      </c>
      <c r="D15" s="83"/>
      <c r="E15" s="7"/>
    </row>
    <row r="16" spans="1:6">
      <c r="A16" s="672">
        <v>5.2</v>
      </c>
      <c r="B16" s="330" t="s">
        <v>538</v>
      </c>
      <c r="C16" s="761">
        <f>'7. LI1'!C18</f>
        <v>0</v>
      </c>
      <c r="D16" s="82"/>
      <c r="E16" s="7"/>
    </row>
    <row r="17" spans="1:5">
      <c r="A17" s="672">
        <v>5.3</v>
      </c>
      <c r="B17" s="330" t="s">
        <v>704</v>
      </c>
      <c r="C17" s="761">
        <f>'7. LI1'!C19</f>
        <v>0</v>
      </c>
      <c r="D17" s="82"/>
      <c r="E17" s="7"/>
    </row>
    <row r="18" spans="1:5">
      <c r="A18" s="672">
        <v>6</v>
      </c>
      <c r="B18" s="328" t="s">
        <v>705</v>
      </c>
      <c r="C18" s="764">
        <f>SUM(C19:C20)</f>
        <v>406219517.6116612</v>
      </c>
      <c r="D18" s="82"/>
      <c r="E18" s="7"/>
    </row>
    <row r="19" spans="1:5">
      <c r="A19" s="672">
        <v>6.1</v>
      </c>
      <c r="B19" s="330" t="s">
        <v>538</v>
      </c>
      <c r="C19" s="765">
        <f>'7. LI1'!C21</f>
        <v>80161781.72397092</v>
      </c>
      <c r="D19" s="82"/>
      <c r="E19" s="7"/>
    </row>
    <row r="20" spans="1:5">
      <c r="A20" s="672">
        <v>6.2</v>
      </c>
      <c r="B20" s="330" t="s">
        <v>704</v>
      </c>
      <c r="C20" s="765">
        <f>'7. LI1'!C22</f>
        <v>326057735.88769031</v>
      </c>
      <c r="D20" s="82"/>
      <c r="E20" s="7"/>
    </row>
    <row r="21" spans="1:5">
      <c r="A21" s="672">
        <v>7</v>
      </c>
      <c r="B21" s="331" t="s">
        <v>706</v>
      </c>
      <c r="C21" s="764">
        <f>'7. LI1'!C23</f>
        <v>0</v>
      </c>
      <c r="D21" s="82"/>
      <c r="E21" s="7"/>
    </row>
    <row r="22" spans="1:5">
      <c r="A22" s="672">
        <v>8</v>
      </c>
      <c r="B22" s="332" t="s">
        <v>707</v>
      </c>
      <c r="C22" s="764">
        <f>'7. LI1'!C24</f>
        <v>0</v>
      </c>
      <c r="D22" s="82"/>
      <c r="E22" s="7"/>
    </row>
    <row r="23" spans="1:5">
      <c r="A23" s="672">
        <v>9</v>
      </c>
      <c r="B23" s="329" t="s">
        <v>708</v>
      </c>
      <c r="C23" s="764">
        <f>SUM(C24:C25)</f>
        <v>6350792.4699999988</v>
      </c>
      <c r="D23" s="358"/>
      <c r="E23" s="7"/>
    </row>
    <row r="24" spans="1:5">
      <c r="A24" s="672">
        <v>9.1</v>
      </c>
      <c r="B24" s="333" t="s">
        <v>709</v>
      </c>
      <c r="C24" s="766">
        <f>'7. LI1'!C26</f>
        <v>6350792.4699999988</v>
      </c>
      <c r="D24" s="84"/>
      <c r="E24" s="7"/>
    </row>
    <row r="25" spans="1:5">
      <c r="A25" s="672">
        <v>9.1999999999999993</v>
      </c>
      <c r="B25" s="333" t="s">
        <v>710</v>
      </c>
      <c r="C25" s="766">
        <f>'7. LI1'!C27</f>
        <v>0</v>
      </c>
      <c r="D25" s="357"/>
      <c r="E25" s="6"/>
    </row>
    <row r="26" spans="1:5">
      <c r="A26" s="672">
        <v>10</v>
      </c>
      <c r="B26" s="329" t="s">
        <v>36</v>
      </c>
      <c r="C26" s="767">
        <f>SUM(C27:C28)</f>
        <v>2515703.7999999998</v>
      </c>
      <c r="D26" s="507" t="s">
        <v>903</v>
      </c>
      <c r="E26" s="7"/>
    </row>
    <row r="27" spans="1:5">
      <c r="A27" s="672">
        <v>10.1</v>
      </c>
      <c r="B27" s="333" t="s">
        <v>711</v>
      </c>
      <c r="C27" s="766">
        <f>'7. LI1'!C29</f>
        <v>0</v>
      </c>
      <c r="D27" s="82"/>
      <c r="E27" s="7"/>
    </row>
    <row r="28" spans="1:5">
      <c r="A28" s="672">
        <v>10.199999999999999</v>
      </c>
      <c r="B28" s="333" t="s">
        <v>712</v>
      </c>
      <c r="C28" s="766">
        <f>'7. LI1'!C30</f>
        <v>2515703.7999999998</v>
      </c>
      <c r="D28" s="82"/>
      <c r="E28" s="7"/>
    </row>
    <row r="29" spans="1:5">
      <c r="A29" s="672">
        <v>11</v>
      </c>
      <c r="B29" s="329" t="s">
        <v>713</v>
      </c>
      <c r="C29" s="768">
        <f>SUM(C30:C31)</f>
        <v>668250.07584060344</v>
      </c>
      <c r="D29" s="82"/>
      <c r="E29" s="7"/>
    </row>
    <row r="30" spans="1:5">
      <c r="A30" s="672">
        <v>11.1</v>
      </c>
      <c r="B30" s="333" t="s">
        <v>714</v>
      </c>
      <c r="C30" s="766">
        <f>'7. LI1'!C32</f>
        <v>668250.07584060344</v>
      </c>
      <c r="D30" s="82"/>
      <c r="E30" s="7"/>
    </row>
    <row r="31" spans="1:5">
      <c r="A31" s="672">
        <v>11.2</v>
      </c>
      <c r="B31" s="333" t="s">
        <v>715</v>
      </c>
      <c r="C31" s="766">
        <f>'7. LI1'!C33</f>
        <v>0</v>
      </c>
      <c r="D31" s="82"/>
      <c r="E31" s="7"/>
    </row>
    <row r="32" spans="1:5">
      <c r="A32" s="672">
        <v>13</v>
      </c>
      <c r="B32" s="329" t="s">
        <v>88</v>
      </c>
      <c r="C32" s="768">
        <f>'7. LI1'!C34</f>
        <v>2897068.8392420001</v>
      </c>
      <c r="D32" s="82"/>
      <c r="E32" s="7"/>
    </row>
    <row r="33" spans="1:5">
      <c r="A33" s="672">
        <v>13.1</v>
      </c>
      <c r="B33" s="677" t="s">
        <v>716</v>
      </c>
      <c r="C33" s="760">
        <f>'7. LI1'!C35</f>
        <v>1349093.18</v>
      </c>
      <c r="D33" s="82"/>
      <c r="E33" s="7"/>
    </row>
    <row r="34" spans="1:5">
      <c r="A34" s="672">
        <v>13.2</v>
      </c>
      <c r="B34" s="677" t="s">
        <v>717</v>
      </c>
      <c r="C34" s="769"/>
      <c r="D34" s="84"/>
      <c r="E34" s="7"/>
    </row>
    <row r="35" spans="1:5">
      <c r="A35" s="672">
        <v>14</v>
      </c>
      <c r="B35" s="550" t="s">
        <v>718</v>
      </c>
      <c r="C35" s="770">
        <f>SUM(C6,C10,C12,C13,C14,C18,C21,C22,C23,C26,C29,C32)</f>
        <v>626026245.60388923</v>
      </c>
      <c r="D35" s="84"/>
      <c r="E35" s="7"/>
    </row>
    <row r="36" spans="1:5">
      <c r="A36" s="672"/>
      <c r="B36" s="678" t="s">
        <v>93</v>
      </c>
      <c r="C36" s="771"/>
      <c r="D36" s="85"/>
      <c r="E36" s="7"/>
    </row>
    <row r="37" spans="1:5">
      <c r="A37" s="672">
        <v>15</v>
      </c>
      <c r="B37" s="335" t="s">
        <v>719</v>
      </c>
      <c r="C37" s="772">
        <f>'2. SOFP'!E38</f>
        <v>0</v>
      </c>
      <c r="D37" s="357"/>
      <c r="E37" s="6"/>
    </row>
    <row r="38" spans="1:5">
      <c r="A38" s="672">
        <v>15.1</v>
      </c>
      <c r="B38" s="676" t="s">
        <v>699</v>
      </c>
      <c r="C38" s="760">
        <f>'2. SOFP'!E39</f>
        <v>0</v>
      </c>
      <c r="D38" s="82"/>
      <c r="E38" s="7"/>
    </row>
    <row r="39" spans="1:5" ht="21">
      <c r="A39" s="672">
        <v>16</v>
      </c>
      <c r="B39" s="331" t="s">
        <v>720</v>
      </c>
      <c r="C39" s="768">
        <f>'2. SOFP'!E40</f>
        <v>0</v>
      </c>
      <c r="D39" s="82"/>
      <c r="E39" s="7"/>
    </row>
    <row r="40" spans="1:5">
      <c r="A40" s="672">
        <v>17</v>
      </c>
      <c r="B40" s="331" t="s">
        <v>721</v>
      </c>
      <c r="C40" s="768">
        <f>SUM(C41:C44)</f>
        <v>448165056.48617351</v>
      </c>
      <c r="D40" s="82"/>
      <c r="E40" s="7"/>
    </row>
    <row r="41" spans="1:5">
      <c r="A41" s="672">
        <v>17.100000000000001</v>
      </c>
      <c r="B41" s="336" t="s">
        <v>722</v>
      </c>
      <c r="C41" s="760">
        <f>'2. SOFP'!E42</f>
        <v>387043243.1821003</v>
      </c>
      <c r="D41" s="82"/>
      <c r="E41" s="7"/>
    </row>
    <row r="42" spans="1:5">
      <c r="A42" s="778">
        <v>17.2</v>
      </c>
      <c r="B42" s="779" t="s">
        <v>89</v>
      </c>
      <c r="C42" s="760">
        <f>'2. SOFP'!E43</f>
        <v>57424970.318376265</v>
      </c>
      <c r="D42" s="84"/>
      <c r="E42" s="7"/>
    </row>
    <row r="43" spans="1:5">
      <c r="A43" s="672">
        <v>17.3</v>
      </c>
      <c r="B43" s="780" t="s">
        <v>723</v>
      </c>
      <c r="C43" s="760">
        <f>'2. SOFP'!E44</f>
        <v>0</v>
      </c>
      <c r="D43" s="781"/>
      <c r="E43" s="7"/>
    </row>
    <row r="44" spans="1:5">
      <c r="A44" s="672">
        <v>17.399999999999999</v>
      </c>
      <c r="B44" s="780" t="s">
        <v>724</v>
      </c>
      <c r="C44" s="760">
        <f>'2. SOFP'!E45</f>
        <v>3696842.9856970003</v>
      </c>
      <c r="D44" s="781"/>
      <c r="E44" s="7"/>
    </row>
    <row r="45" spans="1:5">
      <c r="A45" s="672">
        <v>18</v>
      </c>
      <c r="B45" s="782" t="s">
        <v>725</v>
      </c>
      <c r="C45" s="768">
        <f>'2. SOFP'!E46</f>
        <v>272236.89903309161</v>
      </c>
      <c r="D45" s="783"/>
      <c r="E45" s="6"/>
    </row>
    <row r="46" spans="1:5">
      <c r="A46" s="672">
        <v>19</v>
      </c>
      <c r="B46" s="782" t="s">
        <v>726</v>
      </c>
      <c r="C46" s="768">
        <f>SUM(C47:C48)</f>
        <v>0</v>
      </c>
      <c r="D46" s="784"/>
    </row>
    <row r="47" spans="1:5">
      <c r="A47" s="672">
        <v>19.100000000000001</v>
      </c>
      <c r="B47" s="785" t="s">
        <v>727</v>
      </c>
      <c r="C47" s="760">
        <f>'2. SOFP'!E48</f>
        <v>0</v>
      </c>
      <c r="D47" s="784"/>
    </row>
    <row r="48" spans="1:5">
      <c r="A48" s="672">
        <v>19.2</v>
      </c>
      <c r="B48" s="785" t="s">
        <v>728</v>
      </c>
      <c r="C48" s="760">
        <f>'2. SOFP'!E49</f>
        <v>0</v>
      </c>
      <c r="D48" s="784"/>
    </row>
    <row r="49" spans="1:4">
      <c r="A49" s="672">
        <v>20</v>
      </c>
      <c r="B49" s="550" t="s">
        <v>90</v>
      </c>
      <c r="C49" s="768">
        <f>'2. SOFP'!E50</f>
        <v>13478773.576264</v>
      </c>
      <c r="D49" s="784"/>
    </row>
    <row r="50" spans="1:4">
      <c r="A50" s="672">
        <v>21</v>
      </c>
      <c r="B50" s="675" t="s">
        <v>78</v>
      </c>
      <c r="C50" s="768">
        <f>'2. SOFP'!E51</f>
        <v>3808958.3376737004</v>
      </c>
      <c r="D50" s="784"/>
    </row>
    <row r="51" spans="1:4">
      <c r="A51" s="672">
        <v>21.1</v>
      </c>
      <c r="B51" s="674" t="s">
        <v>729</v>
      </c>
      <c r="C51" s="760">
        <f>'2. SOFP'!E52</f>
        <v>0</v>
      </c>
      <c r="D51" s="784"/>
    </row>
    <row r="52" spans="1:4">
      <c r="A52" s="672">
        <v>22</v>
      </c>
      <c r="B52" s="550" t="s">
        <v>730</v>
      </c>
      <c r="C52" s="768">
        <f>SUM(C37,C39,C40,C45,C46,C49,C50)</f>
        <v>465725025.29914433</v>
      </c>
      <c r="D52" s="784"/>
    </row>
    <row r="53" spans="1:4">
      <c r="A53" s="672"/>
      <c r="B53" s="678" t="s">
        <v>731</v>
      </c>
      <c r="C53" s="773"/>
      <c r="D53" s="784"/>
    </row>
    <row r="54" spans="1:4">
      <c r="A54" s="672">
        <v>23</v>
      </c>
      <c r="B54" s="550" t="s">
        <v>94</v>
      </c>
      <c r="C54" s="768">
        <f>'2. SOFP'!E55</f>
        <v>69161600</v>
      </c>
      <c r="D54" s="507" t="s">
        <v>1022</v>
      </c>
    </row>
    <row r="55" spans="1:4">
      <c r="A55" s="672">
        <v>24</v>
      </c>
      <c r="B55" s="550" t="s">
        <v>732</v>
      </c>
      <c r="C55" s="768">
        <f>'2. SOFP'!E56</f>
        <v>0</v>
      </c>
      <c r="D55" s="784"/>
    </row>
    <row r="56" spans="1:4">
      <c r="A56" s="672">
        <v>25</v>
      </c>
      <c r="B56" s="679" t="s">
        <v>91</v>
      </c>
      <c r="C56" s="768">
        <f>'2. SOFP'!E57</f>
        <v>0</v>
      </c>
      <c r="D56" s="784"/>
    </row>
    <row r="57" spans="1:4">
      <c r="A57" s="672">
        <v>26</v>
      </c>
      <c r="B57" s="782" t="s">
        <v>733</v>
      </c>
      <c r="C57" s="768">
        <f>'2. SOFP'!E58</f>
        <v>0</v>
      </c>
      <c r="D57" s="784"/>
    </row>
    <row r="58" spans="1:4">
      <c r="A58" s="672">
        <v>27</v>
      </c>
      <c r="B58" s="782" t="s">
        <v>734</v>
      </c>
      <c r="C58" s="774">
        <f>SUM(C59:C60)</f>
        <v>0</v>
      </c>
      <c r="D58" s="784"/>
    </row>
    <row r="59" spans="1:4">
      <c r="A59" s="672">
        <v>27.1</v>
      </c>
      <c r="B59" s="786" t="s">
        <v>735</v>
      </c>
      <c r="C59" s="775">
        <f>'2. SOFP'!E60</f>
        <v>0</v>
      </c>
      <c r="D59" s="784"/>
    </row>
    <row r="60" spans="1:4">
      <c r="A60" s="672">
        <v>27.2</v>
      </c>
      <c r="B60" s="780" t="s">
        <v>736</v>
      </c>
      <c r="C60" s="775">
        <f>'2. SOFP'!E61</f>
        <v>0</v>
      </c>
      <c r="D60" s="784"/>
    </row>
    <row r="61" spans="1:4">
      <c r="A61" s="672">
        <v>28</v>
      </c>
      <c r="B61" s="675" t="s">
        <v>737</v>
      </c>
      <c r="C61" s="774">
        <f>'2. SOFP'!E62</f>
        <v>0</v>
      </c>
      <c r="D61" s="784"/>
    </row>
    <row r="62" spans="1:4">
      <c r="A62" s="672">
        <v>29</v>
      </c>
      <c r="B62" s="782" t="s">
        <v>738</v>
      </c>
      <c r="C62" s="774">
        <f>SUM(C63:C65)</f>
        <v>0</v>
      </c>
      <c r="D62" s="784"/>
    </row>
    <row r="63" spans="1:4">
      <c r="A63" s="672">
        <v>29.1</v>
      </c>
      <c r="B63" s="787" t="s">
        <v>739</v>
      </c>
      <c r="C63" s="775">
        <f>'2. SOFP'!E64</f>
        <v>0</v>
      </c>
      <c r="D63" s="784"/>
    </row>
    <row r="64" spans="1:4" ht="24" customHeight="1">
      <c r="A64" s="672">
        <v>29.2</v>
      </c>
      <c r="B64" s="786" t="s">
        <v>740</v>
      </c>
      <c r="C64" s="775">
        <f>'2. SOFP'!E65</f>
        <v>0</v>
      </c>
      <c r="D64" s="784"/>
    </row>
    <row r="65" spans="1:4" ht="21.95" customHeight="1">
      <c r="A65" s="672">
        <v>29.3</v>
      </c>
      <c r="B65" s="788" t="s">
        <v>741</v>
      </c>
      <c r="C65" s="775">
        <f>'2. SOFP'!E66</f>
        <v>0</v>
      </c>
      <c r="D65" s="784"/>
    </row>
    <row r="66" spans="1:4">
      <c r="A66" s="672">
        <v>30</v>
      </c>
      <c r="B66" s="789" t="s">
        <v>92</v>
      </c>
      <c r="C66" s="768">
        <f>'2. SOFP'!E67</f>
        <v>91139620.304744974</v>
      </c>
      <c r="D66" s="507" t="s">
        <v>1023</v>
      </c>
    </row>
    <row r="67" spans="1:4">
      <c r="A67" s="672">
        <v>31</v>
      </c>
      <c r="B67" s="680" t="s">
        <v>742</v>
      </c>
      <c r="C67" s="768">
        <f>SUM(C54,C55,C56,C57,C58,C61,C62,C66)</f>
        <v>160301220.30474496</v>
      </c>
      <c r="D67" s="784"/>
    </row>
    <row r="68" spans="1:4" ht="16.5" thickBot="1">
      <c r="A68" s="681">
        <v>32</v>
      </c>
      <c r="B68" s="682" t="s">
        <v>743</v>
      </c>
      <c r="C68" s="776">
        <f>SUM(C52,C67)</f>
        <v>626026245.60388923</v>
      </c>
      <c r="D68" s="79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1.42578125" style="2" bestFit="1" customWidth="1"/>
    <col min="4" max="4" width="14.28515625" style="2" bestFit="1" customWidth="1"/>
    <col min="5" max="5" width="11.42578125" style="2" bestFit="1" customWidth="1"/>
    <col min="6" max="6" width="14.28515625" style="2" bestFit="1" customWidth="1"/>
    <col min="7" max="7" width="10.140625" style="2" bestFit="1" customWidth="1"/>
    <col min="8" max="8" width="14.28515625" style="2" bestFit="1" customWidth="1"/>
    <col min="9" max="9" width="12.42578125" style="2" bestFit="1" customWidth="1"/>
    <col min="10" max="10" width="14.28515625" style="2" bestFit="1" customWidth="1"/>
    <col min="11" max="11" width="10.140625" style="2" bestFit="1" customWidth="1"/>
    <col min="12" max="12" width="14.28515625" style="2" bestFit="1" customWidth="1"/>
    <col min="13" max="13" width="12.425781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6.7109375" style="2" bestFit="1" customWidth="1"/>
    <col min="20" max="16384" width="9.140625" style="12"/>
  </cols>
  <sheetData>
    <row r="1" spans="1:19">
      <c r="A1" s="2" t="s">
        <v>97</v>
      </c>
      <c r="B1" s="605" t="str">
        <f>Info!C2</f>
        <v>სს იშბანკი საქართველო</v>
      </c>
    </row>
    <row r="2" spans="1:19">
      <c r="A2" s="2" t="s">
        <v>98</v>
      </c>
      <c r="B2" s="606">
        <f>'1. key ratios'!B2</f>
        <v>46022</v>
      </c>
    </row>
    <row r="4" spans="1:19" ht="26.25"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947" t="s">
        <v>274</v>
      </c>
      <c r="C6" s="945">
        <v>0</v>
      </c>
      <c r="D6" s="946"/>
      <c r="E6" s="945">
        <v>0.2</v>
      </c>
      <c r="F6" s="946"/>
      <c r="G6" s="945">
        <v>0.35</v>
      </c>
      <c r="H6" s="946"/>
      <c r="I6" s="945">
        <v>0.5</v>
      </c>
      <c r="J6" s="946"/>
      <c r="K6" s="945">
        <v>0.75</v>
      </c>
      <c r="L6" s="946"/>
      <c r="M6" s="945">
        <v>1</v>
      </c>
      <c r="N6" s="946"/>
      <c r="O6" s="945">
        <v>1.5</v>
      </c>
      <c r="P6" s="946"/>
      <c r="Q6" s="945">
        <v>2.5</v>
      </c>
      <c r="R6" s="946"/>
      <c r="S6" s="943" t="s">
        <v>145</v>
      </c>
    </row>
    <row r="7" spans="1:19">
      <c r="A7" s="89"/>
      <c r="B7" s="948"/>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944"/>
    </row>
    <row r="8" spans="1:19" s="92" customFormat="1">
      <c r="A8" s="70">
        <v>1</v>
      </c>
      <c r="B8" s="98" t="s">
        <v>123</v>
      </c>
      <c r="C8" s="791">
        <v>22636562.458836444</v>
      </c>
      <c r="D8" s="791"/>
      <c r="E8" s="791"/>
      <c r="F8" s="791"/>
      <c r="G8" s="791"/>
      <c r="H8" s="791"/>
      <c r="I8" s="791"/>
      <c r="J8" s="791"/>
      <c r="K8" s="791"/>
      <c r="L8" s="791"/>
      <c r="M8" s="791">
        <v>49326995.197229125</v>
      </c>
      <c r="N8" s="791"/>
      <c r="O8" s="791"/>
      <c r="P8" s="791"/>
      <c r="Q8" s="791"/>
      <c r="R8" s="791"/>
      <c r="S8" s="792">
        <f>$C$6*SUM(C8:D8)+$E$6*SUM(E8:F8)+$G$6*SUM(G8:H8)+$I$6*SUM(I8:J8)+$K$6*SUM(K8:L8)+$M$6*SUM(M8:N8)+$O$6*SUM(O8:P8)+$Q$6*SUM(Q8:R8)</f>
        <v>49326995.197229125</v>
      </c>
    </row>
    <row r="9" spans="1:19" s="92" customFormat="1">
      <c r="A9" s="70">
        <v>2</v>
      </c>
      <c r="B9" s="98" t="s">
        <v>124</v>
      </c>
      <c r="C9" s="793"/>
      <c r="D9" s="793"/>
      <c r="E9" s="793"/>
      <c r="F9" s="793"/>
      <c r="G9" s="793"/>
      <c r="H9" s="793"/>
      <c r="I9" s="793"/>
      <c r="J9" s="793"/>
      <c r="K9" s="793"/>
      <c r="L9" s="793"/>
      <c r="M9" s="793"/>
      <c r="N9" s="793"/>
      <c r="O9" s="793"/>
      <c r="P9" s="793"/>
      <c r="Q9" s="793"/>
      <c r="R9" s="793"/>
      <c r="S9" s="794">
        <f t="shared" ref="S9:S21" si="0">$C$6*SUM(C9:D9)+$E$6*SUM(E9:F9)+$G$6*SUM(G9:H9)+$I$6*SUM(I9:J9)+$K$6*SUM(K9:L9)+$M$6*SUM(M9:N9)+$O$6*SUM(O9:P9)+$Q$6*SUM(Q9:R9)</f>
        <v>0</v>
      </c>
    </row>
    <row r="10" spans="1:19" s="92" customFormat="1">
      <c r="A10" s="70">
        <v>3</v>
      </c>
      <c r="B10" s="98" t="s">
        <v>125</v>
      </c>
      <c r="C10" s="793"/>
      <c r="D10" s="793"/>
      <c r="E10" s="793"/>
      <c r="F10" s="793"/>
      <c r="G10" s="793"/>
      <c r="H10" s="793"/>
      <c r="I10" s="793"/>
      <c r="J10" s="793"/>
      <c r="K10" s="793"/>
      <c r="L10" s="793"/>
      <c r="M10" s="793"/>
      <c r="N10" s="793"/>
      <c r="O10" s="793"/>
      <c r="P10" s="793"/>
      <c r="Q10" s="793"/>
      <c r="R10" s="793"/>
      <c r="S10" s="794">
        <f t="shared" si="0"/>
        <v>0</v>
      </c>
    </row>
    <row r="11" spans="1:19" s="92" customFormat="1">
      <c r="A11" s="70">
        <v>4</v>
      </c>
      <c r="B11" s="98" t="s">
        <v>126</v>
      </c>
      <c r="C11" s="793"/>
      <c r="D11" s="793"/>
      <c r="E11" s="793"/>
      <c r="F11" s="793"/>
      <c r="G11" s="793"/>
      <c r="H11" s="793"/>
      <c r="I11" s="793"/>
      <c r="J11" s="793"/>
      <c r="K11" s="793"/>
      <c r="L11" s="793"/>
      <c r="M11" s="793"/>
      <c r="N11" s="793"/>
      <c r="O11" s="793"/>
      <c r="P11" s="793"/>
      <c r="Q11" s="793"/>
      <c r="R11" s="793"/>
      <c r="S11" s="794">
        <f t="shared" si="0"/>
        <v>0</v>
      </c>
    </row>
    <row r="12" spans="1:19" s="92" customFormat="1">
      <c r="A12" s="70">
        <v>5</v>
      </c>
      <c r="B12" s="98" t="s">
        <v>912</v>
      </c>
      <c r="C12" s="793"/>
      <c r="D12" s="793"/>
      <c r="E12" s="793"/>
      <c r="F12" s="793"/>
      <c r="G12" s="793"/>
      <c r="H12" s="793"/>
      <c r="I12" s="793"/>
      <c r="J12" s="793"/>
      <c r="K12" s="793"/>
      <c r="L12" s="793"/>
      <c r="M12" s="793"/>
      <c r="N12" s="793"/>
      <c r="O12" s="793"/>
      <c r="P12" s="793"/>
      <c r="Q12" s="793"/>
      <c r="R12" s="793"/>
      <c r="S12" s="794">
        <f t="shared" si="0"/>
        <v>0</v>
      </c>
    </row>
    <row r="13" spans="1:19" s="92" customFormat="1">
      <c r="A13" s="70">
        <v>6</v>
      </c>
      <c r="B13" s="98" t="s">
        <v>127</v>
      </c>
      <c r="C13" s="793"/>
      <c r="D13" s="793"/>
      <c r="E13" s="793">
        <v>4527.7812067646255</v>
      </c>
      <c r="F13" s="793">
        <v>0</v>
      </c>
      <c r="G13" s="793"/>
      <c r="H13" s="793"/>
      <c r="I13" s="793">
        <v>135153419.82471868</v>
      </c>
      <c r="J13" s="793">
        <v>19863955.176839776</v>
      </c>
      <c r="K13" s="793"/>
      <c r="L13" s="793"/>
      <c r="M13" s="793">
        <v>166081.68606976664</v>
      </c>
      <c r="N13" s="793">
        <v>41265474.771749698</v>
      </c>
      <c r="O13" s="793"/>
      <c r="P13" s="793"/>
      <c r="Q13" s="793"/>
      <c r="R13" s="793"/>
      <c r="S13" s="794">
        <f t="shared" si="0"/>
        <v>118941149.51484004</v>
      </c>
    </row>
    <row r="14" spans="1:19" s="92" customFormat="1">
      <c r="A14" s="70">
        <v>7</v>
      </c>
      <c r="B14" s="98" t="s">
        <v>71</v>
      </c>
      <c r="C14" s="793"/>
      <c r="D14" s="793"/>
      <c r="E14" s="793"/>
      <c r="F14" s="793"/>
      <c r="G14" s="793"/>
      <c r="H14" s="793"/>
      <c r="I14" s="793"/>
      <c r="J14" s="793"/>
      <c r="K14" s="793"/>
      <c r="L14" s="793"/>
      <c r="M14" s="793">
        <v>400210018.46715796</v>
      </c>
      <c r="N14" s="793">
        <v>2142483.2554389955</v>
      </c>
      <c r="O14" s="793"/>
      <c r="P14" s="793"/>
      <c r="Q14" s="793"/>
      <c r="R14" s="793"/>
      <c r="S14" s="794">
        <f t="shared" si="0"/>
        <v>402352501.72259694</v>
      </c>
    </row>
    <row r="15" spans="1:19" s="92" customFormat="1">
      <c r="A15" s="70">
        <v>8</v>
      </c>
      <c r="B15" s="98" t="s">
        <v>72</v>
      </c>
      <c r="C15" s="793"/>
      <c r="D15" s="793"/>
      <c r="E15" s="793"/>
      <c r="F15" s="793"/>
      <c r="G15" s="793"/>
      <c r="H15" s="793"/>
      <c r="I15" s="793"/>
      <c r="J15" s="793"/>
      <c r="K15" s="793"/>
      <c r="L15" s="793"/>
      <c r="M15" s="793"/>
      <c r="N15" s="793">
        <v>0</v>
      </c>
      <c r="O15" s="793"/>
      <c r="P15" s="793"/>
      <c r="Q15" s="793"/>
      <c r="R15" s="793"/>
      <c r="S15" s="794">
        <f t="shared" si="0"/>
        <v>0</v>
      </c>
    </row>
    <row r="16" spans="1:19" s="92" customFormat="1">
      <c r="A16" s="70">
        <v>9</v>
      </c>
      <c r="B16" s="98" t="s">
        <v>913</v>
      </c>
      <c r="C16" s="793"/>
      <c r="D16" s="793"/>
      <c r="E16" s="793"/>
      <c r="F16" s="793"/>
      <c r="G16" s="793"/>
      <c r="H16" s="793"/>
      <c r="I16" s="793"/>
      <c r="J16" s="793"/>
      <c r="K16" s="793"/>
      <c r="L16" s="793"/>
      <c r="M16" s="793"/>
      <c r="N16" s="793"/>
      <c r="O16" s="793"/>
      <c r="P16" s="793"/>
      <c r="Q16" s="793"/>
      <c r="R16" s="793"/>
      <c r="S16" s="794">
        <f t="shared" si="0"/>
        <v>0</v>
      </c>
    </row>
    <row r="17" spans="1:19" s="92" customFormat="1">
      <c r="A17" s="70">
        <v>10</v>
      </c>
      <c r="B17" s="98" t="s">
        <v>67</v>
      </c>
      <c r="C17" s="793"/>
      <c r="D17" s="793"/>
      <c r="E17" s="793"/>
      <c r="F17" s="793"/>
      <c r="G17" s="793"/>
      <c r="H17" s="793"/>
      <c r="I17" s="793"/>
      <c r="J17" s="793"/>
      <c r="K17" s="793"/>
      <c r="L17" s="793"/>
      <c r="M17" s="793">
        <v>5115.9217759998282</v>
      </c>
      <c r="N17" s="793"/>
      <c r="O17" s="793"/>
      <c r="P17" s="793"/>
      <c r="Q17" s="793"/>
      <c r="R17" s="793"/>
      <c r="S17" s="794">
        <f t="shared" si="0"/>
        <v>5115.9217759998282</v>
      </c>
    </row>
    <row r="18" spans="1:19" s="92" customFormat="1">
      <c r="A18" s="70">
        <v>11</v>
      </c>
      <c r="B18" s="98" t="s">
        <v>68</v>
      </c>
      <c r="C18" s="793"/>
      <c r="D18" s="793"/>
      <c r="E18" s="793"/>
      <c r="F18" s="793"/>
      <c r="G18" s="793"/>
      <c r="H18" s="793"/>
      <c r="I18" s="793"/>
      <c r="J18" s="793"/>
      <c r="K18" s="793"/>
      <c r="L18" s="793"/>
      <c r="M18" s="793"/>
      <c r="N18" s="793"/>
      <c r="O18" s="793"/>
      <c r="P18" s="793"/>
      <c r="Q18" s="793"/>
      <c r="R18" s="793"/>
      <c r="S18" s="794">
        <f t="shared" si="0"/>
        <v>0</v>
      </c>
    </row>
    <row r="19" spans="1:19" s="92" customFormat="1">
      <c r="A19" s="70">
        <v>12</v>
      </c>
      <c r="B19" s="98" t="s">
        <v>69</v>
      </c>
      <c r="C19" s="793"/>
      <c r="D19" s="793"/>
      <c r="E19" s="793"/>
      <c r="F19" s="793"/>
      <c r="G19" s="793"/>
      <c r="H19" s="793"/>
      <c r="I19" s="793"/>
      <c r="J19" s="793"/>
      <c r="K19" s="793"/>
      <c r="L19" s="793"/>
      <c r="M19" s="793"/>
      <c r="N19" s="793"/>
      <c r="O19" s="793"/>
      <c r="P19" s="793"/>
      <c r="Q19" s="793"/>
      <c r="R19" s="793"/>
      <c r="S19" s="794">
        <f t="shared" si="0"/>
        <v>0</v>
      </c>
    </row>
    <row r="20" spans="1:19" s="92" customFormat="1">
      <c r="A20" s="70">
        <v>13</v>
      </c>
      <c r="B20" s="98" t="s">
        <v>70</v>
      </c>
      <c r="C20" s="793"/>
      <c r="D20" s="793"/>
      <c r="E20" s="793"/>
      <c r="F20" s="793"/>
      <c r="G20" s="793"/>
      <c r="H20" s="793"/>
      <c r="I20" s="793"/>
      <c r="J20" s="793"/>
      <c r="K20" s="793"/>
      <c r="L20" s="793"/>
      <c r="M20" s="793"/>
      <c r="N20" s="793"/>
      <c r="O20" s="793"/>
      <c r="P20" s="793"/>
      <c r="Q20" s="793"/>
      <c r="R20" s="793"/>
      <c r="S20" s="794">
        <f t="shared" si="0"/>
        <v>0</v>
      </c>
    </row>
    <row r="21" spans="1:19" s="92" customFormat="1" ht="13.5" thickBot="1">
      <c r="A21" s="70">
        <v>14</v>
      </c>
      <c r="B21" s="98" t="s">
        <v>143</v>
      </c>
      <c r="C21" s="795">
        <v>1117140.7106999999</v>
      </c>
      <c r="D21" s="795"/>
      <c r="E21" s="795"/>
      <c r="F21" s="795"/>
      <c r="G21" s="795"/>
      <c r="H21" s="795"/>
      <c r="I21" s="795"/>
      <c r="J21" s="795"/>
      <c r="K21" s="795"/>
      <c r="L21" s="795"/>
      <c r="M21" s="795">
        <v>14890679.756194595</v>
      </c>
      <c r="N21" s="795"/>
      <c r="O21" s="795"/>
      <c r="P21" s="795"/>
      <c r="Q21" s="795"/>
      <c r="R21" s="795"/>
      <c r="S21" s="796">
        <f t="shared" si="0"/>
        <v>14890679.756194595</v>
      </c>
    </row>
    <row r="22" spans="1:19" ht="13.5" thickBot="1">
      <c r="A22" s="63"/>
      <c r="B22" s="94" t="s">
        <v>66</v>
      </c>
      <c r="C22" s="797">
        <f>SUM(C8:C21)</f>
        <v>23753703.169536445</v>
      </c>
      <c r="D22" s="797">
        <f t="shared" ref="D22:S22" si="1">SUM(D8:D21)</f>
        <v>0</v>
      </c>
      <c r="E22" s="797">
        <f t="shared" si="1"/>
        <v>4527.7812067646255</v>
      </c>
      <c r="F22" s="797">
        <f t="shared" si="1"/>
        <v>0</v>
      </c>
      <c r="G22" s="797">
        <f t="shared" si="1"/>
        <v>0</v>
      </c>
      <c r="H22" s="797">
        <f t="shared" si="1"/>
        <v>0</v>
      </c>
      <c r="I22" s="797">
        <f t="shared" si="1"/>
        <v>135153419.82471868</v>
      </c>
      <c r="J22" s="797">
        <f t="shared" si="1"/>
        <v>19863955.176839776</v>
      </c>
      <c r="K22" s="797">
        <f t="shared" si="1"/>
        <v>0</v>
      </c>
      <c r="L22" s="797">
        <f t="shared" si="1"/>
        <v>0</v>
      </c>
      <c r="M22" s="797">
        <f t="shared" si="1"/>
        <v>464598891.02842742</v>
      </c>
      <c r="N22" s="797">
        <f t="shared" si="1"/>
        <v>43407958.027188696</v>
      </c>
      <c r="O22" s="797">
        <f t="shared" si="1"/>
        <v>0</v>
      </c>
      <c r="P22" s="797">
        <f t="shared" si="1"/>
        <v>0</v>
      </c>
      <c r="Q22" s="797">
        <f t="shared" si="1"/>
        <v>0</v>
      </c>
      <c r="R22" s="797">
        <f t="shared" si="1"/>
        <v>0</v>
      </c>
      <c r="S22" s="798">
        <f t="shared" si="1"/>
        <v>585516442.1126368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605" t="str">
        <f>Info!C2</f>
        <v>სს იშბანკი საქართველო</v>
      </c>
    </row>
    <row r="2" spans="1:22">
      <c r="A2" s="2" t="s">
        <v>98</v>
      </c>
      <c r="B2" s="606">
        <f>'1. key ratios'!B2</f>
        <v>46022</v>
      </c>
    </row>
    <row r="4" spans="1:22" ht="27.75" thickBot="1">
      <c r="A4" s="2" t="s">
        <v>249</v>
      </c>
      <c r="B4" s="158" t="s">
        <v>283</v>
      </c>
      <c r="V4" s="124" t="s">
        <v>76</v>
      </c>
    </row>
    <row r="5" spans="1:22">
      <c r="A5" s="61"/>
      <c r="B5" s="62"/>
      <c r="C5" s="949" t="s">
        <v>105</v>
      </c>
      <c r="D5" s="950"/>
      <c r="E5" s="950"/>
      <c r="F5" s="950"/>
      <c r="G5" s="950"/>
      <c r="H5" s="950"/>
      <c r="I5" s="950"/>
      <c r="J5" s="950"/>
      <c r="K5" s="950"/>
      <c r="L5" s="951"/>
      <c r="M5" s="949" t="s">
        <v>106</v>
      </c>
      <c r="N5" s="950"/>
      <c r="O5" s="950"/>
      <c r="P5" s="950"/>
      <c r="Q5" s="950"/>
      <c r="R5" s="950"/>
      <c r="S5" s="951"/>
      <c r="T5" s="954" t="s">
        <v>281</v>
      </c>
      <c r="U5" s="954" t="s">
        <v>280</v>
      </c>
      <c r="V5" s="952" t="s">
        <v>107</v>
      </c>
    </row>
    <row r="6" spans="1:22" s="37" customFormat="1" ht="127.5">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55"/>
      <c r="U6" s="955"/>
      <c r="V6" s="953"/>
    </row>
    <row r="7" spans="1:22" s="92" customFormat="1">
      <c r="A7" s="93">
        <v>1</v>
      </c>
      <c r="B7" s="98" t="s">
        <v>123</v>
      </c>
      <c r="C7" s="799"/>
      <c r="D7" s="793"/>
      <c r="E7" s="793"/>
      <c r="F7" s="793"/>
      <c r="G7" s="793"/>
      <c r="H7" s="793"/>
      <c r="I7" s="793"/>
      <c r="J7" s="793"/>
      <c r="K7" s="793"/>
      <c r="L7" s="743"/>
      <c r="M7" s="799"/>
      <c r="N7" s="793"/>
      <c r="O7" s="793"/>
      <c r="P7" s="793"/>
      <c r="Q7" s="793"/>
      <c r="R7" s="793"/>
      <c r="S7" s="743"/>
      <c r="T7" s="800"/>
      <c r="U7" s="800"/>
      <c r="V7" s="801">
        <f>SUM(C7:S7)</f>
        <v>0</v>
      </c>
    </row>
    <row r="8" spans="1:22" s="92" customFormat="1">
      <c r="A8" s="93">
        <v>2</v>
      </c>
      <c r="B8" s="98" t="s">
        <v>124</v>
      </c>
      <c r="C8" s="799"/>
      <c r="D8" s="793"/>
      <c r="E8" s="793"/>
      <c r="F8" s="793"/>
      <c r="G8" s="793"/>
      <c r="H8" s="793"/>
      <c r="I8" s="793"/>
      <c r="J8" s="793"/>
      <c r="K8" s="793"/>
      <c r="L8" s="743"/>
      <c r="M8" s="799"/>
      <c r="N8" s="793"/>
      <c r="O8" s="793"/>
      <c r="P8" s="793"/>
      <c r="Q8" s="793"/>
      <c r="R8" s="793"/>
      <c r="S8" s="743"/>
      <c r="T8" s="800"/>
      <c r="U8" s="800"/>
      <c r="V8" s="801">
        <f t="shared" ref="V8:V20" si="0">SUM(C8:S8)</f>
        <v>0</v>
      </c>
    </row>
    <row r="9" spans="1:22" s="92" customFormat="1">
      <c r="A9" s="93">
        <v>3</v>
      </c>
      <c r="B9" s="98" t="s">
        <v>125</v>
      </c>
      <c r="C9" s="799"/>
      <c r="D9" s="793"/>
      <c r="E9" s="793"/>
      <c r="F9" s="793"/>
      <c r="G9" s="793"/>
      <c r="H9" s="793"/>
      <c r="I9" s="793"/>
      <c r="J9" s="793"/>
      <c r="K9" s="793"/>
      <c r="L9" s="743"/>
      <c r="M9" s="799"/>
      <c r="N9" s="793"/>
      <c r="O9" s="793"/>
      <c r="P9" s="793"/>
      <c r="Q9" s="793"/>
      <c r="R9" s="793"/>
      <c r="S9" s="743"/>
      <c r="T9" s="800"/>
      <c r="U9" s="800"/>
      <c r="V9" s="801">
        <f t="shared" si="0"/>
        <v>0</v>
      </c>
    </row>
    <row r="10" spans="1:22" s="92" customFormat="1">
      <c r="A10" s="93">
        <v>4</v>
      </c>
      <c r="B10" s="98" t="s">
        <v>126</v>
      </c>
      <c r="C10" s="799"/>
      <c r="D10" s="793"/>
      <c r="E10" s="793"/>
      <c r="F10" s="793"/>
      <c r="G10" s="793"/>
      <c r="H10" s="793"/>
      <c r="I10" s="793"/>
      <c r="J10" s="793"/>
      <c r="K10" s="793"/>
      <c r="L10" s="743"/>
      <c r="M10" s="799"/>
      <c r="N10" s="793"/>
      <c r="O10" s="793"/>
      <c r="P10" s="793"/>
      <c r="Q10" s="793"/>
      <c r="R10" s="793"/>
      <c r="S10" s="743"/>
      <c r="T10" s="800"/>
      <c r="U10" s="800"/>
      <c r="V10" s="801">
        <f t="shared" si="0"/>
        <v>0</v>
      </c>
    </row>
    <row r="11" spans="1:22" s="92" customFormat="1">
      <c r="A11" s="93">
        <v>5</v>
      </c>
      <c r="B11" s="98" t="s">
        <v>912</v>
      </c>
      <c r="C11" s="799"/>
      <c r="D11" s="793"/>
      <c r="E11" s="793"/>
      <c r="F11" s="793"/>
      <c r="G11" s="793"/>
      <c r="H11" s="793"/>
      <c r="I11" s="793"/>
      <c r="J11" s="793"/>
      <c r="K11" s="793"/>
      <c r="L11" s="743"/>
      <c r="M11" s="799"/>
      <c r="N11" s="793"/>
      <c r="O11" s="793"/>
      <c r="P11" s="793"/>
      <c r="Q11" s="793"/>
      <c r="R11" s="793"/>
      <c r="S11" s="743"/>
      <c r="T11" s="800"/>
      <c r="U11" s="800"/>
      <c r="V11" s="801">
        <f t="shared" si="0"/>
        <v>0</v>
      </c>
    </row>
    <row r="12" spans="1:22" s="92" customFormat="1">
      <c r="A12" s="93">
        <v>6</v>
      </c>
      <c r="B12" s="98" t="s">
        <v>127</v>
      </c>
      <c r="C12" s="799"/>
      <c r="D12" s="793"/>
      <c r="E12" s="793"/>
      <c r="F12" s="793"/>
      <c r="G12" s="793"/>
      <c r="H12" s="793"/>
      <c r="I12" s="793"/>
      <c r="J12" s="793"/>
      <c r="K12" s="793"/>
      <c r="L12" s="743"/>
      <c r="M12" s="799"/>
      <c r="N12" s="793"/>
      <c r="O12" s="793"/>
      <c r="P12" s="793"/>
      <c r="Q12" s="793"/>
      <c r="R12" s="793"/>
      <c r="S12" s="743"/>
      <c r="T12" s="800"/>
      <c r="U12" s="800"/>
      <c r="V12" s="801">
        <f t="shared" si="0"/>
        <v>0</v>
      </c>
    </row>
    <row r="13" spans="1:22" s="92" customFormat="1">
      <c r="A13" s="93">
        <v>7</v>
      </c>
      <c r="B13" s="98" t="s">
        <v>71</v>
      </c>
      <c r="C13" s="799"/>
      <c r="D13" s="793">
        <v>28373420.727745399</v>
      </c>
      <c r="E13" s="793"/>
      <c r="F13" s="793"/>
      <c r="G13" s="793"/>
      <c r="H13" s="793"/>
      <c r="I13" s="793"/>
      <c r="J13" s="793"/>
      <c r="K13" s="793"/>
      <c r="L13" s="743"/>
      <c r="M13" s="799"/>
      <c r="N13" s="793"/>
      <c r="O13" s="793"/>
      <c r="P13" s="793"/>
      <c r="Q13" s="793"/>
      <c r="R13" s="793"/>
      <c r="S13" s="743"/>
      <c r="T13" s="800">
        <v>27027984.239999998</v>
      </c>
      <c r="U13" s="800">
        <v>1345436.4877454001</v>
      </c>
      <c r="V13" s="801">
        <f t="shared" si="0"/>
        <v>28373420.727745399</v>
      </c>
    </row>
    <row r="14" spans="1:22" s="92" customFormat="1">
      <c r="A14" s="93">
        <v>8</v>
      </c>
      <c r="B14" s="98" t="s">
        <v>72</v>
      </c>
      <c r="C14" s="799"/>
      <c r="D14" s="793"/>
      <c r="E14" s="793"/>
      <c r="F14" s="793"/>
      <c r="G14" s="793"/>
      <c r="H14" s="793"/>
      <c r="I14" s="793"/>
      <c r="J14" s="793"/>
      <c r="K14" s="793"/>
      <c r="L14" s="743"/>
      <c r="M14" s="799"/>
      <c r="N14" s="793"/>
      <c r="O14" s="793"/>
      <c r="P14" s="793"/>
      <c r="Q14" s="793"/>
      <c r="R14" s="793"/>
      <c r="S14" s="743"/>
      <c r="T14" s="800"/>
      <c r="U14" s="800"/>
      <c r="V14" s="801">
        <f t="shared" si="0"/>
        <v>0</v>
      </c>
    </row>
    <row r="15" spans="1:22" s="92" customFormat="1">
      <c r="A15" s="93">
        <v>9</v>
      </c>
      <c r="B15" s="98" t="s">
        <v>913</v>
      </c>
      <c r="C15" s="799"/>
      <c r="D15" s="793"/>
      <c r="E15" s="793"/>
      <c r="F15" s="793"/>
      <c r="G15" s="793"/>
      <c r="H15" s="793"/>
      <c r="I15" s="793"/>
      <c r="J15" s="793"/>
      <c r="K15" s="793"/>
      <c r="L15" s="743"/>
      <c r="M15" s="799"/>
      <c r="N15" s="793"/>
      <c r="O15" s="793"/>
      <c r="P15" s="793"/>
      <c r="Q15" s="793"/>
      <c r="R15" s="793"/>
      <c r="S15" s="743"/>
      <c r="T15" s="800"/>
      <c r="U15" s="800"/>
      <c r="V15" s="801">
        <f t="shared" si="0"/>
        <v>0</v>
      </c>
    </row>
    <row r="16" spans="1:22" s="92" customFormat="1">
      <c r="A16" s="93">
        <v>10</v>
      </c>
      <c r="B16" s="98" t="s">
        <v>67</v>
      </c>
      <c r="C16" s="799"/>
      <c r="D16" s="793"/>
      <c r="E16" s="793"/>
      <c r="F16" s="793"/>
      <c r="G16" s="793"/>
      <c r="H16" s="793"/>
      <c r="I16" s="793"/>
      <c r="J16" s="793"/>
      <c r="K16" s="793"/>
      <c r="L16" s="743"/>
      <c r="M16" s="799"/>
      <c r="N16" s="793"/>
      <c r="O16" s="793"/>
      <c r="P16" s="793"/>
      <c r="Q16" s="793"/>
      <c r="R16" s="793"/>
      <c r="S16" s="743"/>
      <c r="T16" s="800"/>
      <c r="U16" s="800"/>
      <c r="V16" s="801">
        <f t="shared" si="0"/>
        <v>0</v>
      </c>
    </row>
    <row r="17" spans="1:22" s="92" customFormat="1">
      <c r="A17" s="93">
        <v>11</v>
      </c>
      <c r="B17" s="98" t="s">
        <v>68</v>
      </c>
      <c r="C17" s="799"/>
      <c r="D17" s="793"/>
      <c r="E17" s="793"/>
      <c r="F17" s="793"/>
      <c r="G17" s="793"/>
      <c r="H17" s="793"/>
      <c r="I17" s="793"/>
      <c r="J17" s="793"/>
      <c r="K17" s="793"/>
      <c r="L17" s="743"/>
      <c r="M17" s="799"/>
      <c r="N17" s="793"/>
      <c r="O17" s="793"/>
      <c r="P17" s="793"/>
      <c r="Q17" s="793"/>
      <c r="R17" s="793"/>
      <c r="S17" s="743"/>
      <c r="T17" s="800"/>
      <c r="U17" s="800"/>
      <c r="V17" s="801">
        <f t="shared" si="0"/>
        <v>0</v>
      </c>
    </row>
    <row r="18" spans="1:22" s="92" customFormat="1">
      <c r="A18" s="93">
        <v>12</v>
      </c>
      <c r="B18" s="98" t="s">
        <v>69</v>
      </c>
      <c r="C18" s="799"/>
      <c r="D18" s="793"/>
      <c r="E18" s="793"/>
      <c r="F18" s="793"/>
      <c r="G18" s="793"/>
      <c r="H18" s="793"/>
      <c r="I18" s="793"/>
      <c r="J18" s="793"/>
      <c r="K18" s="793"/>
      <c r="L18" s="743"/>
      <c r="M18" s="799"/>
      <c r="N18" s="793"/>
      <c r="O18" s="793"/>
      <c r="P18" s="793"/>
      <c r="Q18" s="793"/>
      <c r="R18" s="793"/>
      <c r="S18" s="743"/>
      <c r="T18" s="800"/>
      <c r="U18" s="800"/>
      <c r="V18" s="801">
        <f t="shared" si="0"/>
        <v>0</v>
      </c>
    </row>
    <row r="19" spans="1:22" s="92" customFormat="1">
      <c r="A19" s="93">
        <v>13</v>
      </c>
      <c r="B19" s="98" t="s">
        <v>70</v>
      </c>
      <c r="C19" s="799"/>
      <c r="D19" s="793"/>
      <c r="E19" s="793"/>
      <c r="F19" s="793"/>
      <c r="G19" s="793"/>
      <c r="H19" s="793"/>
      <c r="I19" s="793"/>
      <c r="J19" s="793"/>
      <c r="K19" s="793"/>
      <c r="L19" s="743"/>
      <c r="M19" s="799"/>
      <c r="N19" s="793"/>
      <c r="O19" s="793"/>
      <c r="P19" s="793"/>
      <c r="Q19" s="793"/>
      <c r="R19" s="793"/>
      <c r="S19" s="743"/>
      <c r="T19" s="800"/>
      <c r="U19" s="800"/>
      <c r="V19" s="801">
        <f t="shared" si="0"/>
        <v>0</v>
      </c>
    </row>
    <row r="20" spans="1:22" s="92" customFormat="1">
      <c r="A20" s="93">
        <v>14</v>
      </c>
      <c r="B20" s="98" t="s">
        <v>143</v>
      </c>
      <c r="C20" s="799"/>
      <c r="D20" s="793">
        <v>491216.00000000006</v>
      </c>
      <c r="E20" s="793"/>
      <c r="F20" s="793"/>
      <c r="G20" s="793"/>
      <c r="H20" s="793"/>
      <c r="I20" s="793"/>
      <c r="J20" s="793"/>
      <c r="K20" s="793"/>
      <c r="L20" s="743"/>
      <c r="M20" s="799"/>
      <c r="N20" s="793"/>
      <c r="O20" s="793"/>
      <c r="P20" s="793"/>
      <c r="Q20" s="793"/>
      <c r="R20" s="793"/>
      <c r="S20" s="743"/>
      <c r="T20" s="800">
        <v>491216.00000000006</v>
      </c>
      <c r="U20" s="800"/>
      <c r="V20" s="801">
        <f t="shared" si="0"/>
        <v>491216.00000000006</v>
      </c>
    </row>
    <row r="21" spans="1:22" ht="13.5" thickBot="1">
      <c r="A21" s="63"/>
      <c r="B21" s="64" t="s">
        <v>66</v>
      </c>
      <c r="C21" s="803">
        <f>SUM(C7:C20)</f>
        <v>0</v>
      </c>
      <c r="D21" s="804">
        <f t="shared" ref="D21:V21" si="1">SUM(D7:D20)</f>
        <v>28864636.727745399</v>
      </c>
      <c r="E21" s="804">
        <f t="shared" si="1"/>
        <v>0</v>
      </c>
      <c r="F21" s="804">
        <f t="shared" si="1"/>
        <v>0</v>
      </c>
      <c r="G21" s="804">
        <f t="shared" si="1"/>
        <v>0</v>
      </c>
      <c r="H21" s="804">
        <f t="shared" si="1"/>
        <v>0</v>
      </c>
      <c r="I21" s="804">
        <f t="shared" si="1"/>
        <v>0</v>
      </c>
      <c r="J21" s="804">
        <f t="shared" si="1"/>
        <v>0</v>
      </c>
      <c r="K21" s="804">
        <f t="shared" si="1"/>
        <v>0</v>
      </c>
      <c r="L21" s="805">
        <f t="shared" si="1"/>
        <v>0</v>
      </c>
      <c r="M21" s="803">
        <f t="shared" si="1"/>
        <v>0</v>
      </c>
      <c r="N21" s="804">
        <f t="shared" si="1"/>
        <v>0</v>
      </c>
      <c r="O21" s="804">
        <f t="shared" si="1"/>
        <v>0</v>
      </c>
      <c r="P21" s="804">
        <f t="shared" si="1"/>
        <v>0</v>
      </c>
      <c r="Q21" s="804">
        <f t="shared" si="1"/>
        <v>0</v>
      </c>
      <c r="R21" s="804">
        <f t="shared" si="1"/>
        <v>0</v>
      </c>
      <c r="S21" s="805">
        <f>SUM(S7:S20)</f>
        <v>0</v>
      </c>
      <c r="T21" s="805">
        <f>SUM(T7:T20)</f>
        <v>27519200.239999998</v>
      </c>
      <c r="U21" s="805">
        <f t="shared" ref="U21" si="2">SUM(U7:U20)</f>
        <v>1345436.4877454001</v>
      </c>
      <c r="V21" s="802">
        <f t="shared" si="1"/>
        <v>28864636.727745399</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605" t="str">
        <f>Info!C2</f>
        <v>სს იშბანკი საქართველო</v>
      </c>
    </row>
    <row r="2" spans="1:9">
      <c r="A2" s="2" t="s">
        <v>98</v>
      </c>
      <c r="B2" s="606">
        <f>'1. key ratios'!B2</f>
        <v>46022</v>
      </c>
    </row>
    <row r="4" spans="1:9" ht="13.5"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956" t="s">
        <v>276</v>
      </c>
      <c r="D6" s="960" t="s">
        <v>297</v>
      </c>
      <c r="E6" s="961"/>
      <c r="F6" s="956" t="s">
        <v>303</v>
      </c>
      <c r="G6" s="956" t="s">
        <v>304</v>
      </c>
      <c r="H6" s="958" t="s">
        <v>278</v>
      </c>
      <c r="I6" s="24"/>
    </row>
    <row r="7" spans="1:9" ht="63.75">
      <c r="A7" s="89"/>
      <c r="B7" s="22"/>
      <c r="C7" s="957"/>
      <c r="D7" s="154" t="s">
        <v>279</v>
      </c>
      <c r="E7" s="154" t="s">
        <v>277</v>
      </c>
      <c r="F7" s="957"/>
      <c r="G7" s="957"/>
      <c r="H7" s="959"/>
      <c r="I7" s="24"/>
    </row>
    <row r="8" spans="1:9">
      <c r="A8" s="53">
        <v>1</v>
      </c>
      <c r="B8" s="98" t="s">
        <v>123</v>
      </c>
      <c r="C8" s="806">
        <f>'11. CRWA'!C8+'11. CRWA'!E8+'11. CRWA'!G8+'11. CRWA'!I8+'11. CRWA'!K8+'11. CRWA'!M8+'11. CRWA'!O8+'11. CRWA'!Q8</f>
        <v>71963557.656065568</v>
      </c>
      <c r="D8" s="807"/>
      <c r="E8" s="806"/>
      <c r="F8" s="806">
        <f>'11. CRWA'!S8</f>
        <v>49326995.197229125</v>
      </c>
      <c r="G8" s="808">
        <f>F8-'12. CRM'!V7</f>
        <v>49326995.197229125</v>
      </c>
      <c r="H8" s="809">
        <f>IFERROR(G8/(C8+E8),0)</f>
        <v>0.68544408870079698</v>
      </c>
    </row>
    <row r="9" spans="1:9" ht="15" customHeight="1">
      <c r="A9" s="53">
        <v>2</v>
      </c>
      <c r="B9" s="98" t="s">
        <v>124</v>
      </c>
      <c r="C9" s="806">
        <f>'11. CRWA'!C9+'11. CRWA'!E9+'11. CRWA'!G9+'11. CRWA'!I9+'11. CRWA'!K9+'11. CRWA'!M9+'11. CRWA'!O9+'11. CRWA'!Q9</f>
        <v>0</v>
      </c>
      <c r="D9" s="807"/>
      <c r="E9" s="806"/>
      <c r="F9" s="806">
        <f>'11. CRWA'!S9</f>
        <v>0</v>
      </c>
      <c r="G9" s="808">
        <f>F9-'12. CRM'!V8</f>
        <v>0</v>
      </c>
      <c r="H9" s="809">
        <f t="shared" ref="H9:H21" si="0">IFERROR(G9/(C9+E9),0)</f>
        <v>0</v>
      </c>
    </row>
    <row r="10" spans="1:9">
      <c r="A10" s="53">
        <v>3</v>
      </c>
      <c r="B10" s="98" t="s">
        <v>125</v>
      </c>
      <c r="C10" s="806">
        <f>'11. CRWA'!C10+'11. CRWA'!E10+'11. CRWA'!G10+'11. CRWA'!I10+'11. CRWA'!K10+'11. CRWA'!M10+'11. CRWA'!O10+'11. CRWA'!Q10</f>
        <v>0</v>
      </c>
      <c r="D10" s="807"/>
      <c r="E10" s="806"/>
      <c r="F10" s="806">
        <f>'11. CRWA'!S10</f>
        <v>0</v>
      </c>
      <c r="G10" s="808">
        <f>F10-'12. CRM'!V9</f>
        <v>0</v>
      </c>
      <c r="H10" s="809">
        <f t="shared" si="0"/>
        <v>0</v>
      </c>
    </row>
    <row r="11" spans="1:9">
      <c r="A11" s="53">
        <v>4</v>
      </c>
      <c r="B11" s="98" t="s">
        <v>126</v>
      </c>
      <c r="C11" s="806">
        <f>'11. CRWA'!C11+'11. CRWA'!E11+'11. CRWA'!G11+'11. CRWA'!I11+'11. CRWA'!K11+'11. CRWA'!M11+'11. CRWA'!O11+'11. CRWA'!Q11</f>
        <v>0</v>
      </c>
      <c r="D11" s="807"/>
      <c r="E11" s="806"/>
      <c r="F11" s="806">
        <f>'11. CRWA'!S11</f>
        <v>0</v>
      </c>
      <c r="G11" s="808">
        <f>F11-'12. CRM'!V10</f>
        <v>0</v>
      </c>
      <c r="H11" s="809">
        <f t="shared" si="0"/>
        <v>0</v>
      </c>
    </row>
    <row r="12" spans="1:9">
      <c r="A12" s="53">
        <v>5</v>
      </c>
      <c r="B12" s="98" t="s">
        <v>912</v>
      </c>
      <c r="C12" s="806">
        <f>'11. CRWA'!C12+'11. CRWA'!E12+'11. CRWA'!G12+'11. CRWA'!I12+'11. CRWA'!K12+'11. CRWA'!M12+'11. CRWA'!O12+'11. CRWA'!Q12</f>
        <v>0</v>
      </c>
      <c r="D12" s="807"/>
      <c r="E12" s="806"/>
      <c r="F12" s="806">
        <f>'11. CRWA'!S12</f>
        <v>0</v>
      </c>
      <c r="G12" s="808">
        <f>F12-'12. CRM'!V11</f>
        <v>0</v>
      </c>
      <c r="H12" s="809">
        <f t="shared" si="0"/>
        <v>0</v>
      </c>
    </row>
    <row r="13" spans="1:9">
      <c r="A13" s="53">
        <v>6</v>
      </c>
      <c r="B13" s="98" t="s">
        <v>127</v>
      </c>
      <c r="C13" s="806">
        <f>'11. CRWA'!C13+'11. CRWA'!E13+'11. CRWA'!G13+'11. CRWA'!I13+'11. CRWA'!K13+'11. CRWA'!M13+'11. CRWA'!O13+'11. CRWA'!Q13</f>
        <v>135324029.2919952</v>
      </c>
      <c r="D13" s="807">
        <f>'11. CRWA'!D13+'11. CRWA'!F13+'11. CRWA'!H13+'11. CRWA'!J13+'11. CRWA'!L13+'11. CRWA'!N13+'11. CRWA'!P13+'11. CRWA'!R13</f>
        <v>61129429.948589474</v>
      </c>
      <c r="E13" s="806">
        <f>'11. CRWA'!D13+'11. CRWA'!F13+'11. CRWA'!H13+'11. CRWA'!J13+'11. CRWA'!L13+'11. CRWA'!N13+'11. CRWA'!P13+'11. CRWA'!R13</f>
        <v>61129429.948589474</v>
      </c>
      <c r="F13" s="806">
        <f>'11. CRWA'!S13</f>
        <v>118941149.51484004</v>
      </c>
      <c r="G13" s="808">
        <f>F13-'12. CRM'!V12</f>
        <v>118941149.51484004</v>
      </c>
      <c r="H13" s="809">
        <f t="shared" si="0"/>
        <v>0.60544186890178397</v>
      </c>
    </row>
    <row r="14" spans="1:9">
      <c r="A14" s="53">
        <v>7</v>
      </c>
      <c r="B14" s="98" t="s">
        <v>71</v>
      </c>
      <c r="C14" s="806">
        <f>'11. CRWA'!C14+'11. CRWA'!E14+'11. CRWA'!G14+'11. CRWA'!I14+'11. CRWA'!K14+'11. CRWA'!M14+'11. CRWA'!O14+'11. CRWA'!Q14</f>
        <v>400210018.46715796</v>
      </c>
      <c r="D14" s="807">
        <f>'11. CRWA'!D14+'11. CRWA'!F14+'11. CRWA'!H14+'11. CRWA'!J14+'11. CRWA'!L14+'11. CRWA'!N14+'11. CRWA'!P14+'11. CRWA'!R14</f>
        <v>2142483.2554389955</v>
      </c>
      <c r="E14" s="806">
        <f>'11. CRWA'!D14+'11. CRWA'!F14+'11. CRWA'!H14+'11. CRWA'!J14+'11. CRWA'!L14+'11. CRWA'!N14+'11. CRWA'!P14+'11. CRWA'!R14</f>
        <v>2142483.2554389955</v>
      </c>
      <c r="F14" s="806">
        <f>'11. CRWA'!S14</f>
        <v>402352501.72259694</v>
      </c>
      <c r="G14" s="808">
        <f>F14-'12. CRM'!V13</f>
        <v>373979080.99485153</v>
      </c>
      <c r="H14" s="809">
        <f t="shared" si="0"/>
        <v>0.92948118725180051</v>
      </c>
    </row>
    <row r="15" spans="1:9">
      <c r="A15" s="53">
        <v>8</v>
      </c>
      <c r="B15" s="98" t="s">
        <v>72</v>
      </c>
      <c r="C15" s="806">
        <f>'11. CRWA'!C15+'11. CRWA'!E15+'11. CRWA'!G15+'11. CRWA'!I15+'11. CRWA'!K15+'11. CRWA'!M15+'11. CRWA'!O15+'11. CRWA'!Q15</f>
        <v>0</v>
      </c>
      <c r="D15" s="807"/>
      <c r="E15" s="806"/>
      <c r="F15" s="806">
        <f>'11. CRWA'!S15</f>
        <v>0</v>
      </c>
      <c r="G15" s="808">
        <f>F15-'12. CRM'!V14</f>
        <v>0</v>
      </c>
      <c r="H15" s="809">
        <f t="shared" si="0"/>
        <v>0</v>
      </c>
    </row>
    <row r="16" spans="1:9">
      <c r="A16" s="53">
        <v>9</v>
      </c>
      <c r="B16" s="98" t="s">
        <v>913</v>
      </c>
      <c r="C16" s="806">
        <f>'11. CRWA'!C16+'11. CRWA'!E16+'11. CRWA'!G16+'11. CRWA'!I16+'11. CRWA'!K16+'11. CRWA'!M16+'11. CRWA'!O16+'11. CRWA'!Q16</f>
        <v>0</v>
      </c>
      <c r="D16" s="807"/>
      <c r="E16" s="806"/>
      <c r="F16" s="806">
        <f>'11. CRWA'!S16</f>
        <v>0</v>
      </c>
      <c r="G16" s="808">
        <f>F16-'12. CRM'!V15</f>
        <v>0</v>
      </c>
      <c r="H16" s="809">
        <f t="shared" si="0"/>
        <v>0</v>
      </c>
    </row>
    <row r="17" spans="1:8">
      <c r="A17" s="53">
        <v>10</v>
      </c>
      <c r="B17" s="98" t="s">
        <v>67</v>
      </c>
      <c r="C17" s="806">
        <f>'11. CRWA'!C17+'11. CRWA'!E17+'11. CRWA'!G17+'11. CRWA'!I17+'11. CRWA'!K17+'11. CRWA'!M17+'11. CRWA'!O17+'11. CRWA'!Q17</f>
        <v>5115.9217759998282</v>
      </c>
      <c r="D17" s="807"/>
      <c r="E17" s="806"/>
      <c r="F17" s="806">
        <f>'11. CRWA'!S17</f>
        <v>5115.9217759998282</v>
      </c>
      <c r="G17" s="808">
        <f>F17-'12. CRM'!V16</f>
        <v>5115.9217759998282</v>
      </c>
      <c r="H17" s="809">
        <f t="shared" si="0"/>
        <v>1</v>
      </c>
    </row>
    <row r="18" spans="1:8">
      <c r="A18" s="53">
        <v>11</v>
      </c>
      <c r="B18" s="98" t="s">
        <v>68</v>
      </c>
      <c r="C18" s="806">
        <f>'11. CRWA'!C18+'11. CRWA'!E18+'11. CRWA'!G18+'11. CRWA'!I18+'11. CRWA'!K18+'11. CRWA'!M18+'11. CRWA'!O18+'11. CRWA'!Q18</f>
        <v>0</v>
      </c>
      <c r="D18" s="807"/>
      <c r="E18" s="806"/>
      <c r="F18" s="806">
        <f>'11. CRWA'!S18</f>
        <v>0</v>
      </c>
      <c r="G18" s="808">
        <f>F18-'12. CRM'!V17</f>
        <v>0</v>
      </c>
      <c r="H18" s="809">
        <f t="shared" si="0"/>
        <v>0</v>
      </c>
    </row>
    <row r="19" spans="1:8">
      <c r="A19" s="53">
        <v>12</v>
      </c>
      <c r="B19" s="98" t="s">
        <v>69</v>
      </c>
      <c r="C19" s="806">
        <f>'11. CRWA'!C19+'11. CRWA'!E19+'11. CRWA'!G19+'11. CRWA'!I19+'11. CRWA'!K19+'11. CRWA'!M19+'11. CRWA'!O19+'11. CRWA'!Q19</f>
        <v>0</v>
      </c>
      <c r="D19" s="807"/>
      <c r="E19" s="806"/>
      <c r="F19" s="806">
        <f>'11. CRWA'!S19</f>
        <v>0</v>
      </c>
      <c r="G19" s="808">
        <f>F19-'12. CRM'!V18</f>
        <v>0</v>
      </c>
      <c r="H19" s="809">
        <f t="shared" si="0"/>
        <v>0</v>
      </c>
    </row>
    <row r="20" spans="1:8">
      <c r="A20" s="53">
        <v>13</v>
      </c>
      <c r="B20" s="98" t="s">
        <v>70</v>
      </c>
      <c r="C20" s="806">
        <f>'11. CRWA'!C20+'11. CRWA'!E20+'11. CRWA'!G20+'11. CRWA'!I20+'11. CRWA'!K20+'11. CRWA'!M20+'11. CRWA'!O20+'11. CRWA'!Q20</f>
        <v>0</v>
      </c>
      <c r="D20" s="807"/>
      <c r="E20" s="806"/>
      <c r="F20" s="806">
        <f>'11. CRWA'!S20</f>
        <v>0</v>
      </c>
      <c r="G20" s="808">
        <f>F20-'12. CRM'!V19</f>
        <v>0</v>
      </c>
      <c r="H20" s="809">
        <f t="shared" si="0"/>
        <v>0</v>
      </c>
    </row>
    <row r="21" spans="1:8">
      <c r="A21" s="53">
        <v>14</v>
      </c>
      <c r="B21" s="98" t="s">
        <v>143</v>
      </c>
      <c r="C21" s="806">
        <f>'11. CRWA'!C21+'11. CRWA'!E21+'11. CRWA'!G21+'11. CRWA'!I21+'11. CRWA'!K21+'11. CRWA'!M21+'11. CRWA'!O21+'11. CRWA'!Q21</f>
        <v>16007820.466894595</v>
      </c>
      <c r="D21" s="807"/>
      <c r="E21" s="806"/>
      <c r="F21" s="806">
        <f>'11. CRWA'!S21</f>
        <v>14890679.756194595</v>
      </c>
      <c r="G21" s="808">
        <f>F21-'12. CRM'!V20</f>
        <v>14399463.756194595</v>
      </c>
      <c r="H21" s="809">
        <f t="shared" si="0"/>
        <v>0.89952681478242436</v>
      </c>
    </row>
    <row r="22" spans="1:8" ht="13.5" thickBot="1">
      <c r="A22" s="91"/>
      <c r="B22" s="97" t="s">
        <v>66</v>
      </c>
      <c r="C22" s="810">
        <f>SUM(C8:C21)</f>
        <v>623510541.80388939</v>
      </c>
      <c r="D22" s="810">
        <f>SUM(D8:D21)</f>
        <v>63271913.204028472</v>
      </c>
      <c r="E22" s="810">
        <f>SUM(E8:E21)</f>
        <v>63271913.204028472</v>
      </c>
      <c r="F22" s="810">
        <f>SUM(F8:F21)</f>
        <v>585516442.1126368</v>
      </c>
      <c r="G22" s="810">
        <f>SUM(G8:G21)</f>
        <v>556651805.38489127</v>
      </c>
      <c r="H22" s="811">
        <f>G22/(C22+E22)</f>
        <v>0.81052129582791055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Normal="10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83" bestFit="1" customWidth="1"/>
    <col min="2" max="2" width="104.140625" style="183" customWidth="1"/>
    <col min="3" max="5" width="12.85546875" style="183" customWidth="1"/>
    <col min="6" max="6" width="13.5703125" style="183" bestFit="1" customWidth="1"/>
    <col min="7" max="8" width="13" style="183" bestFit="1" customWidth="1"/>
    <col min="9" max="9" width="13.5703125" style="183" bestFit="1" customWidth="1"/>
    <col min="10" max="11" width="13" style="183" bestFit="1" customWidth="1"/>
    <col min="12" max="16384" width="9.140625" style="183"/>
  </cols>
  <sheetData>
    <row r="1" spans="1:11">
      <c r="A1" s="183" t="s">
        <v>97</v>
      </c>
      <c r="B1" s="605" t="str">
        <f>Info!C2</f>
        <v>სს იშბანკი საქართველო</v>
      </c>
    </row>
    <row r="2" spans="1:11">
      <c r="A2" s="183" t="s">
        <v>98</v>
      </c>
      <c r="B2" s="606">
        <f>'1. key ratios'!B2</f>
        <v>46022</v>
      </c>
      <c r="C2" s="184"/>
      <c r="D2" s="184"/>
    </row>
    <row r="3" spans="1:11">
      <c r="B3" s="184"/>
      <c r="C3" s="184"/>
      <c r="D3" s="184"/>
    </row>
    <row r="4" spans="1:11" ht="13.5" thickBot="1">
      <c r="A4" s="183" t="s">
        <v>340</v>
      </c>
      <c r="B4" s="155" t="s">
        <v>339</v>
      </c>
      <c r="C4" s="184"/>
      <c r="D4" s="184"/>
    </row>
    <row r="5" spans="1:11" ht="30" customHeight="1">
      <c r="A5" s="965"/>
      <c r="B5" s="966"/>
      <c r="C5" s="963" t="s">
        <v>372</v>
      </c>
      <c r="D5" s="963"/>
      <c r="E5" s="963"/>
      <c r="F5" s="963" t="s">
        <v>373</v>
      </c>
      <c r="G5" s="963"/>
      <c r="H5" s="963"/>
      <c r="I5" s="963" t="s">
        <v>374</v>
      </c>
      <c r="J5" s="963"/>
      <c r="K5" s="964"/>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812"/>
      <c r="D7" s="813"/>
      <c r="E7" s="189"/>
      <c r="F7" s="812"/>
      <c r="G7" s="813"/>
      <c r="H7" s="189"/>
      <c r="I7" s="813"/>
      <c r="J7" s="813"/>
      <c r="K7" s="189"/>
    </row>
    <row r="8" spans="1:11">
      <c r="A8" s="179">
        <v>1</v>
      </c>
      <c r="B8" s="164" t="s">
        <v>310</v>
      </c>
      <c r="C8" s="613"/>
      <c r="D8" s="162"/>
      <c r="E8" s="163"/>
      <c r="F8" s="814">
        <v>29884433.997756429</v>
      </c>
      <c r="G8" s="815">
        <v>82577275.806918129</v>
      </c>
      <c r="H8" s="816">
        <f>G8+F8</f>
        <v>112461709.80467457</v>
      </c>
      <c r="I8" s="817">
        <v>29856102.812018443</v>
      </c>
      <c r="J8" s="815">
        <v>82557994.836159915</v>
      </c>
      <c r="K8" s="816">
        <f>I8+J8</f>
        <v>112414097.64817835</v>
      </c>
    </row>
    <row r="9" spans="1:11">
      <c r="A9" s="188" t="s">
        <v>311</v>
      </c>
      <c r="B9" s="180"/>
      <c r="C9" s="812"/>
      <c r="D9" s="813"/>
      <c r="E9" s="189"/>
      <c r="F9" s="812"/>
      <c r="G9" s="813"/>
      <c r="H9" s="189"/>
      <c r="I9" s="813"/>
      <c r="J9" s="813"/>
      <c r="K9" s="189"/>
    </row>
    <row r="10" spans="1:11">
      <c r="A10" s="190">
        <v>2</v>
      </c>
      <c r="B10" s="165" t="s">
        <v>312</v>
      </c>
      <c r="C10" s="814">
        <v>1765002.386035068</v>
      </c>
      <c r="D10" s="818">
        <v>14424606.900118612</v>
      </c>
      <c r="E10" s="816">
        <f>C10+D10</f>
        <v>16189609.28615368</v>
      </c>
      <c r="F10" s="814">
        <v>445972.86877838359</v>
      </c>
      <c r="G10" s="818">
        <v>2462467.6111706151</v>
      </c>
      <c r="H10" s="816">
        <f>G10+F10</f>
        <v>2908440.4799489984</v>
      </c>
      <c r="I10" s="817">
        <v>109599.82392504107</v>
      </c>
      <c r="J10" s="818">
        <v>705635.24269925279</v>
      </c>
      <c r="K10" s="816">
        <f>I10+J10</f>
        <v>815235.0666242938</v>
      </c>
    </row>
    <row r="11" spans="1:11">
      <c r="A11" s="190">
        <v>3</v>
      </c>
      <c r="B11" s="165" t="s">
        <v>313</v>
      </c>
      <c r="C11" s="814">
        <v>36775540.672834195</v>
      </c>
      <c r="D11" s="818">
        <v>240593322.63775402</v>
      </c>
      <c r="E11" s="816">
        <f t="shared" ref="E11:E16" si="0">C11+D11</f>
        <v>277368863.31058824</v>
      </c>
      <c r="F11" s="819">
        <v>22954944.715095516</v>
      </c>
      <c r="G11" s="817">
        <v>43200345.605543099</v>
      </c>
      <c r="H11" s="816">
        <f t="shared" ref="H11:H16" si="1">G11+F11</f>
        <v>66155290.320638612</v>
      </c>
      <c r="I11" s="819">
        <v>19557578.771320492</v>
      </c>
      <c r="J11" s="817">
        <v>36503329.096445821</v>
      </c>
      <c r="K11" s="816">
        <f t="shared" ref="K11:K16" si="2">I11+J11</f>
        <v>56060907.867766313</v>
      </c>
    </row>
    <row r="12" spans="1:11">
      <c r="A12" s="190">
        <v>4</v>
      </c>
      <c r="B12" s="165" t="s">
        <v>314</v>
      </c>
      <c r="C12" s="820"/>
      <c r="D12" s="821"/>
      <c r="E12" s="816">
        <f t="shared" si="0"/>
        <v>0</v>
      </c>
      <c r="F12" s="820"/>
      <c r="G12" s="821"/>
      <c r="H12" s="816">
        <f t="shared" si="1"/>
        <v>0</v>
      </c>
      <c r="I12" s="822"/>
      <c r="J12" s="821"/>
      <c r="K12" s="816">
        <f t="shared" si="2"/>
        <v>0</v>
      </c>
    </row>
    <row r="13" spans="1:11">
      <c r="A13" s="190">
        <v>5</v>
      </c>
      <c r="B13" s="165" t="s">
        <v>315</v>
      </c>
      <c r="C13" s="814">
        <v>74202563.094849631</v>
      </c>
      <c r="D13" s="818">
        <v>73345438.449952662</v>
      </c>
      <c r="E13" s="816">
        <f t="shared" si="0"/>
        <v>147548001.54480231</v>
      </c>
      <c r="F13" s="814">
        <v>7518049.8438712172</v>
      </c>
      <c r="G13" s="818">
        <v>7575538.1331664855</v>
      </c>
      <c r="H13" s="816">
        <f t="shared" si="1"/>
        <v>15093587.977037702</v>
      </c>
      <c r="I13" s="817">
        <v>3758559.0918958802</v>
      </c>
      <c r="J13" s="818">
        <v>3732029.231672422</v>
      </c>
      <c r="K13" s="816">
        <f t="shared" si="2"/>
        <v>7490588.3235683022</v>
      </c>
    </row>
    <row r="14" spans="1:11">
      <c r="A14" s="190">
        <v>6</v>
      </c>
      <c r="B14" s="165" t="s">
        <v>330</v>
      </c>
      <c r="C14" s="820"/>
      <c r="D14" s="821"/>
      <c r="E14" s="816">
        <f t="shared" si="0"/>
        <v>0</v>
      </c>
      <c r="F14" s="820"/>
      <c r="G14" s="821"/>
      <c r="H14" s="816">
        <f t="shared" si="1"/>
        <v>0</v>
      </c>
      <c r="I14" s="822"/>
      <c r="J14" s="821"/>
      <c r="K14" s="816">
        <f t="shared" si="2"/>
        <v>0</v>
      </c>
    </row>
    <row r="15" spans="1:11">
      <c r="A15" s="190">
        <v>7</v>
      </c>
      <c r="B15" s="165" t="s">
        <v>317</v>
      </c>
      <c r="C15" s="814">
        <v>384104.87381068507</v>
      </c>
      <c r="D15" s="818">
        <v>2679527.3175735781</v>
      </c>
      <c r="E15" s="816">
        <f t="shared" si="0"/>
        <v>3063632.1913842633</v>
      </c>
      <c r="F15" s="814">
        <v>0</v>
      </c>
      <c r="G15" s="818">
        <v>0</v>
      </c>
      <c r="H15" s="816">
        <f t="shared" si="1"/>
        <v>0</v>
      </c>
      <c r="I15" s="817">
        <v>0</v>
      </c>
      <c r="J15" s="818">
        <v>0</v>
      </c>
      <c r="K15" s="816">
        <f t="shared" si="2"/>
        <v>0</v>
      </c>
    </row>
    <row r="16" spans="1:11">
      <c r="A16" s="190">
        <v>8</v>
      </c>
      <c r="B16" s="166" t="s">
        <v>318</v>
      </c>
      <c r="C16" s="823">
        <f>SUM(C10:C15)</f>
        <v>113127211.02752957</v>
      </c>
      <c r="D16" s="824">
        <f>SUM(D10:D15)</f>
        <v>331042895.30539888</v>
      </c>
      <c r="E16" s="816">
        <f t="shared" si="0"/>
        <v>444170106.33292842</v>
      </c>
      <c r="F16" s="825">
        <f>SUM(F10:F15)</f>
        <v>30918967.427745119</v>
      </c>
      <c r="G16" s="826">
        <f>SUM(G10:G15)</f>
        <v>53238351.349880196</v>
      </c>
      <c r="H16" s="816">
        <f t="shared" si="1"/>
        <v>84157318.777625322</v>
      </c>
      <c r="I16" s="824">
        <f>SUM(I10:I15)</f>
        <v>23425737.687141411</v>
      </c>
      <c r="J16" s="826">
        <f>SUM(J10:J15)</f>
        <v>40940993.570817493</v>
      </c>
      <c r="K16" s="816">
        <f t="shared" si="2"/>
        <v>64366731.257958904</v>
      </c>
    </row>
    <row r="17" spans="1:11">
      <c r="A17" s="188" t="s">
        <v>319</v>
      </c>
      <c r="B17" s="180"/>
      <c r="C17" s="812"/>
      <c r="D17" s="813"/>
      <c r="E17" s="189"/>
      <c r="F17" s="812"/>
      <c r="G17" s="813"/>
      <c r="H17" s="189"/>
      <c r="I17" s="813"/>
      <c r="J17" s="813"/>
      <c r="K17" s="189"/>
    </row>
    <row r="18" spans="1:11">
      <c r="A18" s="190">
        <v>9</v>
      </c>
      <c r="B18" s="165" t="s">
        <v>320</v>
      </c>
      <c r="C18" s="820"/>
      <c r="D18" s="821"/>
      <c r="E18" s="816">
        <f>C18+D18</f>
        <v>0</v>
      </c>
      <c r="F18" s="820"/>
      <c r="G18" s="821"/>
      <c r="H18" s="816">
        <f>F18+G18</f>
        <v>0</v>
      </c>
      <c r="I18" s="822"/>
      <c r="J18" s="821"/>
      <c r="K18" s="816">
        <f>I18+J18</f>
        <v>0</v>
      </c>
    </row>
    <row r="19" spans="1:11">
      <c r="A19" s="190">
        <v>10</v>
      </c>
      <c r="B19" s="165" t="s">
        <v>321</v>
      </c>
      <c r="C19" s="814">
        <v>170963341.29433501</v>
      </c>
      <c r="D19" s="818">
        <v>223866360.72357216</v>
      </c>
      <c r="E19" s="816">
        <f t="shared" ref="E19:E21" si="3">C19+D19</f>
        <v>394829702.01790714</v>
      </c>
      <c r="F19" s="814">
        <v>23459687.232958179</v>
      </c>
      <c r="G19" s="818">
        <v>7223162.363133355</v>
      </c>
      <c r="H19" s="816">
        <f t="shared" ref="H19:H21" si="4">F19+G19</f>
        <v>30682849.596091535</v>
      </c>
      <c r="I19" s="817">
        <v>30007045.895836785</v>
      </c>
      <c r="J19" s="818">
        <v>47940103.412193917</v>
      </c>
      <c r="K19" s="816">
        <f t="shared" ref="K19:K21" si="5">I19+J19</f>
        <v>77947149.308030695</v>
      </c>
    </row>
    <row r="20" spans="1:11">
      <c r="A20" s="190">
        <v>11</v>
      </c>
      <c r="B20" s="165" t="s">
        <v>322</v>
      </c>
      <c r="C20" s="819">
        <v>8484767.6870662048</v>
      </c>
      <c r="D20" s="827">
        <v>9296034.3659181502</v>
      </c>
      <c r="E20" s="816">
        <f t="shared" si="3"/>
        <v>17780802.052984357</v>
      </c>
      <c r="F20" s="819">
        <v>261307.6678285099</v>
      </c>
      <c r="G20" s="827">
        <v>126978.5980060248</v>
      </c>
      <c r="H20" s="816">
        <f t="shared" si="4"/>
        <v>388286.26583453472</v>
      </c>
      <c r="I20" s="828">
        <v>261307.6678285099</v>
      </c>
      <c r="J20" s="827">
        <v>127280.66472163027</v>
      </c>
      <c r="K20" s="816">
        <f t="shared" si="5"/>
        <v>388588.33255014016</v>
      </c>
    </row>
    <row r="21" spans="1:11" ht="13.5" thickBot="1">
      <c r="A21" s="132">
        <v>12</v>
      </c>
      <c r="B21" s="191" t="s">
        <v>323</v>
      </c>
      <c r="C21" s="829">
        <f>SUM(C18:C20)</f>
        <v>179448108.98140121</v>
      </c>
      <c r="D21" s="830">
        <f>SUM(D18:D20)</f>
        <v>233162395.08949032</v>
      </c>
      <c r="E21" s="831">
        <f t="shared" si="3"/>
        <v>412610504.0708915</v>
      </c>
      <c r="F21" s="832">
        <f>SUM(F18:F20)</f>
        <v>23720994.90078669</v>
      </c>
      <c r="G21" s="833">
        <f>SUM(G18:G20)</f>
        <v>7350140.96113938</v>
      </c>
      <c r="H21" s="831">
        <f t="shared" si="4"/>
        <v>31071135.861926071</v>
      </c>
      <c r="I21" s="830">
        <f>SUM(I18:I20)</f>
        <v>30268353.563665297</v>
      </c>
      <c r="J21" s="833">
        <f>SUM(J18:J20)</f>
        <v>48067384.076915547</v>
      </c>
      <c r="K21" s="831">
        <f t="shared" si="5"/>
        <v>78335737.640580848</v>
      </c>
    </row>
    <row r="22" spans="1:11" ht="38.25" customHeight="1" thickBot="1">
      <c r="A22" s="177"/>
      <c r="B22" s="178"/>
      <c r="C22" s="178"/>
      <c r="D22" s="178"/>
      <c r="E22" s="178"/>
      <c r="F22" s="962" t="s">
        <v>324</v>
      </c>
      <c r="G22" s="963"/>
      <c r="H22" s="963"/>
      <c r="I22" s="962" t="s">
        <v>325</v>
      </c>
      <c r="J22" s="963"/>
      <c r="K22" s="964"/>
    </row>
    <row r="23" spans="1:11">
      <c r="A23" s="170">
        <v>13</v>
      </c>
      <c r="B23" s="167" t="s">
        <v>310</v>
      </c>
      <c r="C23" s="176"/>
      <c r="D23" s="176"/>
      <c r="E23" s="176"/>
      <c r="F23" s="834">
        <f>F8</f>
        <v>29884433.997756429</v>
      </c>
      <c r="G23" s="835">
        <f>G8</f>
        <v>82577275.806918129</v>
      </c>
      <c r="H23" s="836">
        <f>F23+G23</f>
        <v>112461709.80467457</v>
      </c>
      <c r="I23" s="834">
        <f>I8</f>
        <v>29856102.812018443</v>
      </c>
      <c r="J23" s="835">
        <f>J8</f>
        <v>82557994.836159915</v>
      </c>
      <c r="K23" s="836">
        <f>I23+J23</f>
        <v>112414097.64817835</v>
      </c>
    </row>
    <row r="24" spans="1:11" ht="13.5" thickBot="1">
      <c r="A24" s="171">
        <v>14</v>
      </c>
      <c r="B24" s="168" t="s">
        <v>326</v>
      </c>
      <c r="C24" s="192"/>
      <c r="D24" s="174"/>
      <c r="E24" s="175"/>
      <c r="F24" s="837">
        <f>F16-MIN(F16*75%,F21)</f>
        <v>7729741.8569362797</v>
      </c>
      <c r="G24" s="838">
        <f>G16-MIN(G16*75%,G21)</f>
        <v>45888210.388740815</v>
      </c>
      <c r="H24" s="839">
        <f>F24+G24</f>
        <v>53617952.245677099</v>
      </c>
      <c r="I24" s="837">
        <f>I16-MIN(I16*75%,I21)</f>
        <v>5856434.4217853546</v>
      </c>
      <c r="J24" s="838">
        <f>J16-MIN(J16*75%,J21)</f>
        <v>10235248.392704375</v>
      </c>
      <c r="K24" s="839">
        <f t="shared" ref="K24" si="6">I24+J24</f>
        <v>16091682.81448973</v>
      </c>
    </row>
    <row r="25" spans="1:11" ht="13.5" thickBot="1">
      <c r="A25" s="172">
        <v>15</v>
      </c>
      <c r="B25" s="169" t="s">
        <v>327</v>
      </c>
      <c r="C25" s="173"/>
      <c r="D25" s="173"/>
      <c r="E25" s="173"/>
      <c r="F25" s="840">
        <f t="shared" ref="F25:G25" si="7">F23/F24</f>
        <v>3.8661619690364755</v>
      </c>
      <c r="G25" s="841">
        <f t="shared" si="7"/>
        <v>1.7995314070295361</v>
      </c>
      <c r="H25" s="842">
        <f>H23/H24</f>
        <v>2.0974637242648835</v>
      </c>
      <c r="I25" s="840">
        <f t="shared" ref="I25:J25" si="8">I23/I24</f>
        <v>5.0980000221562634</v>
      </c>
      <c r="J25" s="841">
        <f t="shared" si="8"/>
        <v>8.0660470238325406</v>
      </c>
      <c r="K25" s="842">
        <f>K23/K24</f>
        <v>6.9858509482274442</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584" t="s">
        <v>97</v>
      </c>
      <c r="B1" s="605" t="str">
        <f>Info!C2</f>
        <v>სს იშბანკი საქართველო</v>
      </c>
    </row>
    <row r="2" spans="1:17">
      <c r="A2" s="38" t="s">
        <v>98</v>
      </c>
      <c r="B2" s="606">
        <f>'1. key ratios'!B2</f>
        <v>46022</v>
      </c>
    </row>
    <row r="3" spans="1:17">
      <c r="B3" s="12"/>
      <c r="C3" s="12"/>
      <c r="D3" s="12"/>
      <c r="E3" s="12"/>
      <c r="F3" s="12"/>
      <c r="G3" s="12"/>
      <c r="H3" s="12"/>
      <c r="I3" s="12"/>
      <c r="J3" s="12"/>
      <c r="K3" s="12"/>
      <c r="L3" s="12"/>
      <c r="M3" s="12"/>
      <c r="N3" s="12"/>
    </row>
    <row r="4" spans="1:17">
      <c r="B4" s="585" t="s">
        <v>980</v>
      </c>
      <c r="C4" s="12"/>
      <c r="D4" s="12"/>
      <c r="E4" s="12"/>
      <c r="F4" s="12"/>
      <c r="G4" s="12"/>
      <c r="H4" s="12"/>
      <c r="I4" s="12"/>
      <c r="J4" s="12"/>
      <c r="K4" s="12"/>
      <c r="L4" s="12"/>
      <c r="M4" s="12"/>
      <c r="N4" s="12"/>
    </row>
    <row r="5" spans="1:17" ht="105">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5.75">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5.75">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5.75">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5.75">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5.75">
      <c r="B10" s="595" t="s">
        <v>989</v>
      </c>
      <c r="C10" s="596"/>
      <c r="D10" s="596"/>
      <c r="E10" s="596"/>
      <c r="F10" s="596"/>
      <c r="G10" s="596"/>
      <c r="H10" s="593">
        <v>1.4</v>
      </c>
      <c r="I10" s="594">
        <f t="shared" si="2"/>
        <v>0</v>
      </c>
      <c r="J10" s="597"/>
      <c r="K10" s="597"/>
      <c r="L10" s="597"/>
      <c r="M10" s="597"/>
      <c r="N10" s="597"/>
      <c r="O10" s="597"/>
      <c r="P10" s="597"/>
      <c r="Q10" s="556">
        <f>SUM(Q11:Q13)</f>
        <v>0</v>
      </c>
    </row>
    <row r="11" spans="1:17" ht="15.75">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5.75">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5.75">
      <c r="B13" s="598" t="s">
        <v>978</v>
      </c>
      <c r="C13" s="596"/>
      <c r="D13" s="596"/>
      <c r="E13" s="596"/>
      <c r="F13" s="596"/>
      <c r="G13" s="596"/>
      <c r="H13" s="593">
        <v>1.4</v>
      </c>
      <c r="I13" s="594">
        <f t="shared" si="2"/>
        <v>0</v>
      </c>
      <c r="J13" s="597"/>
      <c r="K13" s="597"/>
      <c r="L13" s="597"/>
      <c r="M13" s="597"/>
      <c r="N13" s="597"/>
      <c r="O13" s="597"/>
      <c r="P13" s="597"/>
      <c r="Q13" s="556">
        <f t="shared" si="4"/>
        <v>0</v>
      </c>
    </row>
    <row r="14" spans="1:17" ht="15.75">
      <c r="B14" s="595" t="s">
        <v>990</v>
      </c>
      <c r="C14" s="596"/>
      <c r="D14" s="596"/>
      <c r="E14" s="596"/>
      <c r="F14" s="596"/>
      <c r="G14" s="596"/>
      <c r="H14" s="593">
        <v>1.4</v>
      </c>
      <c r="I14" s="594">
        <f t="shared" si="2"/>
        <v>0</v>
      </c>
      <c r="J14" s="597"/>
      <c r="K14" s="597"/>
      <c r="L14" s="597"/>
      <c r="M14" s="597"/>
      <c r="N14" s="597"/>
      <c r="O14" s="597"/>
      <c r="P14" s="597"/>
      <c r="Q14" s="556">
        <f>SUM(Q15:Q17)</f>
        <v>0</v>
      </c>
    </row>
    <row r="15" spans="1:17" ht="15.75">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5.75">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5.75">
      <c r="B17" s="598" t="s">
        <v>978</v>
      </c>
      <c r="C17" s="596"/>
      <c r="D17" s="596"/>
      <c r="E17" s="596"/>
      <c r="F17" s="596"/>
      <c r="G17" s="596"/>
      <c r="H17" s="593">
        <v>1.4</v>
      </c>
      <c r="I17" s="594">
        <f t="shared" si="2"/>
        <v>0</v>
      </c>
      <c r="J17" s="597"/>
      <c r="K17" s="597"/>
      <c r="L17" s="597"/>
      <c r="M17" s="597"/>
      <c r="N17" s="597"/>
      <c r="O17" s="597"/>
      <c r="P17" s="597"/>
      <c r="Q17" s="556">
        <f t="shared" si="5"/>
        <v>0</v>
      </c>
    </row>
    <row r="18" spans="2:17" ht="15.75">
      <c r="B18" s="595" t="s">
        <v>991</v>
      </c>
      <c r="C18" s="596"/>
      <c r="D18" s="596"/>
      <c r="E18" s="596"/>
      <c r="F18" s="596"/>
      <c r="G18" s="596"/>
      <c r="H18" s="593">
        <v>1.4</v>
      </c>
      <c r="I18" s="594">
        <f t="shared" si="2"/>
        <v>0</v>
      </c>
      <c r="J18" s="597"/>
      <c r="K18" s="597"/>
      <c r="L18" s="597"/>
      <c r="M18" s="597"/>
      <c r="N18" s="597"/>
      <c r="O18" s="597"/>
      <c r="P18" s="597"/>
      <c r="Q18" s="556">
        <f>SUM(Q19:Q21)</f>
        <v>0</v>
      </c>
    </row>
    <row r="19" spans="2:17" ht="15.75">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5.75">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5.75">
      <c r="B21" s="598" t="s">
        <v>978</v>
      </c>
      <c r="C21" s="596"/>
      <c r="D21" s="596"/>
      <c r="E21" s="596"/>
      <c r="F21" s="596"/>
      <c r="G21" s="596"/>
      <c r="H21" s="593">
        <v>1.4</v>
      </c>
      <c r="I21" s="594">
        <f t="shared" si="2"/>
        <v>0</v>
      </c>
      <c r="J21" s="597"/>
      <c r="K21" s="597"/>
      <c r="L21" s="597"/>
      <c r="M21" s="597"/>
      <c r="N21" s="597"/>
      <c r="O21" s="597"/>
      <c r="P21" s="597"/>
      <c r="Q21" s="556">
        <f t="shared" si="6"/>
        <v>0</v>
      </c>
    </row>
    <row r="22" spans="2:17" ht="15.75">
      <c r="B22" s="595" t="s">
        <v>992</v>
      </c>
      <c r="C22" s="596"/>
      <c r="D22" s="596"/>
      <c r="E22" s="596"/>
      <c r="F22" s="596"/>
      <c r="G22" s="596"/>
      <c r="H22" s="593">
        <v>1.4</v>
      </c>
      <c r="I22" s="594">
        <f t="shared" si="2"/>
        <v>0</v>
      </c>
      <c r="J22" s="597"/>
      <c r="K22" s="597"/>
      <c r="L22" s="597"/>
      <c r="M22" s="597"/>
      <c r="N22" s="597"/>
      <c r="O22" s="597"/>
      <c r="P22" s="597"/>
      <c r="Q22" s="556">
        <f>SUM(Q23:Q25)</f>
        <v>0</v>
      </c>
    </row>
    <row r="23" spans="2:17" ht="15.75">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5.75">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5.75">
      <c r="B25" s="598" t="s">
        <v>978</v>
      </c>
      <c r="C25" s="596"/>
      <c r="D25" s="596"/>
      <c r="E25" s="596"/>
      <c r="F25" s="596"/>
      <c r="G25" s="596"/>
      <c r="H25" s="593">
        <v>1.4</v>
      </c>
      <c r="I25" s="594">
        <f t="shared" si="2"/>
        <v>0</v>
      </c>
      <c r="J25" s="597"/>
      <c r="K25" s="597"/>
      <c r="L25" s="597"/>
      <c r="M25" s="597"/>
      <c r="N25" s="597"/>
      <c r="O25" s="597"/>
      <c r="P25" s="597"/>
      <c r="Q25" s="556">
        <f t="shared" si="7"/>
        <v>0</v>
      </c>
    </row>
    <row r="26" spans="2:17" ht="15.75">
      <c r="B26" s="595" t="s">
        <v>993</v>
      </c>
      <c r="C26" s="596"/>
      <c r="D26" s="596"/>
      <c r="E26" s="596"/>
      <c r="F26" s="596"/>
      <c r="G26" s="596"/>
      <c r="H26" s="593">
        <v>1.4</v>
      </c>
      <c r="I26" s="594">
        <f t="shared" si="2"/>
        <v>0</v>
      </c>
      <c r="J26" s="597"/>
      <c r="K26" s="597"/>
      <c r="L26" s="597"/>
      <c r="M26" s="597"/>
      <c r="N26" s="597"/>
      <c r="O26" s="597"/>
      <c r="P26" s="597"/>
      <c r="Q26" s="556">
        <f>SUM(Q27:Q29)</f>
        <v>0</v>
      </c>
    </row>
    <row r="27" spans="2:17" ht="15.75">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5.75">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5.75">
      <c r="B29" s="598" t="s">
        <v>978</v>
      </c>
      <c r="C29" s="596"/>
      <c r="D29" s="596"/>
      <c r="E29" s="596"/>
      <c r="F29" s="596"/>
      <c r="G29" s="596"/>
      <c r="H29" s="593">
        <v>1.4</v>
      </c>
      <c r="I29" s="594">
        <f t="shared" si="2"/>
        <v>0</v>
      </c>
      <c r="J29" s="597"/>
      <c r="K29" s="597"/>
      <c r="L29" s="597"/>
      <c r="M29" s="597"/>
      <c r="N29" s="597"/>
      <c r="O29" s="597"/>
      <c r="P29" s="597"/>
      <c r="Q29" s="556">
        <f t="shared" si="8"/>
        <v>0</v>
      </c>
    </row>
    <row r="30" spans="2:17" ht="15.75">
      <c r="B30" s="599" t="s">
        <v>994</v>
      </c>
      <c r="C30" s="596"/>
      <c r="D30" s="596"/>
      <c r="E30" s="596"/>
      <c r="F30" s="596"/>
      <c r="G30" s="596"/>
      <c r="H30" s="593">
        <v>1.4</v>
      </c>
      <c r="I30" s="594">
        <f t="shared" si="2"/>
        <v>0</v>
      </c>
      <c r="J30" s="597"/>
      <c r="K30" s="597"/>
      <c r="L30" s="597"/>
      <c r="M30" s="597"/>
      <c r="N30" s="597"/>
      <c r="O30" s="597"/>
      <c r="P30" s="597"/>
      <c r="Q30" s="556">
        <f>SUM(Q31:Q33)</f>
        <v>0</v>
      </c>
    </row>
    <row r="31" spans="2:17" ht="15.75">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5.75">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5.75">
      <c r="B33" s="598" t="s">
        <v>978</v>
      </c>
      <c r="C33" s="596"/>
      <c r="D33" s="596"/>
      <c r="E33" s="596"/>
      <c r="F33" s="596"/>
      <c r="G33" s="596"/>
      <c r="H33" s="593">
        <v>1.4</v>
      </c>
      <c r="I33" s="594">
        <f t="shared" si="2"/>
        <v>0</v>
      </c>
      <c r="J33" s="597"/>
      <c r="K33" s="597"/>
      <c r="L33" s="597"/>
      <c r="M33" s="597"/>
      <c r="N33" s="597"/>
      <c r="O33" s="597"/>
      <c r="P33" s="597"/>
      <c r="Q33" s="556">
        <f t="shared" si="9"/>
        <v>0</v>
      </c>
    </row>
    <row r="34" spans="2:17" ht="15.75">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605" t="str">
        <f>Info!C2</f>
        <v>სს იშბანკი საქართველო</v>
      </c>
    </row>
    <row r="2" spans="1:8">
      <c r="A2" s="17" t="s">
        <v>98</v>
      </c>
      <c r="B2" s="606">
        <v>46022</v>
      </c>
      <c r="C2" s="28"/>
      <c r="D2" s="18"/>
      <c r="E2" s="18"/>
      <c r="F2" s="18"/>
      <c r="G2" s="18"/>
      <c r="H2" s="1"/>
    </row>
    <row r="3" spans="1:8" ht="16.5" thickBot="1">
      <c r="A3" s="17"/>
      <c r="C3" s="28"/>
      <c r="D3" s="18"/>
      <c r="E3" s="18"/>
      <c r="F3" s="18"/>
      <c r="G3" s="18"/>
      <c r="H3" s="1"/>
    </row>
    <row r="4" spans="1:8" ht="15" customHeight="1" thickBot="1">
      <c r="A4" s="39" t="s">
        <v>241</v>
      </c>
      <c r="B4" s="125" t="s">
        <v>128</v>
      </c>
      <c r="C4" s="126"/>
      <c r="D4" s="904" t="s">
        <v>904</v>
      </c>
      <c r="E4" s="905"/>
      <c r="F4" s="905"/>
      <c r="G4" s="906"/>
      <c r="H4" s="1"/>
    </row>
    <row r="5" spans="1:8" ht="15">
      <c r="A5" s="160" t="s">
        <v>25</v>
      </c>
      <c r="B5" s="161"/>
      <c r="C5" s="255" t="str">
        <f>INT((MONTH($B$2))/3)&amp;"Q"&amp;"-"&amp;YEAR($B$2)</f>
        <v>4Q-2025</v>
      </c>
      <c r="D5" s="628" t="str">
        <f>IF(INT(MONTH($B$2))=3, "4"&amp;"Q"&amp;"-"&amp;YEAR($B$2)-1, IF(INT(MONTH($B$2))=6, "1"&amp;"Q"&amp;"-"&amp;YEAR($B$2), IF(INT(MONTH($B$2))=9, "2"&amp;"Q"&amp;"-"&amp;YEAR($B$2),IF(INT(MONTH($B$2))=12, "3"&amp;"Q"&amp;"-"&amp;YEAR($B$2), 0))))</f>
        <v>3Q-2025</v>
      </c>
      <c r="E5" s="254" t="str">
        <f>IF(INT(MONTH($B$2))=3, "3"&amp;"Q"&amp;"-"&amp;YEAR($B$2)-1, IF(INT(MONTH($B$2))=6, "4"&amp;"Q"&amp;"-"&amp;YEAR($B$2)-1, IF(INT(MONTH($B$2))=9, "1"&amp;"Q"&amp;"-"&amp;YEAR($B$2),IF(INT(MONTH($B$2))=12, "2"&amp;"Q"&amp;"-"&amp;YEAR($B$2), 0))))</f>
        <v>2Q-2025</v>
      </c>
      <c r="F5" s="254" t="str">
        <f>IF(INT(MONTH($B$2))=3, "2"&amp;"Q"&amp;"-"&amp;YEAR($B$2)-1, IF(INT(MONTH($B$2))=6, "3"&amp;"Q"&amp;"-"&amp;YEAR($B$2)-1, IF(INT(MONTH($B$2))=9, "4"&amp;"Q"&amp;"-"&amp;YEAR($B$2)-1,IF(INT(MONTH($B$2))=12, "1"&amp;"Q"&amp;"-"&amp;YEAR($B$2), 0))))</f>
        <v>1Q-2025</v>
      </c>
      <c r="G5" s="255" t="str">
        <f>IF(INT(MONTH($B$2))=3, "1"&amp;"Q"&amp;"-"&amp;YEAR($B$2)-1, IF(INT(MONTH($B$2))=6, "2"&amp;"Q"&amp;"-"&amp;YEAR($B$2)-1, IF(INT(MONTH($B$2))=9, "3"&amp;"Q"&amp;"-"&amp;YEAR($B$2)-1,IF(INT(MONTH($B$2))=12, "4"&amp;"Q"&amp;"-"&amp;YEAR($B$2)-1, 0))))</f>
        <v>4Q-2024</v>
      </c>
    </row>
    <row r="6" spans="1:8" ht="15">
      <c r="A6" s="256"/>
      <c r="B6" s="257" t="s">
        <v>95</v>
      </c>
      <c r="C6" s="638"/>
      <c r="D6" s="607"/>
      <c r="E6" s="607"/>
      <c r="F6" s="607"/>
      <c r="G6" s="608"/>
    </row>
    <row r="7" spans="1:8" ht="15">
      <c r="A7" s="256"/>
      <c r="B7" s="258" t="s">
        <v>99</v>
      </c>
      <c r="C7" s="638"/>
      <c r="D7" s="607"/>
      <c r="E7" s="607"/>
      <c r="F7" s="607"/>
      <c r="G7" s="608"/>
    </row>
    <row r="8" spans="1:8" ht="15">
      <c r="A8" s="243">
        <v>1</v>
      </c>
      <c r="B8" s="244" t="s">
        <v>22</v>
      </c>
      <c r="C8" s="639">
        <v>157785516.50474495</v>
      </c>
      <c r="D8" s="629">
        <v>155024100.71134827</v>
      </c>
      <c r="E8" s="609">
        <v>150687460.46515608</v>
      </c>
      <c r="F8" s="609">
        <v>147115694.66173756</v>
      </c>
      <c r="G8" s="610">
        <v>143298736.73131147</v>
      </c>
    </row>
    <row r="9" spans="1:8" ht="15">
      <c r="A9" s="243">
        <v>2</v>
      </c>
      <c r="B9" s="244" t="s">
        <v>75</v>
      </c>
      <c r="C9" s="639">
        <v>157785516.50474495</v>
      </c>
      <c r="D9" s="629">
        <v>155024100.71134827</v>
      </c>
      <c r="E9" s="609">
        <v>150687460.46515608</v>
      </c>
      <c r="F9" s="609">
        <v>147115694.66173756</v>
      </c>
      <c r="G9" s="610">
        <v>143298736.73131147</v>
      </c>
    </row>
    <row r="10" spans="1:8" ht="15">
      <c r="A10" s="243">
        <v>3</v>
      </c>
      <c r="B10" s="244" t="s">
        <v>74</v>
      </c>
      <c r="C10" s="639">
        <v>157785516.50474495</v>
      </c>
      <c r="D10" s="629">
        <v>155024100.71134827</v>
      </c>
      <c r="E10" s="609">
        <v>150687460.46515608</v>
      </c>
      <c r="F10" s="609">
        <v>147115694.66173756</v>
      </c>
      <c r="G10" s="610">
        <v>143298736.73131147</v>
      </c>
    </row>
    <row r="11" spans="1:8" ht="15">
      <c r="A11" s="243">
        <v>4</v>
      </c>
      <c r="B11" s="244" t="s">
        <v>414</v>
      </c>
      <c r="C11" s="639">
        <v>93869980.199185476</v>
      </c>
      <c r="D11" s="629">
        <v>86932342.176273659</v>
      </c>
      <c r="E11" s="609">
        <v>88186178.194553629</v>
      </c>
      <c r="F11" s="609">
        <v>83716429.350780085</v>
      </c>
      <c r="G11" s="610">
        <v>80174847.553948268</v>
      </c>
    </row>
    <row r="12" spans="1:8" ht="15">
      <c r="A12" s="243">
        <v>5</v>
      </c>
      <c r="B12" s="244" t="s">
        <v>415</v>
      </c>
      <c r="C12" s="639">
        <v>116101534.14035493</v>
      </c>
      <c r="D12" s="629">
        <v>108123821.05279876</v>
      </c>
      <c r="E12" s="609">
        <v>109617357.93304914</v>
      </c>
      <c r="F12" s="609">
        <v>103751455.76028322</v>
      </c>
      <c r="G12" s="610">
        <v>99474703.452582493</v>
      </c>
    </row>
    <row r="13" spans="1:8" ht="15">
      <c r="A13" s="243">
        <v>6</v>
      </c>
      <c r="B13" s="244" t="s">
        <v>416</v>
      </c>
      <c r="C13" s="639">
        <v>145515449.76982984</v>
      </c>
      <c r="D13" s="629">
        <v>136152162.87065032</v>
      </c>
      <c r="E13" s="609">
        <v>137963955.96247262</v>
      </c>
      <c r="F13" s="609">
        <v>130260347.71999146</v>
      </c>
      <c r="G13" s="610">
        <v>125017250.44561318</v>
      </c>
    </row>
    <row r="14" spans="1:8" ht="15">
      <c r="A14" s="256"/>
      <c r="B14" s="257" t="s">
        <v>418</v>
      </c>
      <c r="C14" s="638"/>
      <c r="D14" s="607"/>
      <c r="E14" s="607"/>
      <c r="F14" s="607"/>
      <c r="G14" s="608"/>
    </row>
    <row r="15" spans="1:8" ht="21.95" customHeight="1">
      <c r="A15" s="243">
        <v>7</v>
      </c>
      <c r="B15" s="244" t="s">
        <v>417</v>
      </c>
      <c r="C15" s="640">
        <v>615109686.1573081</v>
      </c>
      <c r="D15" s="629">
        <v>550304525.21034646</v>
      </c>
      <c r="E15" s="609">
        <v>561173819.33175027</v>
      </c>
      <c r="F15" s="609">
        <v>558657399.37569761</v>
      </c>
      <c r="G15" s="610">
        <v>562399080.34536076</v>
      </c>
    </row>
    <row r="16" spans="1:8" ht="15">
      <c r="A16" s="256"/>
      <c r="B16" s="257" t="s">
        <v>421</v>
      </c>
      <c r="C16" s="638"/>
      <c r="D16" s="607"/>
      <c r="E16" s="607"/>
      <c r="F16" s="607"/>
      <c r="G16" s="608"/>
    </row>
    <row r="17" spans="1:7" s="3" customFormat="1" ht="15">
      <c r="A17" s="243"/>
      <c r="B17" s="258" t="s">
        <v>967</v>
      </c>
      <c r="C17" s="640"/>
      <c r="D17" s="629"/>
      <c r="E17" s="609"/>
      <c r="F17" s="609"/>
      <c r="G17" s="610"/>
    </row>
    <row r="18" spans="1:7" ht="15">
      <c r="A18" s="242">
        <v>8</v>
      </c>
      <c r="B18" s="259" t="s">
        <v>412</v>
      </c>
      <c r="C18" s="641">
        <v>0.25651606543616173</v>
      </c>
      <c r="D18" s="630">
        <v>0.28170602568113062</v>
      </c>
      <c r="E18" s="611">
        <v>0.2685219004774595</v>
      </c>
      <c r="F18" s="611">
        <v>0.2633379506404821</v>
      </c>
      <c r="G18" s="612">
        <v>0.254799023930327</v>
      </c>
    </row>
    <row r="19" spans="1:7" ht="15" customHeight="1">
      <c r="A19" s="242">
        <v>9</v>
      </c>
      <c r="B19" s="259" t="s">
        <v>411</v>
      </c>
      <c r="C19" s="641">
        <v>0.25651606543616173</v>
      </c>
      <c r="D19" s="630">
        <v>0.28170602568113062</v>
      </c>
      <c r="E19" s="611">
        <v>0.2685219004774595</v>
      </c>
      <c r="F19" s="611">
        <v>0.2633379506404821</v>
      </c>
      <c r="G19" s="612">
        <v>0.254799023930327</v>
      </c>
    </row>
    <row r="20" spans="1:7" ht="15">
      <c r="A20" s="242">
        <v>10</v>
      </c>
      <c r="B20" s="259" t="s">
        <v>413</v>
      </c>
      <c r="C20" s="641">
        <v>0.25651606543616173</v>
      </c>
      <c r="D20" s="630">
        <v>0.28170602568113062</v>
      </c>
      <c r="E20" s="611">
        <v>0.2685219004774595</v>
      </c>
      <c r="F20" s="611">
        <v>0.2633379506404821</v>
      </c>
      <c r="G20" s="612">
        <v>0.254799023930327</v>
      </c>
    </row>
    <row r="21" spans="1:7" ht="15">
      <c r="A21" s="242">
        <v>11</v>
      </c>
      <c r="B21" s="244" t="s">
        <v>414</v>
      </c>
      <c r="C21" s="641">
        <v>0.15260689647988923</v>
      </c>
      <c r="D21" s="630">
        <v>0.15797133803877944</v>
      </c>
      <c r="E21" s="611">
        <v>0.15714592369894653</v>
      </c>
      <c r="F21" s="611">
        <v>0.14985289632668181</v>
      </c>
      <c r="G21" s="612">
        <v>0.14255863915124845</v>
      </c>
    </row>
    <row r="22" spans="1:7" ht="15">
      <c r="A22" s="242">
        <v>12</v>
      </c>
      <c r="B22" s="244" t="s">
        <v>415</v>
      </c>
      <c r="C22" s="641">
        <v>0.18874931862260275</v>
      </c>
      <c r="D22" s="630">
        <v>0.196479978083898</v>
      </c>
      <c r="E22" s="611">
        <v>0.1953358374123409</v>
      </c>
      <c r="F22" s="611">
        <v>0.18571571033736595</v>
      </c>
      <c r="G22" s="612">
        <v>0.1768756509905681</v>
      </c>
    </row>
    <row r="23" spans="1:7" ht="15">
      <c r="A23" s="242">
        <v>13</v>
      </c>
      <c r="B23" s="244" t="s">
        <v>416</v>
      </c>
      <c r="C23" s="641">
        <v>0.23656829512617322</v>
      </c>
      <c r="D23" s="630">
        <v>0.24741239919589614</v>
      </c>
      <c r="E23" s="611">
        <v>0.24584888177207032</v>
      </c>
      <c r="F23" s="611">
        <v>0.23316678140405558</v>
      </c>
      <c r="G23" s="612">
        <v>0.2222927718317782</v>
      </c>
    </row>
    <row r="24" spans="1:7" ht="15">
      <c r="A24" s="256"/>
      <c r="B24" s="257" t="s">
        <v>952</v>
      </c>
      <c r="C24" s="642"/>
      <c r="D24" s="162"/>
      <c r="E24" s="162"/>
      <c r="F24" s="162"/>
      <c r="G24" s="163"/>
    </row>
    <row r="25" spans="1:7" ht="25.5">
      <c r="A25" s="242">
        <v>14</v>
      </c>
      <c r="B25" s="259" t="s">
        <v>953</v>
      </c>
      <c r="C25" s="643"/>
      <c r="D25" s="631"/>
      <c r="E25" s="614"/>
      <c r="F25" s="614"/>
      <c r="G25" s="615"/>
    </row>
    <row r="26" spans="1:7" ht="15">
      <c r="A26" s="256"/>
      <c r="B26" s="257" t="s">
        <v>6</v>
      </c>
      <c r="C26" s="638"/>
      <c r="D26" s="607"/>
      <c r="E26" s="607"/>
      <c r="F26" s="607"/>
      <c r="G26" s="608"/>
    </row>
    <row r="27" spans="1:7" ht="15" customHeight="1">
      <c r="A27" s="260">
        <v>15</v>
      </c>
      <c r="B27" s="261" t="s">
        <v>7</v>
      </c>
      <c r="C27" s="644">
        <v>8.3074597841345452E-2</v>
      </c>
      <c r="D27" s="632">
        <v>8.4685242433697391E-2</v>
      </c>
      <c r="E27" s="616">
        <v>8.2224613343088435E-2</v>
      </c>
      <c r="F27" s="616">
        <v>8.1324431602180863E-2</v>
      </c>
      <c r="G27" s="617">
        <v>8.3417388466189735E-2</v>
      </c>
    </row>
    <row r="28" spans="1:7" ht="15">
      <c r="A28" s="260">
        <v>16</v>
      </c>
      <c r="B28" s="261" t="s">
        <v>8</v>
      </c>
      <c r="C28" s="644">
        <v>3.3293119885617506E-2</v>
      </c>
      <c r="D28" s="632">
        <v>3.397564768992261E-2</v>
      </c>
      <c r="E28" s="616">
        <v>3.4343689815697E-2</v>
      </c>
      <c r="F28" s="616">
        <v>3.5711002447670288E-2</v>
      </c>
      <c r="G28" s="617">
        <v>3.5193573582668738E-2</v>
      </c>
    </row>
    <row r="29" spans="1:7" ht="15">
      <c r="A29" s="260">
        <v>17</v>
      </c>
      <c r="B29" s="261" t="s">
        <v>9</v>
      </c>
      <c r="C29" s="644">
        <v>5.8142905050159004E-2</v>
      </c>
      <c r="D29" s="632">
        <v>5.9458343141652596E-2</v>
      </c>
      <c r="E29" s="616">
        <v>5.6427269332453879E-2</v>
      </c>
      <c r="F29" s="616">
        <v>5.4504400632144706E-2</v>
      </c>
      <c r="G29" s="617">
        <v>5.6080773530188602E-2</v>
      </c>
    </row>
    <row r="30" spans="1:7" ht="15">
      <c r="A30" s="260">
        <v>18</v>
      </c>
      <c r="B30" s="261" t="s">
        <v>129</v>
      </c>
      <c r="C30" s="644">
        <v>4.9781477955727946E-2</v>
      </c>
      <c r="D30" s="632">
        <v>5.0709594743774775E-2</v>
      </c>
      <c r="E30" s="616">
        <v>4.7880923527391435E-2</v>
      </c>
      <c r="F30" s="616">
        <v>4.5613429154510582E-2</v>
      </c>
      <c r="G30" s="617">
        <v>4.8223814883520989E-2</v>
      </c>
    </row>
    <row r="31" spans="1:7" ht="15">
      <c r="A31" s="260">
        <v>19</v>
      </c>
      <c r="B31" s="261" t="s">
        <v>10</v>
      </c>
      <c r="C31" s="644">
        <v>2.9013907692045347E-2</v>
      </c>
      <c r="D31" s="632">
        <v>3.2027229800738972E-2</v>
      </c>
      <c r="E31" s="616">
        <v>2.9868286282239007E-2</v>
      </c>
      <c r="F31" s="616">
        <v>3.0492880780700005E-2</v>
      </c>
      <c r="G31" s="617">
        <v>2.6113213402110268E-2</v>
      </c>
    </row>
    <row r="32" spans="1:7" ht="15">
      <c r="A32" s="260">
        <v>20</v>
      </c>
      <c r="B32" s="261" t="s">
        <v>11</v>
      </c>
      <c r="C32" s="644">
        <v>9.3046729222242511E-2</v>
      </c>
      <c r="D32" s="632">
        <v>0.1017355594814195</v>
      </c>
      <c r="E32" s="616">
        <v>9.7348834313283089E-2</v>
      </c>
      <c r="F32" s="616">
        <v>0.10187713381723718</v>
      </c>
      <c r="G32" s="617">
        <v>8.4551661671118813E-2</v>
      </c>
    </row>
    <row r="33" spans="1:7" ht="15">
      <c r="A33" s="256"/>
      <c r="B33" s="257" t="s">
        <v>12</v>
      </c>
      <c r="C33" s="638"/>
      <c r="D33" s="607"/>
      <c r="E33" s="607"/>
      <c r="F33" s="607"/>
      <c r="G33" s="608"/>
    </row>
    <row r="34" spans="1:7" ht="15">
      <c r="A34" s="260">
        <v>21</v>
      </c>
      <c r="B34" s="261" t="s">
        <v>13</v>
      </c>
      <c r="C34" s="645">
        <v>3.915955644666529E-3</v>
      </c>
      <c r="D34" s="632">
        <v>3.8445787133111736E-3</v>
      </c>
      <c r="E34" s="616">
        <v>2.3289362488576005E-3</v>
      </c>
      <c r="F34" s="616">
        <v>3.7827120778000374E-3</v>
      </c>
      <c r="G34" s="617">
        <v>3.2261328472465455E-3</v>
      </c>
    </row>
    <row r="35" spans="1:7" ht="15" customHeight="1">
      <c r="A35" s="260">
        <v>22</v>
      </c>
      <c r="B35" s="261" t="s">
        <v>917</v>
      </c>
      <c r="C35" s="645">
        <v>7.3190224709925675E-3</v>
      </c>
      <c r="D35" s="632">
        <v>5.7638516196688592E-3</v>
      </c>
      <c r="E35" s="616">
        <v>5.2140453557838811E-3</v>
      </c>
      <c r="F35" s="616">
        <v>5.2629588052251659E-3</v>
      </c>
      <c r="G35" s="617">
        <v>5.0022606139634562E-3</v>
      </c>
    </row>
    <row r="36" spans="1:7" ht="15">
      <c r="A36" s="260">
        <v>23</v>
      </c>
      <c r="B36" s="261" t="s">
        <v>14</v>
      </c>
      <c r="C36" s="645">
        <v>0.58128545172504331</v>
      </c>
      <c r="D36" s="632">
        <v>0.55484106676765677</v>
      </c>
      <c r="E36" s="616">
        <v>0.54885315085887321</v>
      </c>
      <c r="F36" s="616">
        <v>0.52270163514524359</v>
      </c>
      <c r="G36" s="617">
        <v>0.53794588813786759</v>
      </c>
    </row>
    <row r="37" spans="1:7" ht="15" customHeight="1">
      <c r="A37" s="260">
        <v>24</v>
      </c>
      <c r="B37" s="261" t="s">
        <v>15</v>
      </c>
      <c r="C37" s="645">
        <v>0.63305342329924008</v>
      </c>
      <c r="D37" s="632">
        <v>0.54518576429017096</v>
      </c>
      <c r="E37" s="616">
        <v>0.54361182696884625</v>
      </c>
      <c r="F37" s="616">
        <v>0.52095906341894527</v>
      </c>
      <c r="G37" s="617">
        <v>0.55605926978810216</v>
      </c>
    </row>
    <row r="38" spans="1:7" ht="15">
      <c r="A38" s="260">
        <v>25</v>
      </c>
      <c r="B38" s="261" t="s">
        <v>16</v>
      </c>
      <c r="C38" s="645">
        <v>7.5917567983325033E-3</v>
      </c>
      <c r="D38" s="632">
        <v>1.7616225616533952E-2</v>
      </c>
      <c r="E38" s="616">
        <v>7.8187759523223446E-2</v>
      </c>
      <c r="F38" s="616">
        <v>-9.4576863836034336E-3</v>
      </c>
      <c r="G38" s="617">
        <v>0.19581364582216343</v>
      </c>
    </row>
    <row r="39" spans="1:7" ht="15" customHeight="1">
      <c r="A39" s="256"/>
      <c r="B39" s="257" t="s">
        <v>17</v>
      </c>
      <c r="C39" s="646"/>
      <c r="D39" s="607"/>
      <c r="E39" s="607"/>
      <c r="F39" s="607"/>
      <c r="G39" s="608"/>
    </row>
    <row r="40" spans="1:7" ht="15" customHeight="1">
      <c r="A40" s="260">
        <v>26</v>
      </c>
      <c r="B40" s="261" t="s">
        <v>18</v>
      </c>
      <c r="C40" s="645">
        <v>0.37063394209974992</v>
      </c>
      <c r="D40" s="633">
        <v>0.22428427349627802</v>
      </c>
      <c r="E40" s="618">
        <v>0.19799337081000168</v>
      </c>
      <c r="F40" s="618">
        <v>0.21363613422472391</v>
      </c>
      <c r="G40" s="619">
        <v>0.19355388930167128</v>
      </c>
    </row>
    <row r="41" spans="1:7" ht="15" customHeight="1">
      <c r="A41" s="260">
        <v>27</v>
      </c>
      <c r="B41" s="261" t="s">
        <v>19</v>
      </c>
      <c r="C41" s="645">
        <v>0.85713069565923627</v>
      </c>
      <c r="D41" s="633">
        <v>0.83021661667061131</v>
      </c>
      <c r="E41" s="618">
        <v>0.80076368492290362</v>
      </c>
      <c r="F41" s="618">
        <v>0.76661201237167154</v>
      </c>
      <c r="G41" s="619">
        <v>0.80332210555449612</v>
      </c>
    </row>
    <row r="42" spans="1:7" ht="15" customHeight="1">
      <c r="A42" s="260">
        <v>28</v>
      </c>
      <c r="B42" s="262" t="s">
        <v>20</v>
      </c>
      <c r="C42" s="645">
        <v>0.13542416734437102</v>
      </c>
      <c r="D42" s="633">
        <v>0.12246962934457821</v>
      </c>
      <c r="E42" s="618">
        <v>0.14728626027381847</v>
      </c>
      <c r="F42" s="618">
        <v>0.14086167678367237</v>
      </c>
      <c r="G42" s="619">
        <v>0.14334308802902421</v>
      </c>
    </row>
    <row r="43" spans="1:7" ht="15" customHeight="1">
      <c r="A43" s="263"/>
      <c r="B43" s="257" t="s">
        <v>344</v>
      </c>
      <c r="C43" s="638"/>
      <c r="D43" s="607"/>
      <c r="E43" s="607"/>
      <c r="F43" s="607"/>
      <c r="G43" s="608"/>
    </row>
    <row r="44" spans="1:7" ht="15" customHeight="1">
      <c r="A44" s="260">
        <v>29</v>
      </c>
      <c r="B44" s="297" t="s">
        <v>328</v>
      </c>
      <c r="C44" s="647">
        <v>232026575.26607576</v>
      </c>
      <c r="D44" s="634">
        <v>104875682.22197714</v>
      </c>
      <c r="E44" s="620">
        <v>95829230.414931968</v>
      </c>
      <c r="F44" s="620">
        <v>100767888.36719733</v>
      </c>
      <c r="G44" s="621">
        <v>94831123.124617696</v>
      </c>
    </row>
    <row r="45" spans="1:7" ht="15">
      <c r="A45" s="260">
        <v>30</v>
      </c>
      <c r="B45" s="261" t="s">
        <v>329</v>
      </c>
      <c r="C45" s="647">
        <v>66993630.972279087</v>
      </c>
      <c r="D45" s="634">
        <v>55448479.389427491</v>
      </c>
      <c r="E45" s="620">
        <v>26683803.235503621</v>
      </c>
      <c r="F45" s="620">
        <v>48544665.332213111</v>
      </c>
      <c r="G45" s="621">
        <v>71811250.65869005</v>
      </c>
    </row>
    <row r="46" spans="1:7" ht="15">
      <c r="A46" s="295">
        <v>31</v>
      </c>
      <c r="B46" s="296" t="s">
        <v>327</v>
      </c>
      <c r="C46" s="648">
        <f>C44/C45</f>
        <v>3.4634124453126702</v>
      </c>
      <c r="D46" s="635">
        <v>1.891407724374387</v>
      </c>
      <c r="E46" s="622">
        <v>3.5912883020898696</v>
      </c>
      <c r="F46" s="622">
        <v>2.0757767651212977</v>
      </c>
      <c r="G46" s="623">
        <v>1.3205608070431503</v>
      </c>
    </row>
    <row r="47" spans="1:7" ht="15">
      <c r="A47" s="295"/>
      <c r="B47" s="257" t="s">
        <v>422</v>
      </c>
      <c r="C47" s="649"/>
      <c r="D47" s="636"/>
      <c r="E47" s="624"/>
      <c r="F47" s="624"/>
      <c r="G47" s="625"/>
    </row>
    <row r="48" spans="1:7" ht="15">
      <c r="A48" s="295">
        <v>32</v>
      </c>
      <c r="B48" s="296" t="s">
        <v>429</v>
      </c>
      <c r="C48" s="649">
        <v>353158788.72254282</v>
      </c>
      <c r="D48" s="636">
        <v>268503055.9017297</v>
      </c>
      <c r="E48" s="624">
        <v>270421223.92323118</v>
      </c>
      <c r="F48" s="624">
        <v>247540594.47121745</v>
      </c>
      <c r="G48" s="625">
        <v>273271718.8929404</v>
      </c>
    </row>
    <row r="49" spans="1:7" ht="15">
      <c r="A49" s="295">
        <v>33</v>
      </c>
      <c r="B49" s="296" t="s">
        <v>442</v>
      </c>
      <c r="C49" s="649">
        <v>243941400.62583047</v>
      </c>
      <c r="D49" s="636">
        <v>238257284.18621168</v>
      </c>
      <c r="E49" s="624">
        <v>245928464.30842209</v>
      </c>
      <c r="F49" s="624">
        <v>235440458.27322611</v>
      </c>
      <c r="G49" s="625">
        <v>257982804.51753515</v>
      </c>
    </row>
    <row r="50" spans="1:7" thickBot="1">
      <c r="A50" s="71">
        <v>34</v>
      </c>
      <c r="B50" s="148" t="s">
        <v>456</v>
      </c>
      <c r="C50" s="650">
        <f>C48/C49</f>
        <v>1.4477197712914482</v>
      </c>
      <c r="D50" s="637">
        <v>1.1269458426793753</v>
      </c>
      <c r="E50" s="626">
        <v>1.0995930246776657</v>
      </c>
      <c r="F50" s="626">
        <v>1.0513936147029974</v>
      </c>
      <c r="G50" s="627">
        <v>1.059263307893709</v>
      </c>
    </row>
    <row r="51" spans="1:7">
      <c r="A51" s="20"/>
    </row>
    <row r="52" spans="1:7">
      <c r="B52" s="23"/>
    </row>
    <row r="53" spans="1:7" ht="65.25">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183" t="s">
        <v>97</v>
      </c>
      <c r="B1" s="605" t="str">
        <f>Info!C2</f>
        <v>სს იშბანკი საქართველო</v>
      </c>
    </row>
    <row r="2" spans="1:3">
      <c r="A2" s="183" t="s">
        <v>98</v>
      </c>
      <c r="B2" s="606">
        <f>'1. key ratios'!B2</f>
        <v>46022</v>
      </c>
    </row>
    <row r="3" spans="1:3">
      <c r="A3" s="183"/>
      <c r="B3"/>
    </row>
    <row r="4" spans="1:3">
      <c r="A4" s="183" t="s">
        <v>406</v>
      </c>
      <c r="B4" t="s">
        <v>375</v>
      </c>
    </row>
    <row r="5" spans="1:3">
      <c r="A5" s="560"/>
      <c r="B5" s="560" t="s">
        <v>376</v>
      </c>
      <c r="C5" s="561"/>
    </row>
    <row r="6" spans="1:3">
      <c r="A6" s="562">
        <v>1</v>
      </c>
      <c r="B6" s="563" t="s">
        <v>376</v>
      </c>
      <c r="C6" s="843">
        <f>'2. SOFP'!$E$36</f>
        <v>626026245.60388923</v>
      </c>
    </row>
    <row r="7" spans="1:3">
      <c r="A7" s="562">
        <v>2</v>
      </c>
      <c r="B7" s="563" t="s">
        <v>377</v>
      </c>
      <c r="C7" s="843">
        <f>-'9. Capital'!C15</f>
        <v>-2515703.7999999998</v>
      </c>
    </row>
    <row r="8" spans="1:3">
      <c r="A8" s="565">
        <v>3</v>
      </c>
      <c r="B8" s="566" t="s">
        <v>378</v>
      </c>
      <c r="C8" s="567">
        <f>C6+C7</f>
        <v>623510541.80388927</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4">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844">
        <f>'9. Capital'!C29</f>
        <v>157785516.50474495</v>
      </c>
    </row>
    <row r="32" spans="1:3">
      <c r="A32" s="576">
        <v>22</v>
      </c>
      <c r="B32" s="577" t="s">
        <v>400</v>
      </c>
      <c r="C32" s="567">
        <f>C8+C14+C22+C26</f>
        <v>623510541.80388927</v>
      </c>
    </row>
    <row r="33" spans="1:3">
      <c r="A33" s="580"/>
      <c r="B33" s="580" t="s">
        <v>375</v>
      </c>
      <c r="C33" s="569"/>
    </row>
    <row r="34" spans="1:3">
      <c r="A34" s="576">
        <v>23</v>
      </c>
      <c r="B34" s="577" t="s">
        <v>375</v>
      </c>
      <c r="C34" s="845">
        <f>IFERROR(C31/C32,0)</f>
        <v>0.25305990183943466</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5"/>
  <cols>
    <col min="1" max="1" width="11.42578125" customWidth="1"/>
    <col min="2" max="2" width="76.85546875" style="4" customWidth="1"/>
    <col min="3" max="6" width="24.42578125" customWidth="1"/>
  </cols>
  <sheetData>
    <row r="1" spans="1:6">
      <c r="A1" s="16" t="s">
        <v>97</v>
      </c>
      <c r="B1" s="605" t="str">
        <f>Info!C2</f>
        <v>სს იშბანკი საქართველო</v>
      </c>
    </row>
    <row r="2" spans="1:6">
      <c r="A2" s="183" t="s">
        <v>98</v>
      </c>
      <c r="B2" s="606">
        <f>'1. key ratios'!B2</f>
        <v>46022</v>
      </c>
    </row>
    <row r="3" spans="1:6">
      <c r="A3" s="183"/>
      <c r="B3"/>
    </row>
    <row r="4" spans="1:6">
      <c r="A4" s="559" t="s">
        <v>971</v>
      </c>
    </row>
    <row r="5" spans="1:6" ht="105">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183" bestFit="1" customWidth="1"/>
    <col min="2" max="2" width="82.5703125" style="23" customWidth="1"/>
    <col min="3" max="7" width="17.5703125" style="183" customWidth="1"/>
  </cols>
  <sheetData>
    <row r="1" spans="1:7">
      <c r="A1" s="183" t="s">
        <v>97</v>
      </c>
      <c r="B1" s="605" t="str">
        <f>Info!C2</f>
        <v>სს იშბანკი საქართველო</v>
      </c>
    </row>
    <row r="2" spans="1:7">
      <c r="A2" s="183" t="s">
        <v>98</v>
      </c>
      <c r="B2" s="606">
        <f>'1. key ratios'!B2</f>
        <v>46022</v>
      </c>
    </row>
    <row r="3" spans="1:7">
      <c r="B3" s="264"/>
    </row>
    <row r="4" spans="1:7" ht="15.75" thickBot="1">
      <c r="A4" s="183" t="s">
        <v>457</v>
      </c>
      <c r="B4" s="265" t="s">
        <v>422</v>
      </c>
    </row>
    <row r="5" spans="1:7">
      <c r="A5" s="266"/>
      <c r="B5" s="267"/>
      <c r="C5" s="967" t="s">
        <v>423</v>
      </c>
      <c r="D5" s="967"/>
      <c r="E5" s="967"/>
      <c r="F5" s="967"/>
      <c r="G5" s="968" t="s">
        <v>424</v>
      </c>
    </row>
    <row r="6" spans="1:7">
      <c r="A6" s="268"/>
      <c r="B6" s="269"/>
      <c r="C6" s="270" t="s">
        <v>425</v>
      </c>
      <c r="D6" s="271" t="s">
        <v>426</v>
      </c>
      <c r="E6" s="271" t="s">
        <v>427</v>
      </c>
      <c r="F6" s="271" t="s">
        <v>428</v>
      </c>
      <c r="G6" s="969"/>
    </row>
    <row r="7" spans="1:7">
      <c r="A7" s="272"/>
      <c r="B7" s="273" t="s">
        <v>429</v>
      </c>
      <c r="C7" s="274"/>
      <c r="D7" s="274"/>
      <c r="E7" s="274"/>
      <c r="F7" s="274"/>
      <c r="G7" s="275"/>
    </row>
    <row r="8" spans="1:7">
      <c r="A8" s="276">
        <v>1</v>
      </c>
      <c r="B8" s="277" t="s">
        <v>430</v>
      </c>
      <c r="C8" s="846">
        <f>SUM(C9:C10)</f>
        <v>157785516.50474495</v>
      </c>
      <c r="D8" s="846">
        <f>SUM(D9:D10)</f>
        <v>0</v>
      </c>
      <c r="E8" s="846">
        <f>SUM(E9:E10)</f>
        <v>0</v>
      </c>
      <c r="F8" s="846">
        <f>SUM(F9:F10)</f>
        <v>54796366.709937364</v>
      </c>
      <c r="G8" s="847">
        <f>SUM(G9:G10)</f>
        <v>212581883.21468231</v>
      </c>
    </row>
    <row r="9" spans="1:7">
      <c r="A9" s="276">
        <v>2</v>
      </c>
      <c r="B9" s="278" t="s">
        <v>74</v>
      </c>
      <c r="C9" s="848">
        <v>157785516.50474495</v>
      </c>
      <c r="D9" s="848"/>
      <c r="E9" s="848"/>
      <c r="F9" s="848"/>
      <c r="G9" s="849">
        <v>157785516.50474495</v>
      </c>
    </row>
    <row r="10" spans="1:7">
      <c r="A10" s="276">
        <v>3</v>
      </c>
      <c r="B10" s="278" t="s">
        <v>431</v>
      </c>
      <c r="C10" s="850"/>
      <c r="D10" s="850"/>
      <c r="E10" s="850"/>
      <c r="F10" s="848">
        <v>54796366.709937364</v>
      </c>
      <c r="G10" s="849">
        <v>54796366.709937364</v>
      </c>
    </row>
    <row r="11" spans="1:7" ht="26.25">
      <c r="A11" s="276">
        <v>4</v>
      </c>
      <c r="B11" s="277" t="s">
        <v>432</v>
      </c>
      <c r="C11" s="846">
        <f t="shared" ref="C11:F11" si="0">SUM(C12:C13)</f>
        <v>2232991.293035002</v>
      </c>
      <c r="D11" s="846">
        <f t="shared" si="0"/>
        <v>5433567.7741032401</v>
      </c>
      <c r="E11" s="846">
        <f t="shared" si="0"/>
        <v>2542314.28358767</v>
      </c>
      <c r="F11" s="846">
        <f t="shared" si="0"/>
        <v>2692172.70878019</v>
      </c>
      <c r="G11" s="847">
        <f>SUM(G12:G13)</f>
        <v>8329451.7392244935</v>
      </c>
    </row>
    <row r="12" spans="1:7">
      <c r="A12" s="276">
        <v>5</v>
      </c>
      <c r="B12" s="278" t="s">
        <v>433</v>
      </c>
      <c r="C12" s="848">
        <v>197126.07036700012</v>
      </c>
      <c r="D12" s="851">
        <v>1248697.68059101</v>
      </c>
      <c r="E12" s="848">
        <v>909559.5987960801</v>
      </c>
      <c r="F12" s="848">
        <v>1820013.78240467</v>
      </c>
      <c r="G12" s="849">
        <v>3966627.2755508218</v>
      </c>
    </row>
    <row r="13" spans="1:7">
      <c r="A13" s="276">
        <v>6</v>
      </c>
      <c r="B13" s="278" t="s">
        <v>434</v>
      </c>
      <c r="C13" s="848">
        <v>2035865.2226680019</v>
      </c>
      <c r="D13" s="851">
        <v>4184870.0935122301</v>
      </c>
      <c r="E13" s="848">
        <v>1632754.6847915901</v>
      </c>
      <c r="F13" s="848">
        <v>872158.92637551995</v>
      </c>
      <c r="G13" s="849">
        <v>4362824.4636736717</v>
      </c>
    </row>
    <row r="14" spans="1:7">
      <c r="A14" s="276">
        <v>7</v>
      </c>
      <c r="B14" s="277" t="s">
        <v>435</v>
      </c>
      <c r="C14" s="846">
        <f t="shared" ref="C14:F14" si="1">SUM(C15:C16)</f>
        <v>84581347.798821315</v>
      </c>
      <c r="D14" s="846">
        <f t="shared" si="1"/>
        <v>201401772.58507714</v>
      </c>
      <c r="E14" s="846">
        <f t="shared" si="1"/>
        <v>101925956.69786382</v>
      </c>
      <c r="F14" s="846">
        <f t="shared" si="1"/>
        <v>1361823.15685878</v>
      </c>
      <c r="G14" s="847">
        <f>SUM(G15:G16)</f>
        <v>132247453.76863605</v>
      </c>
    </row>
    <row r="15" spans="1:7" ht="51.75">
      <c r="A15" s="276">
        <v>8</v>
      </c>
      <c r="B15" s="278" t="s">
        <v>436</v>
      </c>
      <c r="C15" s="848">
        <v>75121081.813111842</v>
      </c>
      <c r="D15" s="851">
        <v>86086045.86943768</v>
      </c>
      <c r="E15" s="848">
        <v>69740736.339412391</v>
      </c>
      <c r="F15" s="848">
        <v>1361823.15685878</v>
      </c>
      <c r="G15" s="849">
        <v>116154843.58941033</v>
      </c>
    </row>
    <row r="16" spans="1:7" ht="26.25">
      <c r="A16" s="276">
        <v>9</v>
      </c>
      <c r="B16" s="278" t="s">
        <v>437</v>
      </c>
      <c r="C16" s="848">
        <v>9460265.9857094791</v>
      </c>
      <c r="D16" s="851">
        <v>115315726.71563946</v>
      </c>
      <c r="E16" s="848">
        <v>32185220.358451422</v>
      </c>
      <c r="F16" s="848">
        <v>0</v>
      </c>
      <c r="G16" s="849">
        <v>16092610.179225711</v>
      </c>
    </row>
    <row r="17" spans="1:7">
      <c r="A17" s="276">
        <v>10</v>
      </c>
      <c r="B17" s="277" t="s">
        <v>438</v>
      </c>
      <c r="C17" s="848"/>
      <c r="D17" s="851"/>
      <c r="E17" s="848"/>
      <c r="F17" s="848"/>
      <c r="G17" s="849">
        <v>0</v>
      </c>
    </row>
    <row r="18" spans="1:7">
      <c r="A18" s="276">
        <v>11</v>
      </c>
      <c r="B18" s="277" t="s">
        <v>78</v>
      </c>
      <c r="C18" s="846">
        <f>SUM(C19:C20)</f>
        <v>8756712.2910797913</v>
      </c>
      <c r="D18" s="852">
        <f t="shared" ref="D18:G18" si="2">SUM(D19:D20)</f>
        <v>0</v>
      </c>
      <c r="E18" s="846">
        <f t="shared" si="2"/>
        <v>0</v>
      </c>
      <c r="F18" s="846">
        <f t="shared" si="2"/>
        <v>0</v>
      </c>
      <c r="G18" s="847">
        <f t="shared" si="2"/>
        <v>0</v>
      </c>
    </row>
    <row r="19" spans="1:7">
      <c r="A19" s="276">
        <v>12</v>
      </c>
      <c r="B19" s="278" t="s">
        <v>439</v>
      </c>
      <c r="C19" s="850"/>
      <c r="D19" s="851"/>
      <c r="E19" s="848"/>
      <c r="F19" s="848"/>
      <c r="G19" s="849"/>
    </row>
    <row r="20" spans="1:7" ht="26.25">
      <c r="A20" s="276">
        <v>13</v>
      </c>
      <c r="B20" s="278" t="s">
        <v>440</v>
      </c>
      <c r="C20" s="848">
        <v>8756712.2910797913</v>
      </c>
      <c r="D20" s="848"/>
      <c r="E20" s="848"/>
      <c r="F20" s="848"/>
      <c r="G20" s="849"/>
    </row>
    <row r="21" spans="1:7">
      <c r="A21" s="280">
        <v>14</v>
      </c>
      <c r="B21" s="281" t="s">
        <v>441</v>
      </c>
      <c r="C21" s="850"/>
      <c r="D21" s="850"/>
      <c r="E21" s="850"/>
      <c r="F21" s="850"/>
      <c r="G21" s="853">
        <f>SUM(G8,G11,G14,G17,G18)</f>
        <v>353158788.72254288</v>
      </c>
    </row>
    <row r="22" spans="1:7">
      <c r="A22" s="283"/>
      <c r="B22" s="298" t="s">
        <v>442</v>
      </c>
      <c r="C22" s="284"/>
      <c r="D22" s="285"/>
      <c r="E22" s="284"/>
      <c r="F22" s="284"/>
      <c r="G22" s="286"/>
    </row>
    <row r="23" spans="1:7">
      <c r="A23" s="276">
        <v>15</v>
      </c>
      <c r="B23" s="277" t="s">
        <v>310</v>
      </c>
      <c r="C23" s="854">
        <v>211842489.53074521</v>
      </c>
      <c r="D23" s="855">
        <v>0</v>
      </c>
      <c r="E23" s="854">
        <v>0</v>
      </c>
      <c r="F23" s="854">
        <v>0</v>
      </c>
      <c r="G23" s="849">
        <v>8057234.8613158138</v>
      </c>
    </row>
    <row r="24" spans="1:7">
      <c r="A24" s="276">
        <v>16</v>
      </c>
      <c r="B24" s="277" t="s">
        <v>443</v>
      </c>
      <c r="C24" s="846">
        <f>SUM(C25:C27,C29,C31)</f>
        <v>19200070.493586704</v>
      </c>
      <c r="D24" s="852">
        <f t="shared" ref="D24:G24" si="3">SUM(D25:D27,D29,D31)</f>
        <v>184272433.45751277</v>
      </c>
      <c r="E24" s="846">
        <f t="shared" si="3"/>
        <v>81254975.770745531</v>
      </c>
      <c r="F24" s="846">
        <f t="shared" si="3"/>
        <v>90753265.092518762</v>
      </c>
      <c r="G24" s="847">
        <f t="shared" si="3"/>
        <v>208115378.70658502</v>
      </c>
    </row>
    <row r="25" spans="1:7" ht="26.25">
      <c r="A25" s="276">
        <v>17</v>
      </c>
      <c r="B25" s="278" t="s">
        <v>444</v>
      </c>
      <c r="C25" s="848"/>
      <c r="D25" s="851"/>
      <c r="E25" s="848"/>
      <c r="F25" s="848"/>
      <c r="G25" s="849">
        <v>0</v>
      </c>
    </row>
    <row r="26" spans="1:7" ht="26.25">
      <c r="A26" s="276">
        <v>18</v>
      </c>
      <c r="B26" s="278" t="s">
        <v>445</v>
      </c>
      <c r="C26" s="848">
        <v>19200070.493586704</v>
      </c>
      <c r="D26" s="851">
        <v>16124605.172064546</v>
      </c>
      <c r="E26" s="848">
        <v>11567853.643960744</v>
      </c>
      <c r="F26" s="848">
        <v>0</v>
      </c>
      <c r="G26" s="849">
        <v>11082628.171828061</v>
      </c>
    </row>
    <row r="27" spans="1:7">
      <c r="A27" s="276">
        <v>19</v>
      </c>
      <c r="B27" s="278" t="s">
        <v>446</v>
      </c>
      <c r="C27" s="848">
        <v>0</v>
      </c>
      <c r="D27" s="851">
        <v>167891332.32194182</v>
      </c>
      <c r="E27" s="848">
        <v>69420927.102554783</v>
      </c>
      <c r="F27" s="848">
        <v>56821101.72006993</v>
      </c>
      <c r="G27" s="849">
        <v>167929066.17430726</v>
      </c>
    </row>
    <row r="28" spans="1:7">
      <c r="A28" s="276">
        <v>20</v>
      </c>
      <c r="B28" s="287" t="s">
        <v>447</v>
      </c>
      <c r="C28" s="848"/>
      <c r="D28" s="851"/>
      <c r="E28" s="848"/>
      <c r="F28" s="848"/>
      <c r="G28" s="849"/>
    </row>
    <row r="29" spans="1:7">
      <c r="A29" s="276">
        <v>21</v>
      </c>
      <c r="B29" s="278" t="s">
        <v>448</v>
      </c>
      <c r="C29" s="848">
        <v>0</v>
      </c>
      <c r="D29" s="851">
        <v>256495.96350638903</v>
      </c>
      <c r="E29" s="848">
        <v>266195.02423000004</v>
      </c>
      <c r="F29" s="848">
        <v>1770934.9280009996</v>
      </c>
      <c r="G29" s="849">
        <v>1766640.1826690442</v>
      </c>
    </row>
    <row r="30" spans="1:7">
      <c r="A30" s="276">
        <v>22</v>
      </c>
      <c r="B30" s="287" t="s">
        <v>447</v>
      </c>
      <c r="C30" s="848"/>
      <c r="D30" s="851"/>
      <c r="E30" s="848"/>
      <c r="F30" s="848"/>
      <c r="G30" s="849"/>
    </row>
    <row r="31" spans="1:7" ht="26.25">
      <c r="A31" s="276">
        <v>23</v>
      </c>
      <c r="B31" s="278" t="s">
        <v>449</v>
      </c>
      <c r="C31" s="848"/>
      <c r="D31" s="851"/>
      <c r="E31" s="848"/>
      <c r="F31" s="848">
        <v>32161228.444447834</v>
      </c>
      <c r="G31" s="849">
        <v>27337044.177780658</v>
      </c>
    </row>
    <row r="32" spans="1:7">
      <c r="A32" s="276">
        <v>24</v>
      </c>
      <c r="B32" s="277" t="s">
        <v>450</v>
      </c>
      <c r="C32" s="848">
        <v>0</v>
      </c>
      <c r="D32" s="851"/>
      <c r="E32" s="848"/>
      <c r="F32" s="848"/>
      <c r="G32" s="849">
        <v>0</v>
      </c>
    </row>
    <row r="33" spans="1:7">
      <c r="A33" s="276">
        <v>25</v>
      </c>
      <c r="B33" s="277" t="s">
        <v>88</v>
      </c>
      <c r="C33" s="846">
        <f>SUM(C34:C35)</f>
        <v>9916111.3850826025</v>
      </c>
      <c r="D33" s="846">
        <f>SUM(D34:D35)</f>
        <v>1800000</v>
      </c>
      <c r="E33" s="846">
        <f>SUM(E34:E35)</f>
        <v>150000</v>
      </c>
      <c r="F33" s="846">
        <f>SUM(F34:F35)</f>
        <v>1938290.0113609666</v>
      </c>
      <c r="G33" s="847">
        <f>SUM(G34:G35)</f>
        <v>11854401.396443568</v>
      </c>
    </row>
    <row r="34" spans="1:7">
      <c r="A34" s="276">
        <v>26</v>
      </c>
      <c r="B34" s="278" t="s">
        <v>451</v>
      </c>
      <c r="C34" s="850"/>
      <c r="D34" s="851"/>
      <c r="E34" s="848"/>
      <c r="F34" s="848"/>
      <c r="G34" s="849"/>
    </row>
    <row r="35" spans="1:7">
      <c r="A35" s="276">
        <v>27</v>
      </c>
      <c r="B35" s="278" t="s">
        <v>452</v>
      </c>
      <c r="C35" s="848">
        <v>9916111.3850826025</v>
      </c>
      <c r="D35" s="851">
        <v>1800000</v>
      </c>
      <c r="E35" s="848">
        <v>150000</v>
      </c>
      <c r="F35" s="848">
        <v>1938290.0113609666</v>
      </c>
      <c r="G35" s="849">
        <v>11854401.396443568</v>
      </c>
    </row>
    <row r="36" spans="1:7">
      <c r="A36" s="276">
        <v>28</v>
      </c>
      <c r="B36" s="277" t="s">
        <v>453</v>
      </c>
      <c r="C36" s="848">
        <v>0</v>
      </c>
      <c r="D36" s="851">
        <v>18796974.87100295</v>
      </c>
      <c r="E36" s="848">
        <v>36119341.357129686</v>
      </c>
      <c r="F36" s="848">
        <v>69485026.924485281</v>
      </c>
      <c r="G36" s="849">
        <v>15914385.661486054</v>
      </c>
    </row>
    <row r="37" spans="1:7">
      <c r="A37" s="280">
        <v>29</v>
      </c>
      <c r="B37" s="281" t="s">
        <v>454</v>
      </c>
      <c r="C37" s="279"/>
      <c r="D37" s="279"/>
      <c r="E37" s="279"/>
      <c r="F37" s="279"/>
      <c r="G37" s="282">
        <f>SUM(G23:G24,G32:G33,G36)</f>
        <v>243941400.62583047</v>
      </c>
    </row>
    <row r="38" spans="1:7">
      <c r="A38" s="272"/>
      <c r="B38" s="288"/>
      <c r="C38" s="289"/>
      <c r="D38" s="289"/>
      <c r="E38" s="289"/>
      <c r="F38" s="289"/>
      <c r="G38" s="290"/>
    </row>
    <row r="39" spans="1:7" ht="15.75" thickBot="1">
      <c r="A39" s="291">
        <v>30</v>
      </c>
      <c r="B39" s="292" t="s">
        <v>422</v>
      </c>
      <c r="C39" s="192"/>
      <c r="D39" s="174"/>
      <c r="E39" s="174"/>
      <c r="F39" s="293"/>
      <c r="G39" s="294">
        <f>IFERROR(G21/G37,0)</f>
        <v>1.4477197712914485</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03" bestFit="1" customWidth="1"/>
    <col min="2" max="2" width="105.140625" style="303" bestFit="1" customWidth="1"/>
    <col min="3" max="3" width="15.28515625" style="303" bestFit="1" customWidth="1"/>
    <col min="4" max="4" width="15.85546875" style="303" bestFit="1" customWidth="1"/>
    <col min="5" max="5" width="19.42578125" style="303" bestFit="1" customWidth="1"/>
    <col min="6" max="6" width="14.140625" style="303" bestFit="1" customWidth="1"/>
    <col min="7" max="7" width="36" style="303" bestFit="1" customWidth="1"/>
    <col min="8" max="8" width="15.85546875" style="303" bestFit="1" customWidth="1"/>
    <col min="9" max="16384" width="9.140625" style="303"/>
  </cols>
  <sheetData>
    <row r="1" spans="1:8" ht="13.5">
      <c r="A1" s="302" t="s">
        <v>97</v>
      </c>
      <c r="B1" s="605" t="str">
        <f>Info!C2</f>
        <v>სს იშბანკი საქართველო</v>
      </c>
    </row>
    <row r="2" spans="1:8" ht="13.5">
      <c r="A2" s="304" t="s">
        <v>98</v>
      </c>
      <c r="B2" s="606">
        <f>'1. key ratios'!B2</f>
        <v>46022</v>
      </c>
    </row>
    <row r="3" spans="1:8">
      <c r="A3" s="305" t="s">
        <v>462</v>
      </c>
    </row>
    <row r="5" spans="1:8">
      <c r="A5" s="970" t="s">
        <v>463</v>
      </c>
      <c r="B5" s="971"/>
      <c r="C5" s="976" t="s">
        <v>464</v>
      </c>
      <c r="D5" s="977"/>
      <c r="E5" s="977"/>
      <c r="F5" s="977"/>
      <c r="G5" s="977"/>
      <c r="H5" s="978"/>
    </row>
    <row r="6" spans="1:8">
      <c r="A6" s="972"/>
      <c r="B6" s="973"/>
      <c r="C6" s="979"/>
      <c r="D6" s="980"/>
      <c r="E6" s="980"/>
      <c r="F6" s="980"/>
      <c r="G6" s="980"/>
      <c r="H6" s="981"/>
    </row>
    <row r="7" spans="1:8">
      <c r="A7" s="974"/>
      <c r="B7" s="975"/>
      <c r="C7" s="366" t="s">
        <v>465</v>
      </c>
      <c r="D7" s="366" t="s">
        <v>466</v>
      </c>
      <c r="E7" s="366" t="s">
        <v>467</v>
      </c>
      <c r="F7" s="366" t="s">
        <v>468</v>
      </c>
      <c r="G7" s="367" t="s">
        <v>648</v>
      </c>
      <c r="H7" s="366" t="s">
        <v>66</v>
      </c>
    </row>
    <row r="8" spans="1:8">
      <c r="A8" s="362">
        <v>1</v>
      </c>
      <c r="B8" s="361" t="s">
        <v>123</v>
      </c>
      <c r="C8" s="856">
        <v>50008178.075840659</v>
      </c>
      <c r="D8" s="856">
        <v>21955379.580224909</v>
      </c>
      <c r="E8" s="856">
        <v>0</v>
      </c>
      <c r="F8" s="856">
        <v>0</v>
      </c>
      <c r="G8" s="856"/>
      <c r="H8" s="857">
        <f t="shared" ref="H8:H21" si="0">SUM(C8:G8)</f>
        <v>71963557.656065568</v>
      </c>
    </row>
    <row r="9" spans="1:8">
      <c r="A9" s="362">
        <v>2</v>
      </c>
      <c r="B9" s="361" t="s">
        <v>124</v>
      </c>
      <c r="C9" s="858"/>
      <c r="D9" s="858"/>
      <c r="E9" s="858"/>
      <c r="F9" s="858"/>
      <c r="G9" s="858"/>
      <c r="H9" s="859">
        <f t="shared" si="0"/>
        <v>0</v>
      </c>
    </row>
    <row r="10" spans="1:8">
      <c r="A10" s="362">
        <v>3</v>
      </c>
      <c r="B10" s="361" t="s">
        <v>125</v>
      </c>
      <c r="C10" s="858"/>
      <c r="D10" s="858"/>
      <c r="E10" s="858"/>
      <c r="F10" s="858"/>
      <c r="G10" s="858"/>
      <c r="H10" s="859">
        <f t="shared" si="0"/>
        <v>0</v>
      </c>
    </row>
    <row r="11" spans="1:8">
      <c r="A11" s="362">
        <v>4</v>
      </c>
      <c r="B11" s="361" t="s">
        <v>126</v>
      </c>
      <c r="C11" s="858"/>
      <c r="D11" s="858"/>
      <c r="E11" s="858"/>
      <c r="F11" s="858"/>
      <c r="G11" s="858"/>
      <c r="H11" s="859">
        <f t="shared" si="0"/>
        <v>0</v>
      </c>
    </row>
    <row r="12" spans="1:8">
      <c r="A12" s="362">
        <v>5</v>
      </c>
      <c r="B12" s="361" t="s">
        <v>912</v>
      </c>
      <c r="C12" s="858"/>
      <c r="D12" s="858"/>
      <c r="E12" s="858"/>
      <c r="F12" s="858"/>
      <c r="G12" s="858"/>
      <c r="H12" s="859">
        <f t="shared" si="0"/>
        <v>0</v>
      </c>
    </row>
    <row r="13" spans="1:8">
      <c r="A13" s="362">
        <v>6</v>
      </c>
      <c r="B13" s="361" t="s">
        <v>127</v>
      </c>
      <c r="C13" s="858">
        <v>34809740.48313424</v>
      </c>
      <c r="D13" s="858">
        <v>100514288.80886078</v>
      </c>
      <c r="E13" s="858">
        <v>0</v>
      </c>
      <c r="F13" s="858">
        <v>0</v>
      </c>
      <c r="G13" s="858"/>
      <c r="H13" s="859">
        <f t="shared" si="0"/>
        <v>135324029.29199502</v>
      </c>
    </row>
    <row r="14" spans="1:8">
      <c r="A14" s="362">
        <v>7</v>
      </c>
      <c r="B14" s="361" t="s">
        <v>71</v>
      </c>
      <c r="C14" s="858"/>
      <c r="D14" s="858">
        <v>258068889.26878953</v>
      </c>
      <c r="E14" s="858">
        <v>116007848.83321242</v>
      </c>
      <c r="F14" s="858">
        <v>25707506.135571279</v>
      </c>
      <c r="G14" s="858">
        <v>425774.2295849669</v>
      </c>
      <c r="H14" s="859">
        <f t="shared" si="0"/>
        <v>400210018.46715826</v>
      </c>
    </row>
    <row r="15" spans="1:8">
      <c r="A15" s="362">
        <v>8</v>
      </c>
      <c r="B15" s="363" t="s">
        <v>72</v>
      </c>
      <c r="C15" s="858"/>
      <c r="D15" s="858"/>
      <c r="E15" s="858"/>
      <c r="F15" s="858"/>
      <c r="G15" s="858"/>
      <c r="H15" s="859">
        <f t="shared" si="0"/>
        <v>0</v>
      </c>
    </row>
    <row r="16" spans="1:8">
      <c r="A16" s="362">
        <v>9</v>
      </c>
      <c r="B16" s="361" t="s">
        <v>913</v>
      </c>
      <c r="C16" s="858"/>
      <c r="D16" s="858"/>
      <c r="E16" s="858"/>
      <c r="F16" s="858"/>
      <c r="G16" s="858"/>
      <c r="H16" s="859">
        <f t="shared" si="0"/>
        <v>0</v>
      </c>
    </row>
    <row r="17" spans="1:8">
      <c r="A17" s="362">
        <v>10</v>
      </c>
      <c r="B17" s="365" t="s">
        <v>483</v>
      </c>
      <c r="C17" s="858"/>
      <c r="D17" s="858">
        <v>0</v>
      </c>
      <c r="E17" s="858">
        <v>0</v>
      </c>
      <c r="F17" s="858">
        <v>0</v>
      </c>
      <c r="G17" s="858">
        <v>5115.9217760000611</v>
      </c>
      <c r="H17" s="859">
        <f t="shared" si="0"/>
        <v>5115.9217760000611</v>
      </c>
    </row>
    <row r="18" spans="1:8">
      <c r="A18" s="362">
        <v>11</v>
      </c>
      <c r="B18" s="361" t="s">
        <v>68</v>
      </c>
      <c r="C18" s="858"/>
      <c r="D18" s="858">
        <v>0</v>
      </c>
      <c r="E18" s="858">
        <v>0</v>
      </c>
      <c r="F18" s="858">
        <v>0</v>
      </c>
      <c r="G18" s="858">
        <v>0</v>
      </c>
      <c r="H18" s="859">
        <f t="shared" si="0"/>
        <v>0</v>
      </c>
    </row>
    <row r="19" spans="1:8">
      <c r="A19" s="362">
        <v>12</v>
      </c>
      <c r="B19" s="361" t="s">
        <v>69</v>
      </c>
      <c r="C19" s="858"/>
      <c r="D19" s="858"/>
      <c r="E19" s="858"/>
      <c r="F19" s="858"/>
      <c r="G19" s="858"/>
      <c r="H19" s="859">
        <f t="shared" si="0"/>
        <v>0</v>
      </c>
    </row>
    <row r="20" spans="1:8">
      <c r="A20" s="364">
        <v>13</v>
      </c>
      <c r="B20" s="363" t="s">
        <v>70</v>
      </c>
      <c r="C20" s="858"/>
      <c r="D20" s="858"/>
      <c r="E20" s="858"/>
      <c r="F20" s="858"/>
      <c r="G20" s="858"/>
      <c r="H20" s="859">
        <f t="shared" si="0"/>
        <v>0</v>
      </c>
    </row>
    <row r="21" spans="1:8">
      <c r="A21" s="362">
        <v>14</v>
      </c>
      <c r="B21" s="361" t="s">
        <v>469</v>
      </c>
      <c r="C21" s="858">
        <v>1117140.7106999999</v>
      </c>
      <c r="D21" s="858">
        <v>731272.02938172803</v>
      </c>
      <c r="E21" s="858">
        <v>3113658.15401561</v>
      </c>
      <c r="F21" s="858">
        <v>1129638.1877145444</v>
      </c>
      <c r="G21" s="858">
        <v>9921227.3068586029</v>
      </c>
      <c r="H21" s="859">
        <f t="shared" si="0"/>
        <v>16012936.388670485</v>
      </c>
    </row>
    <row r="22" spans="1:8" ht="13.5" thickBot="1">
      <c r="A22" s="360">
        <v>15</v>
      </c>
      <c r="B22" s="359" t="s">
        <v>66</v>
      </c>
      <c r="C22" s="860">
        <f>SUM(C18:C21)+SUM(C8:C16)</f>
        <v>85935059.269674897</v>
      </c>
      <c r="D22" s="860">
        <f t="shared" ref="D22:H22" si="1">SUM(D18:D21)+SUM(D8:D16)</f>
        <v>381269829.68725693</v>
      </c>
      <c r="E22" s="860">
        <f t="shared" si="1"/>
        <v>119121506.98722804</v>
      </c>
      <c r="F22" s="860">
        <f t="shared" si="1"/>
        <v>26837144.323285822</v>
      </c>
      <c r="G22" s="860">
        <f t="shared" si="1"/>
        <v>10347001.536443571</v>
      </c>
      <c r="H22" s="861">
        <f t="shared" si="1"/>
        <v>623510541.80388927</v>
      </c>
    </row>
    <row r="26" spans="1:8" ht="38.25">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8" bestFit="1" customWidth="1"/>
    <col min="6" max="6" width="14.140625" style="308" bestFit="1" customWidth="1"/>
    <col min="7" max="7" width="20" style="303" bestFit="1" customWidth="1"/>
    <col min="8" max="8" width="25.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46022</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50000000000003" customHeight="1">
      <c r="A5" s="970" t="s">
        <v>835</v>
      </c>
      <c r="B5" s="971"/>
      <c r="C5" s="984" t="s">
        <v>565</v>
      </c>
      <c r="D5" s="984"/>
      <c r="E5" s="984" t="s">
        <v>834</v>
      </c>
      <c r="F5" s="982" t="s">
        <v>833</v>
      </c>
      <c r="G5" s="982" t="s">
        <v>480</v>
      </c>
      <c r="H5" s="376" t="s">
        <v>832</v>
      </c>
    </row>
    <row r="6" spans="1:8" ht="25.5">
      <c r="A6" s="974"/>
      <c r="B6" s="975"/>
      <c r="C6" s="377" t="s">
        <v>481</v>
      </c>
      <c r="D6" s="377" t="s">
        <v>482</v>
      </c>
      <c r="E6" s="984"/>
      <c r="F6" s="983"/>
      <c r="G6" s="983"/>
      <c r="H6" s="376" t="s">
        <v>831</v>
      </c>
    </row>
    <row r="7" spans="1:8">
      <c r="A7" s="374">
        <v>1</v>
      </c>
      <c r="B7" s="361" t="s">
        <v>123</v>
      </c>
      <c r="C7" s="862">
        <v>0</v>
      </c>
      <c r="D7" s="862">
        <v>72122158.398800001</v>
      </c>
      <c r="E7" s="863">
        <v>158600.74273442512</v>
      </c>
      <c r="F7" s="863"/>
      <c r="G7" s="862"/>
      <c r="H7" s="864">
        <f>C7+D7-E7-F7</f>
        <v>71963557.656065568</v>
      </c>
    </row>
    <row r="8" spans="1:8" ht="14.45" customHeight="1">
      <c r="A8" s="374">
        <v>2</v>
      </c>
      <c r="B8" s="361" t="s">
        <v>124</v>
      </c>
      <c r="C8" s="862"/>
      <c r="D8" s="862"/>
      <c r="E8" s="863"/>
      <c r="F8" s="863"/>
      <c r="G8" s="862"/>
      <c r="H8" s="864">
        <f t="shared" ref="H8:H20" si="0">C8+D8-E8-F8</f>
        <v>0</v>
      </c>
    </row>
    <row r="9" spans="1:8">
      <c r="A9" s="374">
        <v>3</v>
      </c>
      <c r="B9" s="361" t="s">
        <v>125</v>
      </c>
      <c r="C9" s="862"/>
      <c r="D9" s="862"/>
      <c r="E9" s="863"/>
      <c r="F9" s="863"/>
      <c r="G9" s="862"/>
      <c r="H9" s="864">
        <f t="shared" si="0"/>
        <v>0</v>
      </c>
    </row>
    <row r="10" spans="1:8">
      <c r="A10" s="374">
        <v>4</v>
      </c>
      <c r="B10" s="361" t="s">
        <v>126</v>
      </c>
      <c r="C10" s="862"/>
      <c r="D10" s="862"/>
      <c r="E10" s="863"/>
      <c r="F10" s="863"/>
      <c r="G10" s="862"/>
      <c r="H10" s="864">
        <f t="shared" si="0"/>
        <v>0</v>
      </c>
    </row>
    <row r="11" spans="1:8">
      <c r="A11" s="374">
        <v>5</v>
      </c>
      <c r="B11" s="361" t="s">
        <v>912</v>
      </c>
      <c r="C11" s="862">
        <v>0</v>
      </c>
      <c r="D11" s="862"/>
      <c r="E11" s="863"/>
      <c r="F11" s="863"/>
      <c r="G11" s="862"/>
      <c r="H11" s="864">
        <f t="shared" si="0"/>
        <v>0</v>
      </c>
    </row>
    <row r="12" spans="1:8">
      <c r="A12" s="374">
        <v>6</v>
      </c>
      <c r="B12" s="361" t="s">
        <v>127</v>
      </c>
      <c r="C12" s="862">
        <v>0</v>
      </c>
      <c r="D12" s="862">
        <v>135584088.91400179</v>
      </c>
      <c r="E12" s="863">
        <v>260059.62200678114</v>
      </c>
      <c r="F12" s="863"/>
      <c r="G12" s="862"/>
      <c r="H12" s="864">
        <f t="shared" si="0"/>
        <v>135324029.29199502</v>
      </c>
    </row>
    <row r="13" spans="1:8">
      <c r="A13" s="374">
        <v>7</v>
      </c>
      <c r="B13" s="361" t="s">
        <v>71</v>
      </c>
      <c r="C13" s="862">
        <v>923128.81906600005</v>
      </c>
      <c r="D13" s="862">
        <v>401556206.4805668</v>
      </c>
      <c r="E13" s="863">
        <v>2269316.8324748529</v>
      </c>
      <c r="F13" s="863"/>
      <c r="G13" s="862"/>
      <c r="H13" s="864">
        <f t="shared" si="0"/>
        <v>400210018.46715796</v>
      </c>
    </row>
    <row r="14" spans="1:8">
      <c r="A14" s="374">
        <v>8</v>
      </c>
      <c r="B14" s="363" t="s">
        <v>72</v>
      </c>
      <c r="C14" s="862"/>
      <c r="D14" s="862"/>
      <c r="E14" s="863"/>
      <c r="F14" s="863"/>
      <c r="G14" s="862"/>
      <c r="H14" s="864">
        <f t="shared" si="0"/>
        <v>0</v>
      </c>
    </row>
    <row r="15" spans="1:8">
      <c r="A15" s="374">
        <v>9</v>
      </c>
      <c r="B15" s="361" t="s">
        <v>913</v>
      </c>
      <c r="C15" s="862"/>
      <c r="D15" s="862"/>
      <c r="E15" s="863"/>
      <c r="F15" s="863"/>
      <c r="G15" s="862"/>
      <c r="H15" s="864">
        <f t="shared" si="0"/>
        <v>0</v>
      </c>
    </row>
    <row r="16" spans="1:8">
      <c r="A16" s="374">
        <v>10</v>
      </c>
      <c r="B16" s="365" t="s">
        <v>483</v>
      </c>
      <c r="C16" s="862">
        <v>806367.31658500002</v>
      </c>
      <c r="D16" s="862">
        <v>0</v>
      </c>
      <c r="E16" s="863">
        <v>801251.39480900019</v>
      </c>
      <c r="F16" s="863"/>
      <c r="G16" s="862"/>
      <c r="H16" s="864">
        <f t="shared" si="0"/>
        <v>5115.9217759998282</v>
      </c>
    </row>
    <row r="17" spans="1:8">
      <c r="A17" s="374">
        <v>11</v>
      </c>
      <c r="B17" s="361" t="s">
        <v>68</v>
      </c>
      <c r="C17" s="862">
        <v>0</v>
      </c>
      <c r="D17" s="862">
        <v>0</v>
      </c>
      <c r="E17" s="863">
        <v>0</v>
      </c>
      <c r="F17" s="863"/>
      <c r="G17" s="862"/>
      <c r="H17" s="864">
        <f t="shared" si="0"/>
        <v>0</v>
      </c>
    </row>
    <row r="18" spans="1:8">
      <c r="A18" s="374">
        <v>12</v>
      </c>
      <c r="B18" s="361" t="s">
        <v>69</v>
      </c>
      <c r="C18" s="862"/>
      <c r="D18" s="862"/>
      <c r="E18" s="863"/>
      <c r="F18" s="863"/>
      <c r="G18" s="862"/>
      <c r="H18" s="864">
        <f t="shared" si="0"/>
        <v>0</v>
      </c>
    </row>
    <row r="19" spans="1:8">
      <c r="A19" s="375">
        <v>13</v>
      </c>
      <c r="B19" s="363" t="s">
        <v>70</v>
      </c>
      <c r="C19" s="862"/>
      <c r="D19" s="862"/>
      <c r="E19" s="863"/>
      <c r="F19" s="863"/>
      <c r="G19" s="862"/>
      <c r="H19" s="864">
        <f t="shared" si="0"/>
        <v>0</v>
      </c>
    </row>
    <row r="20" spans="1:8">
      <c r="A20" s="374">
        <v>14</v>
      </c>
      <c r="B20" s="361" t="s">
        <v>469</v>
      </c>
      <c r="C20" s="862">
        <v>1712206.023905</v>
      </c>
      <c r="D20" s="862">
        <v>17198672.801489603</v>
      </c>
      <c r="E20" s="863">
        <v>382238.63672411733</v>
      </c>
      <c r="F20" s="863"/>
      <c r="G20" s="862"/>
      <c r="H20" s="864">
        <f t="shared" si="0"/>
        <v>18528640.188670486</v>
      </c>
    </row>
    <row r="21" spans="1:8" s="307" customFormat="1">
      <c r="A21" s="373">
        <v>15</v>
      </c>
      <c r="B21" s="372" t="s">
        <v>66</v>
      </c>
      <c r="C21" s="865">
        <f t="shared" ref="C21:H21" si="1">SUM(C7:C15)+SUM(C17:C20)</f>
        <v>2635334.8429709999</v>
      </c>
      <c r="D21" s="865">
        <f t="shared" si="1"/>
        <v>626461126.59485817</v>
      </c>
      <c r="E21" s="865">
        <f t="shared" si="1"/>
        <v>3070215.8339401763</v>
      </c>
      <c r="F21" s="865">
        <f t="shared" si="1"/>
        <v>0</v>
      </c>
      <c r="G21" s="865">
        <f t="shared" si="1"/>
        <v>0</v>
      </c>
      <c r="H21" s="864">
        <f t="shared" si="1"/>
        <v>626026245.60388911</v>
      </c>
    </row>
    <row r="22" spans="1:8">
      <c r="A22" s="371">
        <v>16</v>
      </c>
      <c r="B22" s="370" t="s">
        <v>484</v>
      </c>
      <c r="C22" s="862">
        <v>1286241.662971</v>
      </c>
      <c r="D22" s="862">
        <v>327175513.18934482</v>
      </c>
      <c r="E22" s="863">
        <v>2404018.9646257502</v>
      </c>
      <c r="F22" s="863"/>
      <c r="G22" s="862"/>
      <c r="H22" s="864">
        <f>C22+D22-E22-F22</f>
        <v>326057735.88769007</v>
      </c>
    </row>
    <row r="23" spans="1:8" ht="13.5" thickBot="1">
      <c r="A23" s="371">
        <v>17</v>
      </c>
      <c r="B23" s="370" t="s">
        <v>485</v>
      </c>
      <c r="C23" s="866">
        <v>0</v>
      </c>
      <c r="D23" s="866">
        <v>80412967.447067022</v>
      </c>
      <c r="E23" s="867">
        <v>251185.72309608941</v>
      </c>
      <c r="F23" s="867"/>
      <c r="G23" s="866"/>
      <c r="H23" s="868">
        <f>C23+D23-E23-F23</f>
        <v>80161781.723970935</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42.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46022</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5" customHeight="1">
      <c r="A5" s="970" t="s">
        <v>837</v>
      </c>
      <c r="B5" s="971"/>
      <c r="C5" s="985" t="s">
        <v>565</v>
      </c>
      <c r="D5" s="986"/>
      <c r="E5" s="982" t="s">
        <v>834</v>
      </c>
      <c r="F5" s="982" t="s">
        <v>833</v>
      </c>
      <c r="G5" s="982" t="s">
        <v>480</v>
      </c>
      <c r="H5" s="376" t="s">
        <v>832</v>
      </c>
    </row>
    <row r="6" spans="1:8" ht="25.5">
      <c r="A6" s="974"/>
      <c r="B6" s="975"/>
      <c r="C6" s="377" t="s">
        <v>481</v>
      </c>
      <c r="D6" s="377" t="s">
        <v>482</v>
      </c>
      <c r="E6" s="983"/>
      <c r="F6" s="983"/>
      <c r="G6" s="983"/>
      <c r="H6" s="376" t="s">
        <v>831</v>
      </c>
    </row>
    <row r="7" spans="1:8">
      <c r="A7" s="368">
        <v>1</v>
      </c>
      <c r="B7" s="383" t="s">
        <v>487</v>
      </c>
      <c r="C7" s="862">
        <v>10440.369999999999</v>
      </c>
      <c r="D7" s="862">
        <v>72435175.786835998</v>
      </c>
      <c r="E7" s="862">
        <v>171422.04660030457</v>
      </c>
      <c r="F7" s="862"/>
      <c r="G7" s="862"/>
      <c r="H7" s="869">
        <f t="shared" ref="H7:H34" si="0">C7+D7-E7-F7</f>
        <v>72274194.110235691</v>
      </c>
    </row>
    <row r="8" spans="1:8">
      <c r="A8" s="368">
        <v>2</v>
      </c>
      <c r="B8" s="383" t="s">
        <v>488</v>
      </c>
      <c r="C8" s="862">
        <v>0</v>
      </c>
      <c r="D8" s="862">
        <v>208678197.10579479</v>
      </c>
      <c r="E8" s="862">
        <v>554510.83220457786</v>
      </c>
      <c r="F8" s="862"/>
      <c r="G8" s="862"/>
      <c r="H8" s="869">
        <f t="shared" si="0"/>
        <v>208123686.27359021</v>
      </c>
    </row>
    <row r="9" spans="1:8">
      <c r="A9" s="368">
        <v>3</v>
      </c>
      <c r="B9" s="383" t="s">
        <v>836</v>
      </c>
      <c r="C9" s="862"/>
      <c r="D9" s="862"/>
      <c r="E9" s="862"/>
      <c r="F9" s="862"/>
      <c r="G9" s="862"/>
      <c r="H9" s="869">
        <f t="shared" si="0"/>
        <v>0</v>
      </c>
    </row>
    <row r="10" spans="1:8">
      <c r="A10" s="368">
        <v>4</v>
      </c>
      <c r="B10" s="383" t="s">
        <v>489</v>
      </c>
      <c r="C10" s="862">
        <v>0</v>
      </c>
      <c r="D10" s="862">
        <v>16041194.843128001</v>
      </c>
      <c r="E10" s="862">
        <v>60437.543439390764</v>
      </c>
      <c r="F10" s="862"/>
      <c r="G10" s="862"/>
      <c r="H10" s="869">
        <f t="shared" si="0"/>
        <v>15980757.299688611</v>
      </c>
    </row>
    <row r="11" spans="1:8">
      <c r="A11" s="368">
        <v>5</v>
      </c>
      <c r="B11" s="383" t="s">
        <v>490</v>
      </c>
      <c r="C11" s="862">
        <v>0</v>
      </c>
      <c r="D11" s="862">
        <v>12360648.74896601</v>
      </c>
      <c r="E11" s="862">
        <v>38409.025779941294</v>
      </c>
      <c r="F11" s="862"/>
      <c r="G11" s="862"/>
      <c r="H11" s="869">
        <f t="shared" si="0"/>
        <v>12322239.723186068</v>
      </c>
    </row>
    <row r="12" spans="1:8">
      <c r="A12" s="368">
        <v>6</v>
      </c>
      <c r="B12" s="383" t="s">
        <v>491</v>
      </c>
      <c r="C12" s="862">
        <v>435411.85958500003</v>
      </c>
      <c r="D12" s="862">
        <v>394532.68485500006</v>
      </c>
      <c r="E12" s="862">
        <v>11443.966904915726</v>
      </c>
      <c r="F12" s="862"/>
      <c r="G12" s="862"/>
      <c r="H12" s="869">
        <f t="shared" si="0"/>
        <v>818500.57753508433</v>
      </c>
    </row>
    <row r="13" spans="1:8">
      <c r="A13" s="368">
        <v>7</v>
      </c>
      <c r="B13" s="383" t="s">
        <v>492</v>
      </c>
      <c r="C13" s="862">
        <v>0</v>
      </c>
      <c r="D13" s="862">
        <v>76268414.559453011</v>
      </c>
      <c r="E13" s="862">
        <v>211838.43613858195</v>
      </c>
      <c r="F13" s="862"/>
      <c r="G13" s="862"/>
      <c r="H13" s="869">
        <f t="shared" si="0"/>
        <v>76056576.123314425</v>
      </c>
    </row>
    <row r="14" spans="1:8">
      <c r="A14" s="368">
        <v>8</v>
      </c>
      <c r="B14" s="383" t="s">
        <v>493</v>
      </c>
      <c r="C14" s="862">
        <v>0</v>
      </c>
      <c r="D14" s="862">
        <v>1011045.911615</v>
      </c>
      <c r="E14" s="862">
        <v>7559.2765513042132</v>
      </c>
      <c r="F14" s="862"/>
      <c r="G14" s="862"/>
      <c r="H14" s="869">
        <f t="shared" si="0"/>
        <v>1003486.6350636957</v>
      </c>
    </row>
    <row r="15" spans="1:8">
      <c r="A15" s="368">
        <v>9</v>
      </c>
      <c r="B15" s="383" t="s">
        <v>494</v>
      </c>
      <c r="C15" s="862">
        <v>0</v>
      </c>
      <c r="D15" s="862">
        <v>0</v>
      </c>
      <c r="E15" s="862">
        <v>0</v>
      </c>
      <c r="F15" s="862"/>
      <c r="G15" s="862"/>
      <c r="H15" s="869">
        <f t="shared" si="0"/>
        <v>0</v>
      </c>
    </row>
    <row r="16" spans="1:8">
      <c r="A16" s="368">
        <v>10</v>
      </c>
      <c r="B16" s="383" t="s">
        <v>495</v>
      </c>
      <c r="C16" s="862">
        <v>488536.007828</v>
      </c>
      <c r="D16" s="862">
        <v>13769777.912881998</v>
      </c>
      <c r="E16" s="862">
        <v>574974.44574727491</v>
      </c>
      <c r="F16" s="862"/>
      <c r="G16" s="862"/>
      <c r="H16" s="869">
        <f t="shared" si="0"/>
        <v>13683339.474962723</v>
      </c>
    </row>
    <row r="17" spans="1:9">
      <c r="A17" s="368">
        <v>11</v>
      </c>
      <c r="B17" s="383" t="s">
        <v>496</v>
      </c>
      <c r="C17" s="862">
        <v>15232.15</v>
      </c>
      <c r="D17" s="862">
        <v>28774599.438278999</v>
      </c>
      <c r="E17" s="862">
        <v>125583.45001236079</v>
      </c>
      <c r="F17" s="862"/>
      <c r="G17" s="862"/>
      <c r="H17" s="869">
        <f t="shared" si="0"/>
        <v>28664248.138266638</v>
      </c>
    </row>
    <row r="18" spans="1:9">
      <c r="A18" s="368">
        <v>12</v>
      </c>
      <c r="B18" s="383" t="s">
        <v>497</v>
      </c>
      <c r="C18" s="862">
        <v>17809.301652999999</v>
      </c>
      <c r="D18" s="862">
        <v>31240283.058153998</v>
      </c>
      <c r="E18" s="862">
        <v>106498.1507305272</v>
      </c>
      <c r="F18" s="862"/>
      <c r="G18" s="862"/>
      <c r="H18" s="869">
        <f t="shared" si="0"/>
        <v>31151594.209076472</v>
      </c>
    </row>
    <row r="19" spans="1:9">
      <c r="A19" s="368">
        <v>13</v>
      </c>
      <c r="B19" s="383" t="s">
        <v>498</v>
      </c>
      <c r="C19" s="862">
        <v>39817.75</v>
      </c>
      <c r="D19" s="862">
        <v>492789.15</v>
      </c>
      <c r="E19" s="862">
        <v>36061.797770322148</v>
      </c>
      <c r="F19" s="862"/>
      <c r="G19" s="862"/>
      <c r="H19" s="869">
        <f t="shared" si="0"/>
        <v>496545.1022296779</v>
      </c>
    </row>
    <row r="20" spans="1:9">
      <c r="A20" s="368">
        <v>14</v>
      </c>
      <c r="B20" s="383" t="s">
        <v>499</v>
      </c>
      <c r="C20" s="862">
        <v>108993.297104</v>
      </c>
      <c r="D20" s="862">
        <v>937804.62195399997</v>
      </c>
      <c r="E20" s="862">
        <v>109015.36764892144</v>
      </c>
      <c r="F20" s="862"/>
      <c r="G20" s="862"/>
      <c r="H20" s="869">
        <f t="shared" si="0"/>
        <v>937782.55140907853</v>
      </c>
    </row>
    <row r="21" spans="1:9">
      <c r="A21" s="368">
        <v>15</v>
      </c>
      <c r="B21" s="383" t="s">
        <v>500</v>
      </c>
      <c r="C21" s="862">
        <v>0</v>
      </c>
      <c r="D21" s="862">
        <v>10012054.800000001</v>
      </c>
      <c r="E21" s="862">
        <v>49636.287700248715</v>
      </c>
      <c r="F21" s="862"/>
      <c r="G21" s="862"/>
      <c r="H21" s="869">
        <f t="shared" si="0"/>
        <v>9962418.5122997519</v>
      </c>
    </row>
    <row r="22" spans="1:9">
      <c r="A22" s="368">
        <v>16</v>
      </c>
      <c r="B22" s="383" t="s">
        <v>501</v>
      </c>
      <c r="C22" s="862">
        <v>0</v>
      </c>
      <c r="D22" s="862">
        <v>0</v>
      </c>
      <c r="E22" s="862">
        <v>0</v>
      </c>
      <c r="F22" s="862"/>
      <c r="G22" s="862"/>
      <c r="H22" s="869">
        <f t="shared" si="0"/>
        <v>0</v>
      </c>
    </row>
    <row r="23" spans="1:9">
      <c r="A23" s="368">
        <v>17</v>
      </c>
      <c r="B23" s="383" t="s">
        <v>502</v>
      </c>
      <c r="C23" s="862">
        <v>0</v>
      </c>
      <c r="D23" s="862">
        <v>0</v>
      </c>
      <c r="E23" s="862">
        <v>0</v>
      </c>
      <c r="F23" s="862"/>
      <c r="G23" s="862"/>
      <c r="H23" s="869">
        <f t="shared" si="0"/>
        <v>0</v>
      </c>
    </row>
    <row r="24" spans="1:9">
      <c r="A24" s="368">
        <v>18</v>
      </c>
      <c r="B24" s="383" t="s">
        <v>503</v>
      </c>
      <c r="C24" s="862">
        <v>0</v>
      </c>
      <c r="D24" s="862">
        <v>62510471.23983901</v>
      </c>
      <c r="E24" s="862">
        <v>428175.84386165562</v>
      </c>
      <c r="F24" s="862"/>
      <c r="G24" s="862"/>
      <c r="H24" s="869">
        <f t="shared" si="0"/>
        <v>62082295.395977356</v>
      </c>
    </row>
    <row r="25" spans="1:9">
      <c r="A25" s="368">
        <v>19</v>
      </c>
      <c r="B25" s="383" t="s">
        <v>504</v>
      </c>
      <c r="C25" s="862">
        <v>0</v>
      </c>
      <c r="D25" s="862">
        <v>16802318.814661004</v>
      </c>
      <c r="E25" s="862">
        <v>116507.85259048299</v>
      </c>
      <c r="F25" s="862"/>
      <c r="G25" s="862"/>
      <c r="H25" s="869">
        <f t="shared" si="0"/>
        <v>16685810.962070521</v>
      </c>
    </row>
    <row r="26" spans="1:9">
      <c r="A26" s="368">
        <v>20</v>
      </c>
      <c r="B26" s="383" t="s">
        <v>505</v>
      </c>
      <c r="C26" s="862">
        <v>42807.89</v>
      </c>
      <c r="D26" s="862">
        <v>1132323.81</v>
      </c>
      <c r="E26" s="862">
        <v>56275.961807856787</v>
      </c>
      <c r="F26" s="862"/>
      <c r="G26" s="862"/>
      <c r="H26" s="869">
        <f t="shared" si="0"/>
        <v>1118855.7381921432</v>
      </c>
      <c r="I26" s="309"/>
    </row>
    <row r="27" spans="1:9">
      <c r="A27" s="368">
        <v>21</v>
      </c>
      <c r="B27" s="383" t="s">
        <v>506</v>
      </c>
      <c r="C27" s="862">
        <v>0</v>
      </c>
      <c r="D27" s="862">
        <v>23093460.591426</v>
      </c>
      <c r="E27" s="862">
        <v>160633.49987679938</v>
      </c>
      <c r="F27" s="862"/>
      <c r="G27" s="862"/>
      <c r="H27" s="869">
        <f t="shared" si="0"/>
        <v>22932827.091549199</v>
      </c>
      <c r="I27" s="309"/>
    </row>
    <row r="28" spans="1:9">
      <c r="A28" s="368">
        <v>22</v>
      </c>
      <c r="B28" s="383" t="s">
        <v>507</v>
      </c>
      <c r="C28" s="862">
        <v>0</v>
      </c>
      <c r="D28" s="862">
        <v>4407134.1651069997</v>
      </c>
      <c r="E28" s="862">
        <v>13694.56678213713</v>
      </c>
      <c r="F28" s="862"/>
      <c r="G28" s="862"/>
      <c r="H28" s="869">
        <f t="shared" si="0"/>
        <v>4393439.5983248623</v>
      </c>
      <c r="I28" s="309"/>
    </row>
    <row r="29" spans="1:9">
      <c r="A29" s="368">
        <v>23</v>
      </c>
      <c r="B29" s="383" t="s">
        <v>508</v>
      </c>
      <c r="C29" s="862">
        <v>60902.66</v>
      </c>
      <c r="D29" s="862">
        <v>17814036.854901005</v>
      </c>
      <c r="E29" s="862">
        <v>131876.82919671404</v>
      </c>
      <c r="F29" s="862"/>
      <c r="G29" s="862"/>
      <c r="H29" s="869">
        <f t="shared" si="0"/>
        <v>17743062.685704291</v>
      </c>
      <c r="I29" s="309"/>
    </row>
    <row r="30" spans="1:9">
      <c r="A30" s="368">
        <v>24</v>
      </c>
      <c r="B30" s="383" t="s">
        <v>509</v>
      </c>
      <c r="C30" s="862">
        <v>0</v>
      </c>
      <c r="D30" s="862">
        <v>16063469.101225</v>
      </c>
      <c r="E30" s="862">
        <v>39370.275794526016</v>
      </c>
      <c r="F30" s="862"/>
      <c r="G30" s="862"/>
      <c r="H30" s="869">
        <f t="shared" si="0"/>
        <v>16024098.825430473</v>
      </c>
      <c r="I30" s="309"/>
    </row>
    <row r="31" spans="1:9">
      <c r="A31" s="368">
        <v>25</v>
      </c>
      <c r="B31" s="383" t="s">
        <v>510</v>
      </c>
      <c r="C31" s="862">
        <v>66290.376800999991</v>
      </c>
      <c r="D31" s="862">
        <v>21530.68</v>
      </c>
      <c r="E31" s="862">
        <v>66290.376801333463</v>
      </c>
      <c r="F31" s="862"/>
      <c r="G31" s="862"/>
      <c r="H31" s="869">
        <f t="shared" si="0"/>
        <v>21530.679999666536</v>
      </c>
      <c r="I31" s="309"/>
    </row>
    <row r="32" spans="1:9">
      <c r="A32" s="368">
        <v>26</v>
      </c>
      <c r="B32" s="383" t="s">
        <v>511</v>
      </c>
      <c r="C32" s="862">
        <v>0</v>
      </c>
      <c r="D32" s="862">
        <v>0</v>
      </c>
      <c r="E32" s="862">
        <v>0</v>
      </c>
      <c r="F32" s="862"/>
      <c r="G32" s="862"/>
      <c r="H32" s="869">
        <f t="shared" si="0"/>
        <v>0</v>
      </c>
      <c r="I32" s="309"/>
    </row>
    <row r="33" spans="1:9">
      <c r="A33" s="368">
        <v>27</v>
      </c>
      <c r="B33" s="369" t="s">
        <v>88</v>
      </c>
      <c r="C33" s="862">
        <v>1349093.18</v>
      </c>
      <c r="D33" s="862">
        <v>12199862.715782603</v>
      </c>
      <c r="E33" s="862"/>
      <c r="F33" s="862"/>
      <c r="G33" s="862"/>
      <c r="H33" s="869">
        <f t="shared" si="0"/>
        <v>13548955.895782603</v>
      </c>
      <c r="I33" s="309"/>
    </row>
    <row r="34" spans="1:9">
      <c r="A34" s="368">
        <v>28</v>
      </c>
      <c r="B34" s="382" t="s">
        <v>66</v>
      </c>
      <c r="C34" s="865">
        <f>SUM(C7:C33)</f>
        <v>2635334.8429709999</v>
      </c>
      <c r="D34" s="865">
        <f>SUM(D7:D33)</f>
        <v>626461126.59485841</v>
      </c>
      <c r="E34" s="865">
        <f>SUM(E7:E33)</f>
        <v>3070215.8339401768</v>
      </c>
      <c r="F34" s="865">
        <f>SUM(F7:F33)</f>
        <v>0</v>
      </c>
      <c r="G34" s="865">
        <f>SUM(G7:G33)</f>
        <v>0</v>
      </c>
      <c r="H34" s="869">
        <f t="shared" si="0"/>
        <v>626026245.60388923</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8" customWidth="1"/>
    <col min="5" max="16384" width="9.140625" style="303"/>
  </cols>
  <sheetData>
    <row r="1" spans="1:4" ht="13.5">
      <c r="A1" s="302" t="s">
        <v>97</v>
      </c>
      <c r="B1" s="605" t="str">
        <f>Info!C2</f>
        <v>სს იშბანკი საქართველო</v>
      </c>
      <c r="D1" s="303"/>
    </row>
    <row r="2" spans="1:4" ht="13.5">
      <c r="A2" s="304" t="s">
        <v>98</v>
      </c>
      <c r="B2" s="606">
        <f>'1. key ratios'!B2</f>
        <v>46022</v>
      </c>
      <c r="D2" s="303"/>
    </row>
    <row r="3" spans="1:4">
      <c r="A3" s="305" t="s">
        <v>512</v>
      </c>
      <c r="D3" s="303"/>
    </row>
    <row r="5" spans="1:4">
      <c r="A5" s="987" t="s">
        <v>848</v>
      </c>
      <c r="B5" s="987"/>
      <c r="C5" s="391" t="s">
        <v>531</v>
      </c>
      <c r="D5" s="391" t="s">
        <v>847</v>
      </c>
    </row>
    <row r="6" spans="1:4">
      <c r="A6" s="390">
        <v>1</v>
      </c>
      <c r="B6" s="384" t="s">
        <v>846</v>
      </c>
      <c r="C6" s="870">
        <v>1909049.4003102442</v>
      </c>
      <c r="D6" s="870">
        <v>137278.02878488056</v>
      </c>
    </row>
    <row r="7" spans="1:4">
      <c r="A7" s="387">
        <v>2</v>
      </c>
      <c r="B7" s="384" t="s">
        <v>845</v>
      </c>
      <c r="C7" s="870">
        <f>SUM(C8:C9)</f>
        <v>1034169.02434578</v>
      </c>
      <c r="D7" s="870">
        <f>SUM(D8:D9)</f>
        <v>186505.554310254</v>
      </c>
    </row>
    <row r="8" spans="1:4">
      <c r="A8" s="389">
        <v>2.1</v>
      </c>
      <c r="B8" s="388" t="s">
        <v>844</v>
      </c>
      <c r="C8" s="871">
        <v>1034169.02434578</v>
      </c>
      <c r="D8" s="871">
        <v>186505.554310254</v>
      </c>
    </row>
    <row r="9" spans="1:4">
      <c r="A9" s="389">
        <v>2.2000000000000002</v>
      </c>
      <c r="B9" s="388" t="s">
        <v>843</v>
      </c>
      <c r="C9" s="871">
        <v>0</v>
      </c>
      <c r="D9" s="871">
        <v>0</v>
      </c>
    </row>
    <row r="10" spans="1:4">
      <c r="A10" s="390">
        <v>3</v>
      </c>
      <c r="B10" s="384" t="s">
        <v>842</v>
      </c>
      <c r="C10" s="870">
        <f>SUM(C11:C13)</f>
        <v>543156.6377007874</v>
      </c>
      <c r="D10" s="870">
        <f>SUM(D11:D13)</f>
        <v>72711.798077711486</v>
      </c>
    </row>
    <row r="11" spans="1:4">
      <c r="A11" s="389">
        <v>3.1</v>
      </c>
      <c r="B11" s="388" t="s">
        <v>513</v>
      </c>
      <c r="C11" s="871"/>
      <c r="D11" s="871"/>
    </row>
    <row r="12" spans="1:4">
      <c r="A12" s="389">
        <v>3.2</v>
      </c>
      <c r="B12" s="388" t="s">
        <v>841</v>
      </c>
      <c r="C12" s="871">
        <v>543156.6377007874</v>
      </c>
      <c r="D12" s="871">
        <v>72711.798077711486</v>
      </c>
    </row>
    <row r="13" spans="1:4">
      <c r="A13" s="389">
        <v>3.3</v>
      </c>
      <c r="B13" s="388" t="s">
        <v>840</v>
      </c>
      <c r="C13" s="871">
        <v>0</v>
      </c>
      <c r="D13" s="871">
        <v>0</v>
      </c>
    </row>
    <row r="14" spans="1:4">
      <c r="A14" s="387">
        <v>4</v>
      </c>
      <c r="B14" s="386" t="s">
        <v>839</v>
      </c>
      <c r="C14" s="871">
        <v>3957.1688680243701</v>
      </c>
      <c r="D14" s="871">
        <v>113.938078666419</v>
      </c>
    </row>
    <row r="15" spans="1:4">
      <c r="A15" s="385">
        <v>5</v>
      </c>
      <c r="B15" s="384" t="s">
        <v>838</v>
      </c>
      <c r="C15" s="872">
        <f>C6+C7-C10+C14</f>
        <v>2404018.9558232613</v>
      </c>
      <c r="D15" s="872">
        <f>D6+D7-D10+D14</f>
        <v>251185.72309608952</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4" ht="13.5">
      <c r="A1" s="302" t="s">
        <v>97</v>
      </c>
      <c r="B1" s="605" t="str">
        <f>Info!C2</f>
        <v>სს იშბანკი საქართველო</v>
      </c>
    </row>
    <row r="2" spans="1:4" ht="13.5">
      <c r="A2" s="304" t="s">
        <v>98</v>
      </c>
      <c r="B2" s="606">
        <f>'1. key ratios'!B2</f>
        <v>46022</v>
      </c>
    </row>
    <row r="3" spans="1:4">
      <c r="A3" s="305" t="s">
        <v>514</v>
      </c>
    </row>
    <row r="4" spans="1:4">
      <c r="A4" s="305"/>
    </row>
    <row r="5" spans="1:4" ht="15" customHeight="1">
      <c r="A5" s="988" t="s">
        <v>515</v>
      </c>
      <c r="B5" s="989"/>
      <c r="C5" s="992" t="s">
        <v>516</v>
      </c>
      <c r="D5" s="992" t="s">
        <v>517</v>
      </c>
    </row>
    <row r="6" spans="1:4">
      <c r="A6" s="990"/>
      <c r="B6" s="991"/>
      <c r="C6" s="992"/>
      <c r="D6" s="992"/>
    </row>
    <row r="7" spans="1:4">
      <c r="A7" s="382">
        <v>1</v>
      </c>
      <c r="B7" s="372" t="s">
        <v>518</v>
      </c>
      <c r="C7" s="870">
        <v>1273365.6598459999</v>
      </c>
      <c r="D7" s="392"/>
    </row>
    <row r="8" spans="1:4">
      <c r="A8" s="369">
        <v>2</v>
      </c>
      <c r="B8" s="369" t="s">
        <v>519</v>
      </c>
      <c r="C8" s="870">
        <v>99589.737619999927</v>
      </c>
      <c r="D8" s="392"/>
    </row>
    <row r="9" spans="1:4">
      <c r="A9" s="369">
        <v>3</v>
      </c>
      <c r="B9" s="395" t="s">
        <v>520</v>
      </c>
      <c r="C9" s="870">
        <v>0</v>
      </c>
      <c r="D9" s="392"/>
    </row>
    <row r="10" spans="1:4">
      <c r="A10" s="369">
        <v>4</v>
      </c>
      <c r="B10" s="369" t="s">
        <v>521</v>
      </c>
      <c r="C10" s="870">
        <f>SUM(C11:C17)</f>
        <v>86713.734495000142</v>
      </c>
      <c r="D10" s="392"/>
    </row>
    <row r="11" spans="1:4">
      <c r="A11" s="369">
        <v>5</v>
      </c>
      <c r="B11" s="394" t="s">
        <v>849</v>
      </c>
      <c r="C11" s="871">
        <v>0</v>
      </c>
      <c r="D11" s="392"/>
    </row>
    <row r="12" spans="1:4">
      <c r="A12" s="369">
        <v>6</v>
      </c>
      <c r="B12" s="394" t="s">
        <v>522</v>
      </c>
      <c r="C12" s="871">
        <v>82630.220501999996</v>
      </c>
      <c r="D12" s="392"/>
    </row>
    <row r="13" spans="1:4">
      <c r="A13" s="369">
        <v>7</v>
      </c>
      <c r="B13" s="394" t="s">
        <v>525</v>
      </c>
      <c r="C13" s="871">
        <v>0</v>
      </c>
      <c r="D13" s="392"/>
    </row>
    <row r="14" spans="1:4">
      <c r="A14" s="369">
        <v>8</v>
      </c>
      <c r="B14" s="394" t="s">
        <v>523</v>
      </c>
      <c r="C14" s="871">
        <v>0</v>
      </c>
      <c r="D14" s="369"/>
    </row>
    <row r="15" spans="1:4">
      <c r="A15" s="369">
        <v>9</v>
      </c>
      <c r="B15" s="394" t="s">
        <v>524</v>
      </c>
      <c r="C15" s="871">
        <v>0</v>
      </c>
      <c r="D15" s="369"/>
    </row>
    <row r="16" spans="1:4">
      <c r="A16" s="369">
        <v>10</v>
      </c>
      <c r="B16" s="394" t="s">
        <v>526</v>
      </c>
      <c r="C16" s="871">
        <v>0</v>
      </c>
      <c r="D16" s="369"/>
    </row>
    <row r="17" spans="1:4" ht="25.5">
      <c r="A17" s="369">
        <v>11</v>
      </c>
      <c r="B17" s="394" t="s">
        <v>527</v>
      </c>
      <c r="C17" s="871">
        <v>4083.5139930001442</v>
      </c>
      <c r="D17" s="392"/>
    </row>
    <row r="18" spans="1:4">
      <c r="A18" s="382">
        <v>12</v>
      </c>
      <c r="B18" s="393" t="s">
        <v>528</v>
      </c>
      <c r="C18" s="872">
        <f>C7+C8+C9-C10</f>
        <v>1286241.6629709997</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302" t="s">
        <v>97</v>
      </c>
      <c r="B1" s="605" t="str">
        <f>Info!C2</f>
        <v>სს იშბანკი საქართველო</v>
      </c>
    </row>
    <row r="2" spans="1:28" ht="13.5">
      <c r="A2" s="304" t="s">
        <v>98</v>
      </c>
      <c r="B2" s="606">
        <f>'1. key ratios'!B2</f>
        <v>46022</v>
      </c>
      <c r="C2" s="380"/>
    </row>
    <row r="3" spans="1:28">
      <c r="A3" s="305" t="s">
        <v>529</v>
      </c>
    </row>
    <row r="5" spans="1:28" ht="15" customHeight="1">
      <c r="A5" s="993" t="s">
        <v>862</v>
      </c>
      <c r="B5" s="994"/>
      <c r="C5" s="999" t="s">
        <v>861</v>
      </c>
      <c r="D5" s="1000"/>
      <c r="E5" s="1000"/>
      <c r="F5" s="1000"/>
      <c r="G5" s="1000"/>
      <c r="H5" s="1000"/>
      <c r="I5" s="1000"/>
      <c r="J5" s="1000"/>
      <c r="K5" s="1000"/>
      <c r="L5" s="1000"/>
      <c r="M5" s="1000"/>
      <c r="N5" s="1000"/>
      <c r="O5" s="1000"/>
      <c r="P5" s="1000"/>
      <c r="Q5" s="1000"/>
      <c r="R5" s="1000"/>
      <c r="S5" s="1000"/>
      <c r="T5" s="409"/>
      <c r="U5" s="409"/>
      <c r="V5" s="409"/>
      <c r="W5" s="409"/>
      <c r="X5" s="409"/>
      <c r="Y5" s="409"/>
      <c r="Z5" s="409"/>
      <c r="AA5" s="408"/>
      <c r="AB5" s="399"/>
    </row>
    <row r="6" spans="1:28">
      <c r="A6" s="995"/>
      <c r="B6" s="996"/>
      <c r="C6" s="1001" t="s">
        <v>66</v>
      </c>
      <c r="D6" s="1003" t="s">
        <v>860</v>
      </c>
      <c r="E6" s="1003"/>
      <c r="F6" s="1003"/>
      <c r="G6" s="1003"/>
      <c r="H6" s="1004" t="s">
        <v>859</v>
      </c>
      <c r="I6" s="1005"/>
      <c r="J6" s="1005"/>
      <c r="K6" s="1006"/>
      <c r="L6" s="407"/>
      <c r="M6" s="1007" t="s">
        <v>858</v>
      </c>
      <c r="N6" s="1007"/>
      <c r="O6" s="1007"/>
      <c r="P6" s="1007"/>
      <c r="Q6" s="1007"/>
      <c r="R6" s="1007"/>
      <c r="S6" s="983"/>
      <c r="T6" s="406"/>
      <c r="U6" s="986" t="s">
        <v>857</v>
      </c>
      <c r="V6" s="986"/>
      <c r="W6" s="986"/>
      <c r="X6" s="986"/>
      <c r="Y6" s="986"/>
      <c r="Z6" s="986"/>
      <c r="AA6" s="984"/>
      <c r="AB6" s="405"/>
    </row>
    <row r="7" spans="1:28" ht="25.5">
      <c r="A7" s="997"/>
      <c r="B7" s="998"/>
      <c r="C7" s="1002"/>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873">
        <f>SUM(C9:C14)</f>
        <v>328461754.85231596</v>
      </c>
      <c r="D8" s="873">
        <f t="shared" ref="D8:S8" si="0">SUM(D9:D14)</f>
        <v>326346989.72934496</v>
      </c>
      <c r="E8" s="873">
        <f t="shared" si="0"/>
        <v>0</v>
      </c>
      <c r="F8" s="873">
        <f t="shared" si="0"/>
        <v>0</v>
      </c>
      <c r="G8" s="873">
        <f t="shared" si="0"/>
        <v>0</v>
      </c>
      <c r="H8" s="873">
        <f t="shared" si="0"/>
        <v>828523.46</v>
      </c>
      <c r="I8" s="873">
        <f t="shared" si="0"/>
        <v>0</v>
      </c>
      <c r="J8" s="873">
        <f t="shared" si="0"/>
        <v>0</v>
      </c>
      <c r="K8" s="873">
        <f t="shared" si="0"/>
        <v>0</v>
      </c>
      <c r="L8" s="873">
        <f t="shared" si="0"/>
        <v>1286241.6629710002</v>
      </c>
      <c r="M8" s="873">
        <f t="shared" si="0"/>
        <v>0</v>
      </c>
      <c r="N8" s="873">
        <f t="shared" si="0"/>
        <v>425774.22958500002</v>
      </c>
      <c r="O8" s="873">
        <f t="shared" si="0"/>
        <v>0</v>
      </c>
      <c r="P8" s="873">
        <f t="shared" si="0"/>
        <v>479545.28782800003</v>
      </c>
      <c r="Q8" s="873">
        <f t="shared" si="0"/>
        <v>317184.39875700005</v>
      </c>
      <c r="R8" s="873">
        <f t="shared" si="0"/>
        <v>9637.630000000001</v>
      </c>
      <c r="S8" s="873">
        <f t="shared" si="0"/>
        <v>0</v>
      </c>
      <c r="T8" s="368"/>
      <c r="U8" s="368"/>
      <c r="V8" s="368"/>
      <c r="W8" s="368"/>
      <c r="X8" s="368"/>
      <c r="Y8" s="368"/>
      <c r="Z8" s="368"/>
      <c r="AA8" s="368"/>
      <c r="AB8" s="396"/>
    </row>
    <row r="9" spans="1:28">
      <c r="A9" s="368">
        <v>1.1000000000000001</v>
      </c>
      <c r="B9" s="397" t="s">
        <v>532</v>
      </c>
      <c r="C9" s="874"/>
      <c r="D9" s="862"/>
      <c r="E9" s="862"/>
      <c r="F9" s="862"/>
      <c r="G9" s="862"/>
      <c r="H9" s="862"/>
      <c r="I9" s="862"/>
      <c r="J9" s="862"/>
      <c r="K9" s="862"/>
      <c r="L9" s="862"/>
      <c r="M9" s="862"/>
      <c r="N9" s="862"/>
      <c r="O9" s="862"/>
      <c r="P9" s="862"/>
      <c r="Q9" s="862"/>
      <c r="R9" s="862"/>
      <c r="S9" s="862"/>
      <c r="T9" s="368"/>
      <c r="U9" s="368"/>
      <c r="V9" s="368"/>
      <c r="W9" s="368"/>
      <c r="X9" s="368"/>
      <c r="Y9" s="368"/>
      <c r="Z9" s="368"/>
      <c r="AA9" s="368"/>
      <c r="AB9" s="396"/>
    </row>
    <row r="10" spans="1:28">
      <c r="A10" s="368">
        <v>1.2</v>
      </c>
      <c r="B10" s="397" t="s">
        <v>533</v>
      </c>
      <c r="C10" s="874"/>
      <c r="D10" s="862"/>
      <c r="E10" s="862"/>
      <c r="F10" s="862"/>
      <c r="G10" s="862"/>
      <c r="H10" s="862"/>
      <c r="I10" s="862"/>
      <c r="J10" s="862"/>
      <c r="K10" s="862"/>
      <c r="L10" s="862"/>
      <c r="M10" s="862"/>
      <c r="N10" s="862"/>
      <c r="O10" s="862"/>
      <c r="P10" s="862"/>
      <c r="Q10" s="862"/>
      <c r="R10" s="862"/>
      <c r="S10" s="862"/>
      <c r="T10" s="368"/>
      <c r="U10" s="368"/>
      <c r="V10" s="368"/>
      <c r="W10" s="368"/>
      <c r="X10" s="368"/>
      <c r="Y10" s="368"/>
      <c r="Z10" s="368"/>
      <c r="AA10" s="368"/>
      <c r="AB10" s="396"/>
    </row>
    <row r="11" spans="1:28">
      <c r="A11" s="368">
        <v>1.3</v>
      </c>
      <c r="B11" s="397" t="s">
        <v>534</v>
      </c>
      <c r="C11" s="874">
        <v>1033464.070138</v>
      </c>
      <c r="D11" s="862">
        <v>1033464.070138</v>
      </c>
      <c r="E11" s="862">
        <v>0</v>
      </c>
      <c r="F11" s="862">
        <v>0</v>
      </c>
      <c r="G11" s="862">
        <v>0</v>
      </c>
      <c r="H11" s="862">
        <v>0</v>
      </c>
      <c r="I11" s="862">
        <v>0</v>
      </c>
      <c r="J11" s="862">
        <v>0</v>
      </c>
      <c r="K11" s="862">
        <v>0</v>
      </c>
      <c r="L11" s="862">
        <v>0</v>
      </c>
      <c r="M11" s="862">
        <v>0</v>
      </c>
      <c r="N11" s="862">
        <v>0</v>
      </c>
      <c r="O11" s="862">
        <v>0</v>
      </c>
      <c r="P11" s="862">
        <v>0</v>
      </c>
      <c r="Q11" s="862">
        <v>0</v>
      </c>
      <c r="R11" s="862">
        <v>0</v>
      </c>
      <c r="S11" s="862">
        <v>0</v>
      </c>
      <c r="T11" s="368"/>
      <c r="U11" s="368"/>
      <c r="V11" s="368"/>
      <c r="W11" s="368"/>
      <c r="X11" s="368"/>
      <c r="Y11" s="368"/>
      <c r="Z11" s="368"/>
      <c r="AA11" s="368"/>
      <c r="AB11" s="396"/>
    </row>
    <row r="12" spans="1:28">
      <c r="A12" s="368">
        <v>1.4</v>
      </c>
      <c r="B12" s="397" t="s">
        <v>535</v>
      </c>
      <c r="C12" s="874">
        <v>28326888.680000003</v>
      </c>
      <c r="D12" s="862">
        <v>28326888.680000003</v>
      </c>
      <c r="E12" s="862">
        <v>0</v>
      </c>
      <c r="F12" s="862">
        <v>0</v>
      </c>
      <c r="G12" s="862">
        <v>0</v>
      </c>
      <c r="H12" s="862">
        <v>0</v>
      </c>
      <c r="I12" s="862">
        <v>0</v>
      </c>
      <c r="J12" s="862">
        <v>0</v>
      </c>
      <c r="K12" s="862">
        <v>0</v>
      </c>
      <c r="L12" s="862">
        <v>0</v>
      </c>
      <c r="M12" s="862">
        <v>0</v>
      </c>
      <c r="N12" s="862">
        <v>0</v>
      </c>
      <c r="O12" s="862">
        <v>0</v>
      </c>
      <c r="P12" s="862">
        <v>0</v>
      </c>
      <c r="Q12" s="862">
        <v>0</v>
      </c>
      <c r="R12" s="862">
        <v>0</v>
      </c>
      <c r="S12" s="862">
        <v>0</v>
      </c>
      <c r="T12" s="368"/>
      <c r="U12" s="368"/>
      <c r="V12" s="368"/>
      <c r="W12" s="368"/>
      <c r="X12" s="368"/>
      <c r="Y12" s="368"/>
      <c r="Z12" s="368"/>
      <c r="AA12" s="368"/>
      <c r="AB12" s="396"/>
    </row>
    <row r="13" spans="1:28">
      <c r="A13" s="368">
        <v>1.5</v>
      </c>
      <c r="B13" s="397" t="s">
        <v>536</v>
      </c>
      <c r="C13" s="874">
        <v>293739479.172566</v>
      </c>
      <c r="D13" s="862">
        <v>292275767.52349997</v>
      </c>
      <c r="E13" s="862">
        <v>0</v>
      </c>
      <c r="F13" s="862">
        <v>0</v>
      </c>
      <c r="G13" s="862">
        <v>0</v>
      </c>
      <c r="H13" s="862">
        <v>540582.82999999996</v>
      </c>
      <c r="I13" s="862">
        <v>0</v>
      </c>
      <c r="J13" s="862">
        <v>0</v>
      </c>
      <c r="K13" s="862">
        <v>0</v>
      </c>
      <c r="L13" s="862">
        <v>923128.81906600005</v>
      </c>
      <c r="M13" s="862">
        <v>0</v>
      </c>
      <c r="N13" s="862">
        <v>425774.22958500002</v>
      </c>
      <c r="O13" s="862">
        <v>0</v>
      </c>
      <c r="P13" s="862">
        <v>479545.28782800003</v>
      </c>
      <c r="Q13" s="862">
        <v>17809.301652999999</v>
      </c>
      <c r="R13" s="862">
        <v>0</v>
      </c>
      <c r="S13" s="862">
        <v>0</v>
      </c>
      <c r="T13" s="368"/>
      <c r="U13" s="368"/>
      <c r="V13" s="368"/>
      <c r="W13" s="368"/>
      <c r="X13" s="368"/>
      <c r="Y13" s="368"/>
      <c r="Z13" s="368"/>
      <c r="AA13" s="368"/>
      <c r="AB13" s="396"/>
    </row>
    <row r="14" spans="1:28">
      <c r="A14" s="368">
        <v>1.6</v>
      </c>
      <c r="B14" s="397" t="s">
        <v>537</v>
      </c>
      <c r="C14" s="874">
        <v>5361922.9296119986</v>
      </c>
      <c r="D14" s="862">
        <v>4710869.4557070015</v>
      </c>
      <c r="E14" s="862">
        <v>0</v>
      </c>
      <c r="F14" s="862">
        <v>0</v>
      </c>
      <c r="G14" s="862">
        <v>0</v>
      </c>
      <c r="H14" s="862">
        <v>287940.63</v>
      </c>
      <c r="I14" s="862">
        <v>0</v>
      </c>
      <c r="J14" s="862">
        <v>0</v>
      </c>
      <c r="K14" s="862">
        <v>0</v>
      </c>
      <c r="L14" s="862">
        <v>363112.84390500002</v>
      </c>
      <c r="M14" s="862">
        <v>0</v>
      </c>
      <c r="N14" s="862">
        <v>0</v>
      </c>
      <c r="O14" s="862">
        <v>0</v>
      </c>
      <c r="P14" s="862">
        <v>0</v>
      </c>
      <c r="Q14" s="862">
        <v>299375.09710400004</v>
      </c>
      <c r="R14" s="862">
        <v>9637.630000000001</v>
      </c>
      <c r="S14" s="862">
        <v>0</v>
      </c>
      <c r="T14" s="368"/>
      <c r="U14" s="368"/>
      <c r="V14" s="368"/>
      <c r="W14" s="368"/>
      <c r="X14" s="368"/>
      <c r="Y14" s="368"/>
      <c r="Z14" s="368"/>
      <c r="AA14" s="368"/>
      <c r="AB14" s="396"/>
    </row>
    <row r="15" spans="1:28">
      <c r="A15" s="398">
        <v>2</v>
      </c>
      <c r="B15" s="382" t="s">
        <v>538</v>
      </c>
      <c r="C15" s="873">
        <f>SUM(C16:C21)</f>
        <v>80412967.447067022</v>
      </c>
      <c r="D15" s="873">
        <f t="shared" ref="D15:S15" si="1">SUM(D16:D21)</f>
        <v>80412967.447067022</v>
      </c>
      <c r="E15" s="873">
        <f t="shared" si="1"/>
        <v>0</v>
      </c>
      <c r="F15" s="873">
        <f t="shared" si="1"/>
        <v>0</v>
      </c>
      <c r="G15" s="873">
        <f t="shared" si="1"/>
        <v>0</v>
      </c>
      <c r="H15" s="873">
        <f t="shared" si="1"/>
        <v>0</v>
      </c>
      <c r="I15" s="873">
        <f t="shared" si="1"/>
        <v>0</v>
      </c>
      <c r="J15" s="873">
        <f t="shared" si="1"/>
        <v>0</v>
      </c>
      <c r="K15" s="873">
        <f t="shared" si="1"/>
        <v>0</v>
      </c>
      <c r="L15" s="873">
        <f t="shared" si="1"/>
        <v>0</v>
      </c>
      <c r="M15" s="873">
        <f t="shared" si="1"/>
        <v>0</v>
      </c>
      <c r="N15" s="873">
        <f t="shared" si="1"/>
        <v>0</v>
      </c>
      <c r="O15" s="873">
        <f t="shared" si="1"/>
        <v>0</v>
      </c>
      <c r="P15" s="873">
        <f t="shared" si="1"/>
        <v>0</v>
      </c>
      <c r="Q15" s="873">
        <f t="shared" si="1"/>
        <v>0</v>
      </c>
      <c r="R15" s="873">
        <f t="shared" si="1"/>
        <v>0</v>
      </c>
      <c r="S15" s="873">
        <f t="shared" si="1"/>
        <v>0</v>
      </c>
      <c r="T15" s="368"/>
      <c r="U15" s="368"/>
      <c r="V15" s="368"/>
      <c r="W15" s="368"/>
      <c r="X15" s="368"/>
      <c r="Y15" s="368"/>
      <c r="Z15" s="368"/>
      <c r="AA15" s="368"/>
      <c r="AB15" s="396"/>
    </row>
    <row r="16" spans="1:28">
      <c r="A16" s="368">
        <v>2.1</v>
      </c>
      <c r="B16" s="397" t="s">
        <v>532</v>
      </c>
      <c r="C16" s="874">
        <v>0</v>
      </c>
      <c r="D16" s="862">
        <v>0</v>
      </c>
      <c r="E16" s="862"/>
      <c r="F16" s="862"/>
      <c r="G16" s="862"/>
      <c r="H16" s="862">
        <v>0</v>
      </c>
      <c r="I16" s="862"/>
      <c r="J16" s="862"/>
      <c r="K16" s="862"/>
      <c r="L16" s="862">
        <v>0</v>
      </c>
      <c r="M16" s="862"/>
      <c r="N16" s="862"/>
      <c r="O16" s="862"/>
      <c r="P16" s="862"/>
      <c r="Q16" s="862"/>
      <c r="R16" s="862"/>
      <c r="S16" s="862"/>
      <c r="T16" s="368"/>
      <c r="U16" s="368"/>
      <c r="V16" s="368"/>
      <c r="W16" s="368"/>
      <c r="X16" s="368"/>
      <c r="Y16" s="368"/>
      <c r="Z16" s="368"/>
      <c r="AA16" s="368"/>
      <c r="AB16" s="396"/>
    </row>
    <row r="17" spans="1:28">
      <c r="A17" s="368">
        <v>2.2000000000000002</v>
      </c>
      <c r="B17" s="397" t="s">
        <v>533</v>
      </c>
      <c r="C17" s="874">
        <v>0</v>
      </c>
      <c r="D17" s="862">
        <v>0</v>
      </c>
      <c r="E17" s="862"/>
      <c r="F17" s="862"/>
      <c r="G17" s="862"/>
      <c r="H17" s="862">
        <v>0</v>
      </c>
      <c r="I17" s="862"/>
      <c r="J17" s="862"/>
      <c r="K17" s="862"/>
      <c r="L17" s="862">
        <v>0</v>
      </c>
      <c r="M17" s="862"/>
      <c r="N17" s="862"/>
      <c r="O17" s="862"/>
      <c r="P17" s="862"/>
      <c r="Q17" s="862"/>
      <c r="R17" s="862"/>
      <c r="S17" s="862"/>
      <c r="T17" s="368"/>
      <c r="U17" s="368"/>
      <c r="V17" s="368"/>
      <c r="W17" s="368"/>
      <c r="X17" s="368"/>
      <c r="Y17" s="368"/>
      <c r="Z17" s="368"/>
      <c r="AA17" s="368"/>
      <c r="AB17" s="396"/>
    </row>
    <row r="18" spans="1:28">
      <c r="A18" s="368">
        <v>2.2999999999999998</v>
      </c>
      <c r="B18" s="397" t="s">
        <v>534</v>
      </c>
      <c r="C18" s="874">
        <v>0</v>
      </c>
      <c r="D18" s="862">
        <v>0</v>
      </c>
      <c r="E18" s="862"/>
      <c r="F18" s="862"/>
      <c r="G18" s="862"/>
      <c r="H18" s="862"/>
      <c r="I18" s="862"/>
      <c r="J18" s="862"/>
      <c r="K18" s="862"/>
      <c r="L18" s="862"/>
      <c r="M18" s="862"/>
      <c r="N18" s="862"/>
      <c r="O18" s="862"/>
      <c r="P18" s="862"/>
      <c r="Q18" s="862"/>
      <c r="R18" s="862"/>
      <c r="S18" s="862"/>
      <c r="T18" s="368"/>
      <c r="U18" s="368"/>
      <c r="V18" s="368"/>
      <c r="W18" s="368"/>
      <c r="X18" s="368"/>
      <c r="Y18" s="368"/>
      <c r="Z18" s="368"/>
      <c r="AA18" s="368"/>
      <c r="AB18" s="396"/>
    </row>
    <row r="19" spans="1:28">
      <c r="A19" s="368">
        <v>2.4</v>
      </c>
      <c r="B19" s="397" t="s">
        <v>535</v>
      </c>
      <c r="C19" s="874">
        <v>42464670.322994001</v>
      </c>
      <c r="D19" s="862">
        <v>42464670.322994001</v>
      </c>
      <c r="E19" s="862"/>
      <c r="F19" s="862"/>
      <c r="G19" s="862"/>
      <c r="H19" s="862"/>
      <c r="I19" s="862"/>
      <c r="J19" s="862"/>
      <c r="K19" s="862"/>
      <c r="L19" s="862"/>
      <c r="M19" s="862"/>
      <c r="N19" s="862"/>
      <c r="O19" s="862"/>
      <c r="P19" s="862"/>
      <c r="Q19" s="862"/>
      <c r="R19" s="862"/>
      <c r="S19" s="862"/>
      <c r="T19" s="368"/>
      <c r="U19" s="368"/>
      <c r="V19" s="368"/>
      <c r="W19" s="368"/>
      <c r="X19" s="368"/>
      <c r="Y19" s="368"/>
      <c r="Z19" s="368"/>
      <c r="AA19" s="368"/>
      <c r="AB19" s="396"/>
    </row>
    <row r="20" spans="1:28">
      <c r="A20" s="368">
        <v>2.5</v>
      </c>
      <c r="B20" s="397" t="s">
        <v>536</v>
      </c>
      <c r="C20" s="874">
        <v>37948297.124073021</v>
      </c>
      <c r="D20" s="862">
        <v>37948297.124073021</v>
      </c>
      <c r="E20" s="862"/>
      <c r="F20" s="862"/>
      <c r="G20" s="862"/>
      <c r="H20" s="862">
        <v>0</v>
      </c>
      <c r="I20" s="862"/>
      <c r="J20" s="862"/>
      <c r="K20" s="862"/>
      <c r="L20" s="862">
        <v>0</v>
      </c>
      <c r="M20" s="862"/>
      <c r="N20" s="862"/>
      <c r="O20" s="862"/>
      <c r="P20" s="862"/>
      <c r="Q20" s="862"/>
      <c r="R20" s="862"/>
      <c r="S20" s="862"/>
      <c r="T20" s="368"/>
      <c r="U20" s="368"/>
      <c r="V20" s="368"/>
      <c r="W20" s="368"/>
      <c r="X20" s="368"/>
      <c r="Y20" s="368"/>
      <c r="Z20" s="368"/>
      <c r="AA20" s="368"/>
      <c r="AB20" s="396"/>
    </row>
    <row r="21" spans="1:28">
      <c r="A21" s="368">
        <v>2.6</v>
      </c>
      <c r="B21" s="397" t="s">
        <v>537</v>
      </c>
      <c r="C21" s="874"/>
      <c r="D21" s="862"/>
      <c r="E21" s="862"/>
      <c r="F21" s="862"/>
      <c r="G21" s="862"/>
      <c r="H21" s="862"/>
      <c r="I21" s="862"/>
      <c r="J21" s="862"/>
      <c r="K21" s="862"/>
      <c r="L21" s="862"/>
      <c r="M21" s="862"/>
      <c r="N21" s="862"/>
      <c r="O21" s="862"/>
      <c r="P21" s="862"/>
      <c r="Q21" s="862"/>
      <c r="R21" s="862"/>
      <c r="S21" s="862"/>
      <c r="T21" s="368"/>
      <c r="U21" s="368"/>
      <c r="V21" s="368"/>
      <c r="W21" s="368"/>
      <c r="X21" s="368"/>
      <c r="Y21" s="368"/>
      <c r="Z21" s="368"/>
      <c r="AA21" s="368"/>
      <c r="AB21" s="396"/>
    </row>
    <row r="22" spans="1:28">
      <c r="A22" s="398">
        <v>3</v>
      </c>
      <c r="B22" s="372" t="s">
        <v>539</v>
      </c>
      <c r="C22" s="865">
        <f>SUM(C23:C28)</f>
        <v>124673580.051651</v>
      </c>
      <c r="D22" s="865">
        <f t="shared" ref="D22:S22" si="2">SUM(D23:D28)</f>
        <v>124673580.051651</v>
      </c>
      <c r="E22" s="875">
        <f t="shared" si="2"/>
        <v>0</v>
      </c>
      <c r="F22" s="875">
        <f t="shared" si="2"/>
        <v>0</v>
      </c>
      <c r="G22" s="875">
        <f t="shared" si="2"/>
        <v>0</v>
      </c>
      <c r="H22" s="865">
        <f t="shared" si="2"/>
        <v>0</v>
      </c>
      <c r="I22" s="875">
        <f t="shared" si="2"/>
        <v>0</v>
      </c>
      <c r="J22" s="875">
        <f t="shared" si="2"/>
        <v>0</v>
      </c>
      <c r="K22" s="875">
        <f t="shared" si="2"/>
        <v>0</v>
      </c>
      <c r="L22" s="865">
        <f t="shared" si="2"/>
        <v>0</v>
      </c>
      <c r="M22" s="875">
        <f t="shared" si="2"/>
        <v>0</v>
      </c>
      <c r="N22" s="875">
        <f t="shared" si="2"/>
        <v>0</v>
      </c>
      <c r="O22" s="875">
        <f t="shared" si="2"/>
        <v>0</v>
      </c>
      <c r="P22" s="875">
        <f t="shared" si="2"/>
        <v>0</v>
      </c>
      <c r="Q22" s="875">
        <f t="shared" si="2"/>
        <v>0</v>
      </c>
      <c r="R22" s="875">
        <f t="shared" si="2"/>
        <v>0</v>
      </c>
      <c r="S22" s="875">
        <f t="shared" si="2"/>
        <v>0</v>
      </c>
      <c r="T22" s="372"/>
      <c r="U22" s="876"/>
      <c r="V22" s="876"/>
      <c r="W22" s="876"/>
      <c r="X22" s="876"/>
      <c r="Y22" s="876"/>
      <c r="Z22" s="876"/>
      <c r="AA22" s="876"/>
      <c r="AB22" s="396"/>
    </row>
    <row r="23" spans="1:28">
      <c r="A23" s="368">
        <v>3.1</v>
      </c>
      <c r="B23" s="397" t="s">
        <v>532</v>
      </c>
      <c r="C23" s="874"/>
      <c r="D23" s="865"/>
      <c r="E23" s="875"/>
      <c r="F23" s="875"/>
      <c r="G23" s="875"/>
      <c r="H23" s="865"/>
      <c r="I23" s="875"/>
      <c r="J23" s="875"/>
      <c r="K23" s="875"/>
      <c r="L23" s="865"/>
      <c r="M23" s="875"/>
      <c r="N23" s="875"/>
      <c r="O23" s="875"/>
      <c r="P23" s="875"/>
      <c r="Q23" s="875"/>
      <c r="R23" s="875"/>
      <c r="S23" s="875"/>
      <c r="T23" s="372"/>
      <c r="U23" s="876"/>
      <c r="V23" s="876"/>
      <c r="W23" s="876"/>
      <c r="X23" s="876"/>
      <c r="Y23" s="876"/>
      <c r="Z23" s="876"/>
      <c r="AA23" s="876"/>
      <c r="AB23" s="396"/>
    </row>
    <row r="24" spans="1:28">
      <c r="A24" s="368">
        <v>3.2</v>
      </c>
      <c r="B24" s="397" t="s">
        <v>533</v>
      </c>
      <c r="C24" s="874"/>
      <c r="D24" s="865"/>
      <c r="E24" s="875"/>
      <c r="F24" s="875"/>
      <c r="G24" s="875"/>
      <c r="H24" s="865"/>
      <c r="I24" s="875"/>
      <c r="J24" s="875"/>
      <c r="K24" s="875"/>
      <c r="L24" s="865"/>
      <c r="M24" s="875"/>
      <c r="N24" s="875"/>
      <c r="O24" s="875"/>
      <c r="P24" s="875"/>
      <c r="Q24" s="875"/>
      <c r="R24" s="875"/>
      <c r="S24" s="875"/>
      <c r="T24" s="372"/>
      <c r="U24" s="876"/>
      <c r="V24" s="876"/>
      <c r="W24" s="876"/>
      <c r="X24" s="876"/>
      <c r="Y24" s="876"/>
      <c r="Z24" s="876"/>
      <c r="AA24" s="876"/>
      <c r="AB24" s="396"/>
    </row>
    <row r="25" spans="1:28">
      <c r="A25" s="368">
        <v>3.3</v>
      </c>
      <c r="B25" s="397" t="s">
        <v>534</v>
      </c>
      <c r="C25" s="874">
        <v>115039611.47730599</v>
      </c>
      <c r="D25" s="877">
        <v>115039611.47730599</v>
      </c>
      <c r="E25" s="875"/>
      <c r="F25" s="875"/>
      <c r="G25" s="875"/>
      <c r="H25" s="865">
        <v>0</v>
      </c>
      <c r="I25" s="875"/>
      <c r="J25" s="875"/>
      <c r="K25" s="875"/>
      <c r="L25" s="865">
        <v>0</v>
      </c>
      <c r="M25" s="875"/>
      <c r="N25" s="875"/>
      <c r="O25" s="875"/>
      <c r="P25" s="875"/>
      <c r="Q25" s="875"/>
      <c r="R25" s="875"/>
      <c r="S25" s="875"/>
      <c r="T25" s="372"/>
      <c r="U25" s="876"/>
      <c r="V25" s="876"/>
      <c r="W25" s="876"/>
      <c r="X25" s="876"/>
      <c r="Y25" s="876"/>
      <c r="Z25" s="876"/>
      <c r="AA25" s="876"/>
      <c r="AB25" s="396"/>
    </row>
    <row r="26" spans="1:28">
      <c r="A26" s="368">
        <v>3.4</v>
      </c>
      <c r="B26" s="397" t="s">
        <v>535</v>
      </c>
      <c r="C26" s="874">
        <v>0</v>
      </c>
      <c r="D26" s="877">
        <v>0</v>
      </c>
      <c r="E26" s="875"/>
      <c r="F26" s="875"/>
      <c r="G26" s="875"/>
      <c r="H26" s="865">
        <v>0</v>
      </c>
      <c r="I26" s="875"/>
      <c r="J26" s="875"/>
      <c r="K26" s="875"/>
      <c r="L26" s="865">
        <v>0</v>
      </c>
      <c r="M26" s="875"/>
      <c r="N26" s="875"/>
      <c r="O26" s="875"/>
      <c r="P26" s="875"/>
      <c r="Q26" s="875"/>
      <c r="R26" s="875"/>
      <c r="S26" s="875"/>
      <c r="T26" s="372"/>
      <c r="U26" s="876"/>
      <c r="V26" s="876"/>
      <c r="W26" s="876"/>
      <c r="X26" s="876"/>
      <c r="Y26" s="876"/>
      <c r="Z26" s="876"/>
      <c r="AA26" s="876"/>
      <c r="AB26" s="396"/>
    </row>
    <row r="27" spans="1:28">
      <c r="A27" s="368">
        <v>3.5</v>
      </c>
      <c r="B27" s="397" t="s">
        <v>536</v>
      </c>
      <c r="C27" s="874">
        <v>9633968.5743450001</v>
      </c>
      <c r="D27" s="877">
        <v>9633968.5743450001</v>
      </c>
      <c r="E27" s="875"/>
      <c r="F27" s="875"/>
      <c r="G27" s="875"/>
      <c r="H27" s="865">
        <v>0</v>
      </c>
      <c r="I27" s="875"/>
      <c r="J27" s="875"/>
      <c r="K27" s="875"/>
      <c r="L27" s="865">
        <v>0</v>
      </c>
      <c r="M27" s="875"/>
      <c r="N27" s="875"/>
      <c r="O27" s="875"/>
      <c r="P27" s="875"/>
      <c r="Q27" s="875"/>
      <c r="R27" s="875"/>
      <c r="S27" s="875"/>
      <c r="T27" s="372"/>
      <c r="U27" s="876"/>
      <c r="V27" s="876"/>
      <c r="W27" s="876"/>
      <c r="X27" s="876"/>
      <c r="Y27" s="876"/>
      <c r="Z27" s="876"/>
      <c r="AA27" s="876"/>
      <c r="AB27" s="396"/>
    </row>
    <row r="28" spans="1:28">
      <c r="A28" s="368">
        <v>3.6</v>
      </c>
      <c r="B28" s="397" t="s">
        <v>537</v>
      </c>
      <c r="C28" s="874"/>
      <c r="D28" s="877"/>
      <c r="E28" s="875"/>
      <c r="F28" s="875"/>
      <c r="G28" s="875"/>
      <c r="H28" s="865">
        <v>0</v>
      </c>
      <c r="I28" s="875"/>
      <c r="J28" s="875"/>
      <c r="K28" s="875"/>
      <c r="L28" s="865">
        <v>0</v>
      </c>
      <c r="M28" s="875"/>
      <c r="N28" s="875"/>
      <c r="O28" s="875"/>
      <c r="P28" s="875"/>
      <c r="Q28" s="875"/>
      <c r="R28" s="875"/>
      <c r="S28" s="875"/>
      <c r="T28" s="372"/>
      <c r="U28" s="876"/>
      <c r="V28" s="876"/>
      <c r="W28" s="876"/>
      <c r="X28" s="876"/>
      <c r="Y28" s="876"/>
      <c r="Z28" s="876"/>
      <c r="AA28" s="876"/>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302" t="s">
        <v>97</v>
      </c>
      <c r="B1" s="605" t="str">
        <f>Info!C2</f>
        <v>სს იშბანკი საქართველო</v>
      </c>
    </row>
    <row r="2" spans="1:27" ht="13.5">
      <c r="A2" s="304" t="s">
        <v>98</v>
      </c>
      <c r="B2" s="606">
        <f>'1. key ratios'!B2</f>
        <v>46022</v>
      </c>
    </row>
    <row r="3" spans="1:27">
      <c r="A3" s="305" t="s">
        <v>540</v>
      </c>
      <c r="C3" s="381"/>
    </row>
    <row r="4" spans="1:27" ht="13.5" thickBot="1">
      <c r="A4" s="305"/>
      <c r="B4" s="381"/>
      <c r="C4" s="381"/>
    </row>
    <row r="5" spans="1:27" s="410" customFormat="1" ht="13.5" customHeight="1">
      <c r="A5" s="1012" t="s">
        <v>869</v>
      </c>
      <c r="B5" s="1013"/>
      <c r="C5" s="1009" t="s">
        <v>541</v>
      </c>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1"/>
    </row>
    <row r="6" spans="1:27" s="410" customFormat="1" ht="12" customHeight="1">
      <c r="A6" s="1014"/>
      <c r="B6" s="1015"/>
      <c r="C6" s="1019" t="s">
        <v>66</v>
      </c>
      <c r="D6" s="1018" t="s">
        <v>860</v>
      </c>
      <c r="E6" s="1018"/>
      <c r="F6" s="1018"/>
      <c r="G6" s="1018"/>
      <c r="H6" s="1004" t="s">
        <v>859</v>
      </c>
      <c r="I6" s="1005"/>
      <c r="J6" s="1005"/>
      <c r="K6" s="1005"/>
      <c r="L6" s="406"/>
      <c r="M6" s="986" t="s">
        <v>858</v>
      </c>
      <c r="N6" s="986"/>
      <c r="O6" s="986"/>
      <c r="P6" s="986"/>
      <c r="Q6" s="986"/>
      <c r="R6" s="986"/>
      <c r="S6" s="984"/>
      <c r="T6" s="406"/>
      <c r="U6" s="986" t="s">
        <v>857</v>
      </c>
      <c r="V6" s="986"/>
      <c r="W6" s="986"/>
      <c r="X6" s="986"/>
      <c r="Y6" s="986"/>
      <c r="Z6" s="986"/>
      <c r="AA6" s="1008"/>
    </row>
    <row r="7" spans="1:27" s="410" customFormat="1" ht="38.25">
      <c r="A7" s="1016"/>
      <c r="B7" s="1017"/>
      <c r="C7" s="1020"/>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878">
        <v>328461754.85231596</v>
      </c>
      <c r="D8" s="873">
        <v>326346989.72934496</v>
      </c>
      <c r="E8" s="873">
        <v>0</v>
      </c>
      <c r="F8" s="873">
        <v>0</v>
      </c>
      <c r="G8" s="873">
        <v>0</v>
      </c>
      <c r="H8" s="873">
        <v>828523.46</v>
      </c>
      <c r="I8" s="873">
        <v>0</v>
      </c>
      <c r="J8" s="873">
        <v>0</v>
      </c>
      <c r="K8" s="873">
        <v>0</v>
      </c>
      <c r="L8" s="873">
        <v>1286241.6629710002</v>
      </c>
      <c r="M8" s="873">
        <v>0</v>
      </c>
      <c r="N8" s="873">
        <v>425774.22958500002</v>
      </c>
      <c r="O8" s="873">
        <v>0</v>
      </c>
      <c r="P8" s="873">
        <v>479545.28782800003</v>
      </c>
      <c r="Q8" s="873">
        <v>317184.39875700005</v>
      </c>
      <c r="R8" s="873">
        <v>9637.630000000001</v>
      </c>
      <c r="S8" s="879">
        <v>0</v>
      </c>
      <c r="T8" s="368"/>
      <c r="U8" s="368"/>
      <c r="V8" s="368"/>
      <c r="W8" s="368"/>
      <c r="X8" s="368"/>
      <c r="Y8" s="368"/>
      <c r="Z8" s="368"/>
      <c r="AA8" s="429"/>
    </row>
    <row r="9" spans="1:27">
      <c r="A9" s="435">
        <v>1.1000000000000001</v>
      </c>
      <c r="B9" s="436" t="s">
        <v>542</v>
      </c>
      <c r="C9" s="880">
        <v>254199689.28412303</v>
      </c>
      <c r="D9" s="862">
        <v>252491308.92890802</v>
      </c>
      <c r="E9" s="862">
        <v>0</v>
      </c>
      <c r="F9" s="862">
        <v>0</v>
      </c>
      <c r="G9" s="862">
        <v>0</v>
      </c>
      <c r="H9" s="862">
        <v>821375.3</v>
      </c>
      <c r="I9" s="862">
        <v>0</v>
      </c>
      <c r="J9" s="862">
        <v>0</v>
      </c>
      <c r="K9" s="862">
        <v>0</v>
      </c>
      <c r="L9" s="862">
        <v>887005.05521500006</v>
      </c>
      <c r="M9" s="862">
        <v>0</v>
      </c>
      <c r="N9" s="862">
        <v>407655.95712900005</v>
      </c>
      <c r="O9" s="862">
        <v>0</v>
      </c>
      <c r="P9" s="862">
        <v>361359.95128500002</v>
      </c>
      <c r="Q9" s="862">
        <v>59495.89</v>
      </c>
      <c r="R9" s="862">
        <v>4393.1400000000003</v>
      </c>
      <c r="S9" s="881">
        <v>0</v>
      </c>
      <c r="T9" s="368"/>
      <c r="U9" s="368"/>
      <c r="V9" s="368"/>
      <c r="W9" s="368"/>
      <c r="X9" s="368"/>
      <c r="Y9" s="368"/>
      <c r="Z9" s="368"/>
      <c r="AA9" s="429"/>
    </row>
    <row r="10" spans="1:27">
      <c r="A10" s="433" t="s">
        <v>146</v>
      </c>
      <c r="B10" s="434" t="s">
        <v>543</v>
      </c>
      <c r="C10" s="882">
        <v>164435295.69572303</v>
      </c>
      <c r="D10" s="862">
        <v>163687467.45179302</v>
      </c>
      <c r="E10" s="862">
        <v>0</v>
      </c>
      <c r="F10" s="862">
        <v>0</v>
      </c>
      <c r="G10" s="862">
        <v>0</v>
      </c>
      <c r="H10" s="862">
        <v>286072.17</v>
      </c>
      <c r="I10" s="862">
        <v>0</v>
      </c>
      <c r="J10" s="862">
        <v>0</v>
      </c>
      <c r="K10" s="862">
        <v>0</v>
      </c>
      <c r="L10" s="862">
        <v>461756.07393000007</v>
      </c>
      <c r="M10" s="862">
        <v>0</v>
      </c>
      <c r="N10" s="862">
        <v>407655.95712900005</v>
      </c>
      <c r="O10" s="862">
        <v>0</v>
      </c>
      <c r="P10" s="862">
        <v>0</v>
      </c>
      <c r="Q10" s="862">
        <v>0</v>
      </c>
      <c r="R10" s="862">
        <v>0</v>
      </c>
      <c r="S10" s="881">
        <v>0</v>
      </c>
      <c r="T10" s="368"/>
      <c r="U10" s="368"/>
      <c r="V10" s="368"/>
      <c r="W10" s="368"/>
      <c r="X10" s="368"/>
      <c r="Y10" s="368"/>
      <c r="Z10" s="368"/>
      <c r="AA10" s="429"/>
    </row>
    <row r="11" spans="1:27">
      <c r="A11" s="432" t="s">
        <v>544</v>
      </c>
      <c r="B11" s="431" t="s">
        <v>545</v>
      </c>
      <c r="C11" s="883">
        <v>53685759.622725993</v>
      </c>
      <c r="D11" s="862">
        <v>52937931.378795989</v>
      </c>
      <c r="E11" s="862">
        <v>0</v>
      </c>
      <c r="F11" s="862">
        <v>0</v>
      </c>
      <c r="G11" s="862">
        <v>0</v>
      </c>
      <c r="H11" s="862">
        <v>286072.17</v>
      </c>
      <c r="I11" s="862">
        <v>0</v>
      </c>
      <c r="J11" s="862">
        <v>0</v>
      </c>
      <c r="K11" s="862">
        <v>0</v>
      </c>
      <c r="L11" s="862">
        <v>461756.07393000007</v>
      </c>
      <c r="M11" s="862">
        <v>0</v>
      </c>
      <c r="N11" s="862">
        <v>407655.95712900005</v>
      </c>
      <c r="O11" s="862">
        <v>0</v>
      </c>
      <c r="P11" s="862">
        <v>0</v>
      </c>
      <c r="Q11" s="862">
        <v>0</v>
      </c>
      <c r="R11" s="862">
        <v>0</v>
      </c>
      <c r="S11" s="881">
        <v>0</v>
      </c>
      <c r="T11" s="368"/>
      <c r="U11" s="368"/>
      <c r="V11" s="368"/>
      <c r="W11" s="368"/>
      <c r="X11" s="368"/>
      <c r="Y11" s="368"/>
      <c r="Z11" s="368"/>
      <c r="AA11" s="429"/>
    </row>
    <row r="12" spans="1:27">
      <c r="A12" s="432" t="s">
        <v>546</v>
      </c>
      <c r="B12" s="431" t="s">
        <v>547</v>
      </c>
      <c r="C12" s="883">
        <v>22258150.992596999</v>
      </c>
      <c r="D12" s="862">
        <v>22258150.992596999</v>
      </c>
      <c r="E12" s="862">
        <v>0</v>
      </c>
      <c r="F12" s="862">
        <v>0</v>
      </c>
      <c r="G12" s="862">
        <v>0</v>
      </c>
      <c r="H12" s="862">
        <v>0</v>
      </c>
      <c r="I12" s="862">
        <v>0</v>
      </c>
      <c r="J12" s="862">
        <v>0</v>
      </c>
      <c r="K12" s="862">
        <v>0</v>
      </c>
      <c r="L12" s="862">
        <v>0</v>
      </c>
      <c r="M12" s="862">
        <v>0</v>
      </c>
      <c r="N12" s="862">
        <v>0</v>
      </c>
      <c r="O12" s="862">
        <v>0</v>
      </c>
      <c r="P12" s="862">
        <v>0</v>
      </c>
      <c r="Q12" s="862">
        <v>0</v>
      </c>
      <c r="R12" s="862">
        <v>0</v>
      </c>
      <c r="S12" s="881">
        <v>0</v>
      </c>
      <c r="T12" s="368"/>
      <c r="U12" s="368"/>
      <c r="V12" s="368"/>
      <c r="W12" s="368"/>
      <c r="X12" s="368"/>
      <c r="Y12" s="368"/>
      <c r="Z12" s="368"/>
      <c r="AA12" s="429"/>
    </row>
    <row r="13" spans="1:27">
      <c r="A13" s="432" t="s">
        <v>548</v>
      </c>
      <c r="B13" s="431" t="s">
        <v>549</v>
      </c>
      <c r="C13" s="883">
        <v>10619872.779999999</v>
      </c>
      <c r="D13" s="862">
        <v>10619872.779999999</v>
      </c>
      <c r="E13" s="862">
        <v>0</v>
      </c>
      <c r="F13" s="862">
        <v>0</v>
      </c>
      <c r="G13" s="862">
        <v>0</v>
      </c>
      <c r="H13" s="862">
        <v>0</v>
      </c>
      <c r="I13" s="862">
        <v>0</v>
      </c>
      <c r="J13" s="862">
        <v>0</v>
      </c>
      <c r="K13" s="862">
        <v>0</v>
      </c>
      <c r="L13" s="862">
        <v>0</v>
      </c>
      <c r="M13" s="862">
        <v>0</v>
      </c>
      <c r="N13" s="862">
        <v>0</v>
      </c>
      <c r="O13" s="862">
        <v>0</v>
      </c>
      <c r="P13" s="862">
        <v>0</v>
      </c>
      <c r="Q13" s="862">
        <v>0</v>
      </c>
      <c r="R13" s="862">
        <v>0</v>
      </c>
      <c r="S13" s="881">
        <v>0</v>
      </c>
      <c r="T13" s="368"/>
      <c r="U13" s="368"/>
      <c r="V13" s="368"/>
      <c r="W13" s="368"/>
      <c r="X13" s="368"/>
      <c r="Y13" s="368"/>
      <c r="Z13" s="368"/>
      <c r="AA13" s="429"/>
    </row>
    <row r="14" spans="1:27">
      <c r="A14" s="432" t="s">
        <v>550</v>
      </c>
      <c r="B14" s="431" t="s">
        <v>551</v>
      </c>
      <c r="C14" s="883">
        <v>77871512.300400004</v>
      </c>
      <c r="D14" s="862">
        <v>77871512.300400004</v>
      </c>
      <c r="E14" s="862">
        <v>0</v>
      </c>
      <c r="F14" s="862">
        <v>0</v>
      </c>
      <c r="G14" s="862">
        <v>0</v>
      </c>
      <c r="H14" s="862">
        <v>0</v>
      </c>
      <c r="I14" s="862">
        <v>0</v>
      </c>
      <c r="J14" s="862">
        <v>0</v>
      </c>
      <c r="K14" s="862">
        <v>0</v>
      </c>
      <c r="L14" s="862">
        <v>0</v>
      </c>
      <c r="M14" s="862">
        <v>0</v>
      </c>
      <c r="N14" s="862">
        <v>0</v>
      </c>
      <c r="O14" s="862">
        <v>0</v>
      </c>
      <c r="P14" s="862">
        <v>0</v>
      </c>
      <c r="Q14" s="862">
        <v>0</v>
      </c>
      <c r="R14" s="862">
        <v>0</v>
      </c>
      <c r="S14" s="881">
        <v>0</v>
      </c>
      <c r="T14" s="368"/>
      <c r="U14" s="368"/>
      <c r="V14" s="368"/>
      <c r="W14" s="368"/>
      <c r="X14" s="368"/>
      <c r="Y14" s="368"/>
      <c r="Z14" s="368"/>
      <c r="AA14" s="429"/>
    </row>
    <row r="15" spans="1:27">
      <c r="A15" s="430">
        <v>1.2</v>
      </c>
      <c r="B15" s="427" t="s">
        <v>863</v>
      </c>
      <c r="C15" s="884">
        <v>1831825.1920292729</v>
      </c>
      <c r="D15" s="862">
        <v>1106463.0564792417</v>
      </c>
      <c r="E15" s="862">
        <v>0</v>
      </c>
      <c r="F15" s="862">
        <v>0</v>
      </c>
      <c r="G15" s="862">
        <v>0</v>
      </c>
      <c r="H15" s="862">
        <v>15413.710920998259</v>
      </c>
      <c r="I15" s="862">
        <v>0</v>
      </c>
      <c r="J15" s="862">
        <v>0</v>
      </c>
      <c r="K15" s="862">
        <v>0</v>
      </c>
      <c r="L15" s="862">
        <v>709948.42462903319</v>
      </c>
      <c r="M15" s="862">
        <v>0</v>
      </c>
      <c r="N15" s="862">
        <v>3.3127908897237795E-8</v>
      </c>
      <c r="O15" s="862">
        <v>0</v>
      </c>
      <c r="P15" s="862">
        <v>479545.28782800003</v>
      </c>
      <c r="Q15" s="862">
        <v>166665.38999999998</v>
      </c>
      <c r="R15" s="862">
        <v>9637.630000000001</v>
      </c>
      <c r="S15" s="881">
        <v>0</v>
      </c>
      <c r="T15" s="368"/>
      <c r="U15" s="368"/>
      <c r="V15" s="368"/>
      <c r="W15" s="368"/>
      <c r="X15" s="368"/>
      <c r="Y15" s="368"/>
      <c r="Z15" s="368"/>
      <c r="AA15" s="429"/>
    </row>
    <row r="16" spans="1:27">
      <c r="A16" s="428">
        <v>1.3</v>
      </c>
      <c r="B16" s="427" t="s">
        <v>552</v>
      </c>
      <c r="C16" s="885"/>
      <c r="D16" s="886"/>
      <c r="E16" s="886"/>
      <c r="F16" s="886"/>
      <c r="G16" s="886"/>
      <c r="H16" s="886"/>
      <c r="I16" s="886"/>
      <c r="J16" s="886"/>
      <c r="K16" s="886"/>
      <c r="L16" s="886"/>
      <c r="M16" s="886"/>
      <c r="N16" s="886"/>
      <c r="O16" s="886"/>
      <c r="P16" s="886"/>
      <c r="Q16" s="886"/>
      <c r="R16" s="886"/>
      <c r="S16" s="887"/>
      <c r="T16" s="426"/>
      <c r="U16" s="426"/>
      <c r="V16" s="426"/>
      <c r="W16" s="426"/>
      <c r="X16" s="426"/>
      <c r="Y16" s="426"/>
      <c r="Z16" s="426"/>
      <c r="AA16" s="425"/>
    </row>
    <row r="17" spans="1:27" s="410" customFormat="1" ht="25.5">
      <c r="A17" s="423" t="s">
        <v>553</v>
      </c>
      <c r="B17" s="424" t="s">
        <v>554</v>
      </c>
      <c r="C17" s="888">
        <v>250537025.70162681</v>
      </c>
      <c r="D17" s="863">
        <v>248828645.34641179</v>
      </c>
      <c r="E17" s="863">
        <v>0</v>
      </c>
      <c r="F17" s="863">
        <v>0</v>
      </c>
      <c r="G17" s="863">
        <v>0</v>
      </c>
      <c r="H17" s="863">
        <v>821375.3</v>
      </c>
      <c r="I17" s="863">
        <v>0</v>
      </c>
      <c r="J17" s="863">
        <v>0</v>
      </c>
      <c r="K17" s="863">
        <v>0</v>
      </c>
      <c r="L17" s="863">
        <v>887005.05521500006</v>
      </c>
      <c r="M17" s="863">
        <v>0</v>
      </c>
      <c r="N17" s="863">
        <v>407655.95712900005</v>
      </c>
      <c r="O17" s="863">
        <v>0</v>
      </c>
      <c r="P17" s="863">
        <v>361359.95128500002</v>
      </c>
      <c r="Q17" s="863">
        <v>59495.89</v>
      </c>
      <c r="R17" s="863">
        <v>4393.1400000000003</v>
      </c>
      <c r="S17" s="889">
        <v>0</v>
      </c>
      <c r="T17" s="369"/>
      <c r="U17" s="369"/>
      <c r="V17" s="369"/>
      <c r="W17" s="369"/>
      <c r="X17" s="369"/>
      <c r="Y17" s="369"/>
      <c r="Z17" s="369"/>
      <c r="AA17" s="416"/>
    </row>
    <row r="18" spans="1:27" s="410" customFormat="1" ht="25.5">
      <c r="A18" s="420" t="s">
        <v>555</v>
      </c>
      <c r="B18" s="421" t="s">
        <v>556</v>
      </c>
      <c r="C18" s="890">
        <v>125623865.00022301</v>
      </c>
      <c r="D18" s="863">
        <v>124876036.75629301</v>
      </c>
      <c r="E18" s="863">
        <v>0</v>
      </c>
      <c r="F18" s="863">
        <v>0</v>
      </c>
      <c r="G18" s="863">
        <v>0</v>
      </c>
      <c r="H18" s="863">
        <v>286072.17</v>
      </c>
      <c r="I18" s="863">
        <v>0</v>
      </c>
      <c r="J18" s="863">
        <v>0</v>
      </c>
      <c r="K18" s="863">
        <v>0</v>
      </c>
      <c r="L18" s="863">
        <v>461756.07393000007</v>
      </c>
      <c r="M18" s="863">
        <v>0</v>
      </c>
      <c r="N18" s="863">
        <v>407655.95712900005</v>
      </c>
      <c r="O18" s="863">
        <v>0</v>
      </c>
      <c r="P18" s="863">
        <v>0</v>
      </c>
      <c r="Q18" s="863">
        <v>0</v>
      </c>
      <c r="R18" s="863">
        <v>0</v>
      </c>
      <c r="S18" s="889">
        <v>0</v>
      </c>
      <c r="T18" s="369"/>
      <c r="U18" s="369"/>
      <c r="V18" s="369"/>
      <c r="W18" s="369"/>
      <c r="X18" s="369"/>
      <c r="Y18" s="369"/>
      <c r="Z18" s="369"/>
      <c r="AA18" s="416"/>
    </row>
    <row r="19" spans="1:27" s="410" customFormat="1">
      <c r="A19" s="423" t="s">
        <v>557</v>
      </c>
      <c r="B19" s="422" t="s">
        <v>558</v>
      </c>
      <c r="C19" s="891">
        <v>275432564.95870149</v>
      </c>
      <c r="D19" s="863">
        <v>273262452.93827432</v>
      </c>
      <c r="E19" s="863">
        <v>0</v>
      </c>
      <c r="F19" s="863">
        <v>0</v>
      </c>
      <c r="G19" s="863">
        <v>0</v>
      </c>
      <c r="H19" s="863">
        <v>533091.49</v>
      </c>
      <c r="I19" s="863">
        <v>0</v>
      </c>
      <c r="J19" s="863">
        <v>0</v>
      </c>
      <c r="K19" s="863">
        <v>0</v>
      </c>
      <c r="L19" s="863">
        <v>1637020.5304271327</v>
      </c>
      <c r="M19" s="863">
        <v>0</v>
      </c>
      <c r="N19" s="863">
        <v>1606279.6</v>
      </c>
      <c r="O19" s="863">
        <v>0</v>
      </c>
      <c r="P19" s="863">
        <v>0</v>
      </c>
      <c r="Q19" s="863">
        <v>0</v>
      </c>
      <c r="R19" s="863">
        <v>0</v>
      </c>
      <c r="S19" s="889">
        <v>0</v>
      </c>
      <c r="T19" s="369"/>
      <c r="U19" s="369"/>
      <c r="V19" s="369"/>
      <c r="W19" s="369"/>
      <c r="X19" s="369"/>
      <c r="Y19" s="369"/>
      <c r="Z19" s="369"/>
      <c r="AA19" s="416"/>
    </row>
    <row r="20" spans="1:27" s="410" customFormat="1">
      <c r="A20" s="420" t="s">
        <v>559</v>
      </c>
      <c r="B20" s="421" t="s">
        <v>560</v>
      </c>
      <c r="C20" s="890">
        <v>109449173.75456212</v>
      </c>
      <c r="D20" s="863">
        <v>107708131.75126398</v>
      </c>
      <c r="E20" s="863">
        <v>0</v>
      </c>
      <c r="F20" s="863">
        <v>0</v>
      </c>
      <c r="G20" s="863">
        <v>0</v>
      </c>
      <c r="H20" s="863">
        <v>511677.43000000005</v>
      </c>
      <c r="I20" s="863">
        <v>0</v>
      </c>
      <c r="J20" s="863">
        <v>0</v>
      </c>
      <c r="K20" s="863">
        <v>0</v>
      </c>
      <c r="L20" s="863">
        <v>1229364.573298133</v>
      </c>
      <c r="M20" s="863">
        <v>0</v>
      </c>
      <c r="N20" s="863">
        <v>1198623.6428710001</v>
      </c>
      <c r="O20" s="863">
        <v>0</v>
      </c>
      <c r="P20" s="863">
        <v>0</v>
      </c>
      <c r="Q20" s="863">
        <v>0</v>
      </c>
      <c r="R20" s="863">
        <v>0</v>
      </c>
      <c r="S20" s="889">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3.5"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showGridLines="0" zoomScale="80" zoomScaleNormal="80" workbookViewId="0">
      <selection activeCell="B4" sqref="B4:B5"/>
    </sheetView>
  </sheetViews>
  <sheetFormatPr defaultRowHeight="15"/>
  <cols>
    <col min="1" max="1" width="8.85546875" style="353"/>
    <col min="2" max="2" width="69.140625" style="341" customWidth="1"/>
    <col min="3" max="3" width="13.5703125" customWidth="1"/>
    <col min="4" max="4" width="14.42578125" customWidth="1"/>
    <col min="5" max="8" width="13.14062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46022</v>
      </c>
      <c r="C2" s="28"/>
      <c r="D2" s="18"/>
      <c r="E2" s="18"/>
      <c r="F2" s="18"/>
      <c r="G2" s="18"/>
      <c r="H2" s="1"/>
    </row>
    <row r="3" spans="1:8" ht="16.5" thickBot="1">
      <c r="A3" s="17"/>
      <c r="B3" s="16"/>
      <c r="C3" s="28"/>
      <c r="D3" s="18"/>
      <c r="E3" s="18"/>
      <c r="F3" s="18"/>
      <c r="G3" s="18"/>
      <c r="H3" s="1"/>
    </row>
    <row r="4" spans="1:8" ht="21" customHeight="1">
      <c r="A4" s="910" t="s">
        <v>25</v>
      </c>
      <c r="B4" s="912" t="s">
        <v>697</v>
      </c>
      <c r="C4" s="914" t="s">
        <v>103</v>
      </c>
      <c r="D4" s="914"/>
      <c r="E4" s="914"/>
      <c r="F4" s="914" t="s">
        <v>104</v>
      </c>
      <c r="G4" s="914"/>
      <c r="H4" s="915"/>
    </row>
    <row r="5" spans="1:8" ht="21" customHeight="1">
      <c r="A5" s="911"/>
      <c r="B5" s="913"/>
      <c r="C5" s="669" t="s">
        <v>26</v>
      </c>
      <c r="D5" s="669" t="s">
        <v>77</v>
      </c>
      <c r="E5" s="669" t="s">
        <v>66</v>
      </c>
      <c r="F5" s="669" t="s">
        <v>26</v>
      </c>
      <c r="G5" s="669" t="s">
        <v>77</v>
      </c>
      <c r="H5" s="670" t="s">
        <v>66</v>
      </c>
    </row>
    <row r="6" spans="1:8" ht="26.45" customHeight="1">
      <c r="A6" s="911"/>
      <c r="B6" s="671" t="s">
        <v>84</v>
      </c>
      <c r="C6" s="916"/>
      <c r="D6" s="917"/>
      <c r="E6" s="917"/>
      <c r="F6" s="917"/>
      <c r="G6" s="917"/>
      <c r="H6" s="918"/>
    </row>
    <row r="7" spans="1:8" ht="23.1" customHeight="1">
      <c r="A7" s="672">
        <v>1</v>
      </c>
      <c r="B7" s="673" t="s">
        <v>811</v>
      </c>
      <c r="C7" s="651">
        <f>SUM(C8:C10)</f>
        <v>22970619.790043209</v>
      </c>
      <c r="D7" s="652">
        <f>SUM(D8:D10)</f>
        <v>184404293.01710227</v>
      </c>
      <c r="E7" s="653">
        <f>C7+D7</f>
        <v>207374912.80714548</v>
      </c>
      <c r="F7" s="654">
        <f>SUM(F8:F10)</f>
        <v>5643034.2737126127</v>
      </c>
      <c r="G7" s="652">
        <f>SUM(G8:G10)</f>
        <v>82353631.494010046</v>
      </c>
      <c r="H7" s="655">
        <f>F7+G7</f>
        <v>87996665.767722666</v>
      </c>
    </row>
    <row r="8" spans="1:8">
      <c r="A8" s="672">
        <v>1.1000000000000001</v>
      </c>
      <c r="B8" s="674" t="s">
        <v>85</v>
      </c>
      <c r="C8" s="656">
        <v>329529.55</v>
      </c>
      <c r="D8" s="657">
        <v>787611.16070000001</v>
      </c>
      <c r="E8" s="653">
        <f t="shared" ref="E8:E36" si="0">C8+D8</f>
        <v>1117140.7106999999</v>
      </c>
      <c r="F8" s="658">
        <v>425892.95</v>
      </c>
      <c r="G8" s="657">
        <v>1286033.8574999999</v>
      </c>
      <c r="H8" s="655">
        <f t="shared" ref="H8:H36" si="1">F8+G8</f>
        <v>1711926.8074999999</v>
      </c>
    </row>
    <row r="9" spans="1:8">
      <c r="A9" s="672">
        <v>1.2</v>
      </c>
      <c r="B9" s="674" t="s">
        <v>86</v>
      </c>
      <c r="C9" s="656">
        <v>22636562.458836444</v>
      </c>
      <c r="D9" s="657">
        <v>49326995.197229132</v>
      </c>
      <c r="E9" s="653">
        <f t="shared" si="0"/>
        <v>71963557.656065583</v>
      </c>
      <c r="F9" s="658">
        <v>5212889.0237908904</v>
      </c>
      <c r="G9" s="657">
        <v>41399528.18780192</v>
      </c>
      <c r="H9" s="655">
        <f t="shared" si="1"/>
        <v>46612417.211592808</v>
      </c>
    </row>
    <row r="10" spans="1:8">
      <c r="A10" s="672">
        <v>1.3</v>
      </c>
      <c r="B10" s="674" t="s">
        <v>87</v>
      </c>
      <c r="C10" s="656">
        <v>4527.7812067646255</v>
      </c>
      <c r="D10" s="657">
        <v>134289686.65917313</v>
      </c>
      <c r="E10" s="653">
        <f t="shared" si="0"/>
        <v>134294214.44037989</v>
      </c>
      <c r="F10" s="658">
        <v>4252.2999217221413</v>
      </c>
      <c r="G10" s="657">
        <v>39668069.448708124</v>
      </c>
      <c r="H10" s="655">
        <f t="shared" si="1"/>
        <v>39672321.748629846</v>
      </c>
    </row>
    <row r="11" spans="1:8">
      <c r="A11" s="672">
        <v>2</v>
      </c>
      <c r="B11" s="675" t="s">
        <v>698</v>
      </c>
      <c r="C11" s="656"/>
      <c r="D11" s="657"/>
      <c r="E11" s="653">
        <f t="shared" si="0"/>
        <v>0</v>
      </c>
      <c r="F11" s="658"/>
      <c r="G11" s="657"/>
      <c r="H11" s="655">
        <f t="shared" si="1"/>
        <v>0</v>
      </c>
    </row>
    <row r="12" spans="1:8">
      <c r="A12" s="672">
        <v>2.1</v>
      </c>
      <c r="B12" s="676" t="s">
        <v>699</v>
      </c>
      <c r="C12" s="656"/>
      <c r="D12" s="657"/>
      <c r="E12" s="653">
        <f t="shared" si="0"/>
        <v>0</v>
      </c>
      <c r="F12" s="658"/>
      <c r="G12" s="657"/>
      <c r="H12" s="655">
        <f t="shared" si="1"/>
        <v>0</v>
      </c>
    </row>
    <row r="13" spans="1:8" ht="26.45" customHeight="1">
      <c r="A13" s="672">
        <v>3</v>
      </c>
      <c r="B13" s="328" t="s">
        <v>700</v>
      </c>
      <c r="C13" s="656"/>
      <c r="D13" s="657"/>
      <c r="E13" s="653">
        <f t="shared" si="0"/>
        <v>0</v>
      </c>
      <c r="F13" s="658"/>
      <c r="G13" s="657"/>
      <c r="H13" s="655">
        <f t="shared" si="1"/>
        <v>0</v>
      </c>
    </row>
    <row r="14" spans="1:8" ht="26.45" customHeight="1">
      <c r="A14" s="672">
        <v>4</v>
      </c>
      <c r="B14" s="329" t="s">
        <v>701</v>
      </c>
      <c r="C14" s="656"/>
      <c r="D14" s="657"/>
      <c r="E14" s="653">
        <f t="shared" si="0"/>
        <v>0</v>
      </c>
      <c r="F14" s="658"/>
      <c r="G14" s="657"/>
      <c r="H14" s="655">
        <f t="shared" si="1"/>
        <v>0</v>
      </c>
    </row>
    <row r="15" spans="1:8" ht="24.6" customHeight="1">
      <c r="A15" s="672">
        <v>5</v>
      </c>
      <c r="B15" s="329" t="s">
        <v>702</v>
      </c>
      <c r="C15" s="659">
        <f>SUM(C16:C18)</f>
        <v>0</v>
      </c>
      <c r="D15" s="660">
        <f>SUM(D16:D18)</f>
        <v>0</v>
      </c>
      <c r="E15" s="661">
        <f t="shared" si="0"/>
        <v>0</v>
      </c>
      <c r="F15" s="662">
        <f>SUM(F16:F18)</f>
        <v>0</v>
      </c>
      <c r="G15" s="660">
        <f>SUM(G16:G18)</f>
        <v>0</v>
      </c>
      <c r="H15" s="663">
        <f t="shared" si="1"/>
        <v>0</v>
      </c>
    </row>
    <row r="16" spans="1:8">
      <c r="A16" s="672">
        <v>5.0999999999999996</v>
      </c>
      <c r="B16" s="330" t="s">
        <v>703</v>
      </c>
      <c r="C16" s="656"/>
      <c r="D16" s="657"/>
      <c r="E16" s="653">
        <f t="shared" si="0"/>
        <v>0</v>
      </c>
      <c r="F16" s="658"/>
      <c r="G16" s="657"/>
      <c r="H16" s="655">
        <f t="shared" si="1"/>
        <v>0</v>
      </c>
    </row>
    <row r="17" spans="1:8">
      <c r="A17" s="672">
        <v>5.2</v>
      </c>
      <c r="B17" s="330" t="s">
        <v>538</v>
      </c>
      <c r="C17" s="656"/>
      <c r="D17" s="657"/>
      <c r="E17" s="653">
        <f t="shared" si="0"/>
        <v>0</v>
      </c>
      <c r="F17" s="658"/>
      <c r="G17" s="657"/>
      <c r="H17" s="655">
        <f t="shared" si="1"/>
        <v>0</v>
      </c>
    </row>
    <row r="18" spans="1:8">
      <c r="A18" s="672">
        <v>5.3</v>
      </c>
      <c r="B18" s="330" t="s">
        <v>704</v>
      </c>
      <c r="C18" s="656"/>
      <c r="D18" s="657"/>
      <c r="E18" s="653">
        <f t="shared" si="0"/>
        <v>0</v>
      </c>
      <c r="F18" s="658"/>
      <c r="G18" s="657"/>
      <c r="H18" s="655">
        <f t="shared" si="1"/>
        <v>0</v>
      </c>
    </row>
    <row r="19" spans="1:8">
      <c r="A19" s="672">
        <v>6</v>
      </c>
      <c r="B19" s="328" t="s">
        <v>705</v>
      </c>
      <c r="C19" s="651">
        <f>SUM(C20:C21)</f>
        <v>194575670.87329245</v>
      </c>
      <c r="D19" s="652">
        <f>SUM(D20:D21)</f>
        <v>211643846.73836878</v>
      </c>
      <c r="E19" s="653">
        <f t="shared" si="0"/>
        <v>406219517.6116612</v>
      </c>
      <c r="F19" s="654">
        <f>SUM(F20:F21)</f>
        <v>191553907.85861251</v>
      </c>
      <c r="G19" s="652">
        <f>SUM(G20:G21)</f>
        <v>188261471.22757697</v>
      </c>
      <c r="H19" s="655">
        <f t="shared" si="1"/>
        <v>379815379.08618951</v>
      </c>
    </row>
    <row r="20" spans="1:8">
      <c r="A20" s="672">
        <v>6.1</v>
      </c>
      <c r="B20" s="330" t="s">
        <v>538</v>
      </c>
      <c r="C20" s="656">
        <v>58050553.27952309</v>
      </c>
      <c r="D20" s="657">
        <v>22111228.444447834</v>
      </c>
      <c r="E20" s="653">
        <f t="shared" si="0"/>
        <v>80161781.72397092</v>
      </c>
      <c r="F20" s="658">
        <v>42032718.790847979</v>
      </c>
      <c r="G20" s="657">
        <v>14181624.769055314</v>
      </c>
      <c r="H20" s="655">
        <f t="shared" si="1"/>
        <v>56214343.559903294</v>
      </c>
    </row>
    <row r="21" spans="1:8">
      <c r="A21" s="672">
        <v>6.2</v>
      </c>
      <c r="B21" s="330" t="s">
        <v>704</v>
      </c>
      <c r="C21" s="656">
        <v>136525117.59376937</v>
      </c>
      <c r="D21" s="657">
        <v>189532618.29392093</v>
      </c>
      <c r="E21" s="653">
        <f t="shared" si="0"/>
        <v>326057735.88769031</v>
      </c>
      <c r="F21" s="658">
        <v>149521189.06776452</v>
      </c>
      <c r="G21" s="657">
        <v>174079846.45852166</v>
      </c>
      <c r="H21" s="655">
        <f t="shared" si="1"/>
        <v>323601035.52628618</v>
      </c>
    </row>
    <row r="22" spans="1:8">
      <c r="A22" s="672">
        <v>7</v>
      </c>
      <c r="B22" s="331" t="s">
        <v>706</v>
      </c>
      <c r="C22" s="656"/>
      <c r="D22" s="657"/>
      <c r="E22" s="653">
        <f t="shared" si="0"/>
        <v>0</v>
      </c>
      <c r="F22" s="658"/>
      <c r="G22" s="657"/>
      <c r="H22" s="655">
        <f t="shared" si="1"/>
        <v>0</v>
      </c>
    </row>
    <row r="23" spans="1:8" ht="21">
      <c r="A23" s="672">
        <v>8</v>
      </c>
      <c r="B23" s="332" t="s">
        <v>707</v>
      </c>
      <c r="C23" s="656"/>
      <c r="D23" s="657"/>
      <c r="E23" s="653">
        <f t="shared" si="0"/>
        <v>0</v>
      </c>
      <c r="F23" s="658"/>
      <c r="G23" s="657"/>
      <c r="H23" s="655">
        <f t="shared" si="1"/>
        <v>0</v>
      </c>
    </row>
    <row r="24" spans="1:8">
      <c r="A24" s="672">
        <v>9</v>
      </c>
      <c r="B24" s="329" t="s">
        <v>708</v>
      </c>
      <c r="C24" s="651">
        <f>SUM(C25:C26)</f>
        <v>6350792.4699999988</v>
      </c>
      <c r="D24" s="652">
        <f>SUM(D25:D26)</f>
        <v>0</v>
      </c>
      <c r="E24" s="653">
        <f t="shared" si="0"/>
        <v>6350792.4699999988</v>
      </c>
      <c r="F24" s="654">
        <f>SUM(F25:F26)</f>
        <v>6782728.7300000004</v>
      </c>
      <c r="G24" s="652">
        <f>SUM(G25:G26)</f>
        <v>0</v>
      </c>
      <c r="H24" s="655">
        <f t="shared" si="1"/>
        <v>6782728.7300000004</v>
      </c>
    </row>
    <row r="25" spans="1:8">
      <c r="A25" s="672">
        <v>9.1</v>
      </c>
      <c r="B25" s="333" t="s">
        <v>709</v>
      </c>
      <c r="C25" s="656">
        <v>6350792.4699999988</v>
      </c>
      <c r="D25" s="657"/>
      <c r="E25" s="653">
        <f t="shared" si="0"/>
        <v>6350792.4699999988</v>
      </c>
      <c r="F25" s="658">
        <v>6782728.7300000004</v>
      </c>
      <c r="G25" s="657"/>
      <c r="H25" s="655">
        <f t="shared" si="1"/>
        <v>6782728.7300000004</v>
      </c>
    </row>
    <row r="26" spans="1:8">
      <c r="A26" s="672">
        <v>9.1999999999999993</v>
      </c>
      <c r="B26" s="333" t="s">
        <v>710</v>
      </c>
      <c r="C26" s="656"/>
      <c r="D26" s="657"/>
      <c r="E26" s="653">
        <f t="shared" si="0"/>
        <v>0</v>
      </c>
      <c r="F26" s="658"/>
      <c r="G26" s="657"/>
      <c r="H26" s="655">
        <f t="shared" si="1"/>
        <v>0</v>
      </c>
    </row>
    <row r="27" spans="1:8">
      <c r="A27" s="672">
        <v>10</v>
      </c>
      <c r="B27" s="329" t="s">
        <v>36</v>
      </c>
      <c r="C27" s="651">
        <f>SUM(C28:C29)</f>
        <v>2515703.7999999998</v>
      </c>
      <c r="D27" s="652">
        <f>SUM(D28:D29)</f>
        <v>0</v>
      </c>
      <c r="E27" s="653">
        <f t="shared" si="0"/>
        <v>2515703.7999999998</v>
      </c>
      <c r="F27" s="654">
        <f>SUM(F28:F29)</f>
        <v>2727053.4502263302</v>
      </c>
      <c r="G27" s="652">
        <f>SUM(G28:G29)</f>
        <v>0</v>
      </c>
      <c r="H27" s="655">
        <f t="shared" si="1"/>
        <v>2727053.4502263302</v>
      </c>
    </row>
    <row r="28" spans="1:8">
      <c r="A28" s="672">
        <v>10.1</v>
      </c>
      <c r="B28" s="333" t="s">
        <v>711</v>
      </c>
      <c r="C28" s="656"/>
      <c r="D28" s="657"/>
      <c r="E28" s="653">
        <f t="shared" si="0"/>
        <v>0</v>
      </c>
      <c r="F28" s="658"/>
      <c r="G28" s="657"/>
      <c r="H28" s="655">
        <f t="shared" si="1"/>
        <v>0</v>
      </c>
    </row>
    <row r="29" spans="1:8">
      <c r="A29" s="672">
        <v>10.199999999999999</v>
      </c>
      <c r="B29" s="333" t="s">
        <v>712</v>
      </c>
      <c r="C29" s="656">
        <v>2515703.7999999998</v>
      </c>
      <c r="D29" s="657"/>
      <c r="E29" s="653">
        <f t="shared" si="0"/>
        <v>2515703.7999999998</v>
      </c>
      <c r="F29" s="658">
        <v>2727053.4502263302</v>
      </c>
      <c r="G29" s="657"/>
      <c r="H29" s="655">
        <f t="shared" si="1"/>
        <v>2727053.4502263302</v>
      </c>
    </row>
    <row r="30" spans="1:8">
      <c r="A30" s="672">
        <v>11</v>
      </c>
      <c r="B30" s="329" t="s">
        <v>713</v>
      </c>
      <c r="C30" s="651">
        <f>SUM(C31:C32)</f>
        <v>668250.07584060344</v>
      </c>
      <c r="D30" s="652">
        <f>SUM(D31:D32)</f>
        <v>0</v>
      </c>
      <c r="E30" s="653">
        <f t="shared" si="0"/>
        <v>668250.07584060344</v>
      </c>
      <c r="F30" s="654">
        <f>SUM(F31:F32)</f>
        <v>6617042.8200000003</v>
      </c>
      <c r="G30" s="652">
        <f>SUM(G31:G32)</f>
        <v>0</v>
      </c>
      <c r="H30" s="655">
        <f t="shared" si="1"/>
        <v>6617042.8200000003</v>
      </c>
    </row>
    <row r="31" spans="1:8">
      <c r="A31" s="672">
        <v>11.1</v>
      </c>
      <c r="B31" s="333" t="s">
        <v>714</v>
      </c>
      <c r="C31" s="656">
        <v>668250.07584060344</v>
      </c>
      <c r="D31" s="657"/>
      <c r="E31" s="653">
        <f t="shared" si="0"/>
        <v>668250.07584060344</v>
      </c>
      <c r="F31" s="658">
        <v>6617042.8200000003</v>
      </c>
      <c r="G31" s="657"/>
      <c r="H31" s="655">
        <f t="shared" si="1"/>
        <v>6617042.8200000003</v>
      </c>
    </row>
    <row r="32" spans="1:8">
      <c r="A32" s="672">
        <v>11.2</v>
      </c>
      <c r="B32" s="333" t="s">
        <v>715</v>
      </c>
      <c r="C32" s="656"/>
      <c r="D32" s="657"/>
      <c r="E32" s="653">
        <f t="shared" si="0"/>
        <v>0</v>
      </c>
      <c r="F32" s="658"/>
      <c r="G32" s="657"/>
      <c r="H32" s="655">
        <f t="shared" si="1"/>
        <v>0</v>
      </c>
    </row>
    <row r="33" spans="1:8">
      <c r="A33" s="672">
        <v>13</v>
      </c>
      <c r="B33" s="329" t="s">
        <v>88</v>
      </c>
      <c r="C33" s="651">
        <v>2637150.7400000002</v>
      </c>
      <c r="D33" s="652">
        <v>259918.099242</v>
      </c>
      <c r="E33" s="653">
        <f t="shared" si="0"/>
        <v>2897068.8392420001</v>
      </c>
      <c r="F33" s="654">
        <v>4183606.13</v>
      </c>
      <c r="G33" s="652">
        <v>1824398.587908</v>
      </c>
      <c r="H33" s="655">
        <f t="shared" si="1"/>
        <v>6008004.7179079996</v>
      </c>
    </row>
    <row r="34" spans="1:8">
      <c r="A34" s="672">
        <v>13.1</v>
      </c>
      <c r="B34" s="677" t="s">
        <v>716</v>
      </c>
      <c r="C34" s="656">
        <v>1349093.18</v>
      </c>
      <c r="D34" s="657"/>
      <c r="E34" s="653">
        <f t="shared" si="0"/>
        <v>1349093.18</v>
      </c>
      <c r="F34" s="658">
        <v>1349093.18</v>
      </c>
      <c r="G34" s="657"/>
      <c r="H34" s="655">
        <f t="shared" si="1"/>
        <v>1349093.18</v>
      </c>
    </row>
    <row r="35" spans="1:8">
      <c r="A35" s="672">
        <v>13.2</v>
      </c>
      <c r="B35" s="677" t="s">
        <v>717</v>
      </c>
      <c r="C35" s="656"/>
      <c r="D35" s="657"/>
      <c r="E35" s="653">
        <f t="shared" si="0"/>
        <v>0</v>
      </c>
      <c r="F35" s="658"/>
      <c r="G35" s="657"/>
      <c r="H35" s="655">
        <f t="shared" si="1"/>
        <v>0</v>
      </c>
    </row>
    <row r="36" spans="1:8">
      <c r="A36" s="672">
        <v>14</v>
      </c>
      <c r="B36" s="550" t="s">
        <v>718</v>
      </c>
      <c r="C36" s="651">
        <f>SUM(C7,C11,C13,C14,C15,C19,C22,C23,C24,C27,C30,C33)</f>
        <v>229718187.74917626</v>
      </c>
      <c r="D36" s="652">
        <f>SUM(D7,D11,D13,D14,D15,D19,D22,D23,D24,D27,D30,D33)</f>
        <v>396308057.85471302</v>
      </c>
      <c r="E36" s="653">
        <f t="shared" si="0"/>
        <v>626026245.60388923</v>
      </c>
      <c r="F36" s="654">
        <f>SUM(F7,F11,F13,F14,F15,F19,F22,F23,F24,F27,F30,F33)</f>
        <v>217507373.26255143</v>
      </c>
      <c r="G36" s="652">
        <f>SUM(G7,G11,G13,G14,G15,G19,G22,G23,G24,G27,G30,G33)</f>
        <v>272439501.30949503</v>
      </c>
      <c r="H36" s="655">
        <f t="shared" si="1"/>
        <v>489946874.57204646</v>
      </c>
    </row>
    <row r="37" spans="1:8" ht="22.5" customHeight="1">
      <c r="A37" s="672"/>
      <c r="B37" s="678" t="s">
        <v>93</v>
      </c>
      <c r="C37" s="907"/>
      <c r="D37" s="908"/>
      <c r="E37" s="908"/>
      <c r="F37" s="908"/>
      <c r="G37" s="908"/>
      <c r="H37" s="909"/>
    </row>
    <row r="38" spans="1:8">
      <c r="A38" s="672">
        <v>15</v>
      </c>
      <c r="B38" s="335" t="s">
        <v>719</v>
      </c>
      <c r="C38" s="656"/>
      <c r="D38" s="657"/>
      <c r="E38" s="653">
        <f>C38+D38</f>
        <v>0</v>
      </c>
      <c r="F38" s="658"/>
      <c r="G38" s="657"/>
      <c r="H38" s="655">
        <f>F38+G38</f>
        <v>0</v>
      </c>
    </row>
    <row r="39" spans="1:8">
      <c r="A39" s="672">
        <v>15.1</v>
      </c>
      <c r="B39" s="676" t="s">
        <v>699</v>
      </c>
      <c r="C39" s="656"/>
      <c r="D39" s="657"/>
      <c r="E39" s="653">
        <f t="shared" ref="E39:E53" si="2">C39+D39</f>
        <v>0</v>
      </c>
      <c r="F39" s="658"/>
      <c r="G39" s="657"/>
      <c r="H39" s="655">
        <f t="shared" ref="H39:H53" si="3">F39+G39</f>
        <v>0</v>
      </c>
    </row>
    <row r="40" spans="1:8" ht="24" customHeight="1">
      <c r="A40" s="672">
        <v>16</v>
      </c>
      <c r="B40" s="331" t="s">
        <v>720</v>
      </c>
      <c r="C40" s="656"/>
      <c r="D40" s="657"/>
      <c r="E40" s="653">
        <f t="shared" si="2"/>
        <v>0</v>
      </c>
      <c r="F40" s="658"/>
      <c r="G40" s="657"/>
      <c r="H40" s="655">
        <f t="shared" si="3"/>
        <v>0</v>
      </c>
    </row>
    <row r="41" spans="1:8" ht="21">
      <c r="A41" s="672">
        <v>17</v>
      </c>
      <c r="B41" s="331" t="s">
        <v>721</v>
      </c>
      <c r="C41" s="651">
        <f>SUM(C42:C45)</f>
        <v>64052036.443400055</v>
      </c>
      <c r="D41" s="652">
        <f>SUM(D42:D45)</f>
        <v>384113020.04277349</v>
      </c>
      <c r="E41" s="653">
        <f t="shared" si="2"/>
        <v>448165056.48617351</v>
      </c>
      <c r="F41" s="654">
        <f>SUM(F42:F45)</f>
        <v>60925448.509162992</v>
      </c>
      <c r="G41" s="652">
        <f>SUM(G42:G45)</f>
        <v>272974671.01899296</v>
      </c>
      <c r="H41" s="655">
        <f t="shared" si="3"/>
        <v>333900119.52815592</v>
      </c>
    </row>
    <row r="42" spans="1:8">
      <c r="A42" s="672">
        <v>17.100000000000001</v>
      </c>
      <c r="B42" s="336" t="s">
        <v>722</v>
      </c>
      <c r="C42" s="656">
        <v>64052036.443400055</v>
      </c>
      <c r="D42" s="657">
        <v>322991206.73870027</v>
      </c>
      <c r="E42" s="653">
        <f t="shared" si="2"/>
        <v>387043243.1821003</v>
      </c>
      <c r="F42" s="658">
        <v>32889058.098204091</v>
      </c>
      <c r="G42" s="657">
        <v>197837216.36267692</v>
      </c>
      <c r="H42" s="655">
        <f t="shared" si="3"/>
        <v>230726274.46088099</v>
      </c>
    </row>
    <row r="43" spans="1:8">
      <c r="A43" s="672">
        <v>17.2</v>
      </c>
      <c r="B43" s="674" t="s">
        <v>89</v>
      </c>
      <c r="C43" s="656">
        <v>0</v>
      </c>
      <c r="D43" s="657">
        <v>57424970.318376265</v>
      </c>
      <c r="E43" s="653">
        <f t="shared" si="2"/>
        <v>57424970.318376265</v>
      </c>
      <c r="F43" s="658">
        <v>28036390.410958905</v>
      </c>
      <c r="G43" s="657">
        <v>70797737.199960083</v>
      </c>
      <c r="H43" s="655">
        <f t="shared" si="3"/>
        <v>98834127.610918984</v>
      </c>
    </row>
    <row r="44" spans="1:8">
      <c r="A44" s="672">
        <v>17.3</v>
      </c>
      <c r="B44" s="336" t="s">
        <v>723</v>
      </c>
      <c r="C44" s="656"/>
      <c r="D44" s="657"/>
      <c r="E44" s="653">
        <f t="shared" si="2"/>
        <v>0</v>
      </c>
      <c r="F44" s="658"/>
      <c r="G44" s="657"/>
      <c r="H44" s="655">
        <f t="shared" si="3"/>
        <v>0</v>
      </c>
    </row>
    <row r="45" spans="1:8">
      <c r="A45" s="672">
        <v>17.399999999999999</v>
      </c>
      <c r="B45" s="336" t="s">
        <v>724</v>
      </c>
      <c r="C45" s="656"/>
      <c r="D45" s="657">
        <v>3696842.9856970003</v>
      </c>
      <c r="E45" s="653">
        <f t="shared" si="2"/>
        <v>3696842.9856970003</v>
      </c>
      <c r="F45" s="658"/>
      <c r="G45" s="657">
        <v>4339717.4563560002</v>
      </c>
      <c r="H45" s="655">
        <f t="shared" si="3"/>
        <v>4339717.4563560002</v>
      </c>
    </row>
    <row r="46" spans="1:8">
      <c r="A46" s="672">
        <v>18</v>
      </c>
      <c r="B46" s="337" t="s">
        <v>725</v>
      </c>
      <c r="C46" s="651">
        <v>118050.23544467374</v>
      </c>
      <c r="D46" s="652">
        <v>154186.66358841787</v>
      </c>
      <c r="E46" s="653">
        <f t="shared" si="2"/>
        <v>272236.89903309161</v>
      </c>
      <c r="F46" s="654">
        <v>150865.3495425242</v>
      </c>
      <c r="G46" s="652">
        <v>263307.81776915735</v>
      </c>
      <c r="H46" s="655">
        <f t="shared" si="3"/>
        <v>414173.16731168155</v>
      </c>
    </row>
    <row r="47" spans="1:8">
      <c r="A47" s="672">
        <v>19</v>
      </c>
      <c r="B47" s="337" t="s">
        <v>726</v>
      </c>
      <c r="C47" s="651">
        <f>SUM(C48:C49)</f>
        <v>0</v>
      </c>
      <c r="D47" s="652">
        <f>SUM(D48:D49)</f>
        <v>0</v>
      </c>
      <c r="E47" s="653">
        <f t="shared" si="2"/>
        <v>0</v>
      </c>
      <c r="F47" s="654">
        <f>SUM(F48:F49)</f>
        <v>2794477.0510511133</v>
      </c>
      <c r="G47" s="652">
        <f>SUM(G48:G49)</f>
        <v>0</v>
      </c>
      <c r="H47" s="655">
        <f t="shared" si="3"/>
        <v>2794477.0510511133</v>
      </c>
    </row>
    <row r="48" spans="1:8">
      <c r="A48" s="672">
        <v>19.100000000000001</v>
      </c>
      <c r="B48" s="338" t="s">
        <v>727</v>
      </c>
      <c r="C48" s="656">
        <v>0</v>
      </c>
      <c r="D48" s="657"/>
      <c r="E48" s="653">
        <f t="shared" si="2"/>
        <v>0</v>
      </c>
      <c r="F48" s="658">
        <v>2794477.0510511133</v>
      </c>
      <c r="G48" s="657"/>
      <c r="H48" s="655">
        <f t="shared" si="3"/>
        <v>2794477.0510511133</v>
      </c>
    </row>
    <row r="49" spans="1:8">
      <c r="A49" s="672">
        <v>19.2</v>
      </c>
      <c r="B49" s="339" t="s">
        <v>728</v>
      </c>
      <c r="C49" s="656"/>
      <c r="D49" s="657"/>
      <c r="E49" s="653">
        <f t="shared" si="2"/>
        <v>0</v>
      </c>
      <c r="F49" s="658"/>
      <c r="G49" s="657"/>
      <c r="H49" s="655">
        <f t="shared" si="3"/>
        <v>0</v>
      </c>
    </row>
    <row r="50" spans="1:8">
      <c r="A50" s="672">
        <v>20</v>
      </c>
      <c r="B50" s="550" t="s">
        <v>90</v>
      </c>
      <c r="C50" s="656"/>
      <c r="D50" s="657">
        <v>13478773.576264</v>
      </c>
      <c r="E50" s="653">
        <f t="shared" si="2"/>
        <v>13478773.576264</v>
      </c>
      <c r="F50" s="658"/>
      <c r="G50" s="657"/>
      <c r="H50" s="655">
        <f t="shared" si="3"/>
        <v>0</v>
      </c>
    </row>
    <row r="51" spans="1:8">
      <c r="A51" s="672">
        <v>21</v>
      </c>
      <c r="B51" s="675" t="s">
        <v>78</v>
      </c>
      <c r="C51" s="651">
        <v>2367723.6997287003</v>
      </c>
      <c r="D51" s="652">
        <v>1441234.6379449998</v>
      </c>
      <c r="E51" s="653">
        <f t="shared" si="2"/>
        <v>3808958.3376737004</v>
      </c>
      <c r="F51" s="654">
        <v>3770883.823583066</v>
      </c>
      <c r="G51" s="652">
        <v>3041430.8204069999</v>
      </c>
      <c r="H51" s="655">
        <f t="shared" si="3"/>
        <v>6812314.6439900659</v>
      </c>
    </row>
    <row r="52" spans="1:8">
      <c r="A52" s="672">
        <v>21.1</v>
      </c>
      <c r="B52" s="674" t="s">
        <v>729</v>
      </c>
      <c r="C52" s="656"/>
      <c r="D52" s="657"/>
      <c r="E52" s="653">
        <f t="shared" si="2"/>
        <v>0</v>
      </c>
      <c r="F52" s="658"/>
      <c r="G52" s="657"/>
      <c r="H52" s="655">
        <f t="shared" si="3"/>
        <v>0</v>
      </c>
    </row>
    <row r="53" spans="1:8">
      <c r="A53" s="672">
        <v>22</v>
      </c>
      <c r="B53" s="550" t="s">
        <v>730</v>
      </c>
      <c r="C53" s="651">
        <f>SUM(C38,C40,C41,C46,C47,C50,C51)</f>
        <v>66537810.378573425</v>
      </c>
      <c r="D53" s="652">
        <f>SUM(D38,D40,D41,D46,D47,D50,D51)</f>
        <v>399187214.92057091</v>
      </c>
      <c r="E53" s="653">
        <f t="shared" si="2"/>
        <v>465725025.29914433</v>
      </c>
      <c r="F53" s="654">
        <f>SUM(F38,F40,F41,F46,F47,F50,F51)</f>
        <v>67641674.733339682</v>
      </c>
      <c r="G53" s="652">
        <f>SUM(G38,G40,G41,G46,G47,G50,G51)</f>
        <v>276279409.6571691</v>
      </c>
      <c r="H53" s="655">
        <f t="shared" si="3"/>
        <v>343921084.39050877</v>
      </c>
    </row>
    <row r="54" spans="1:8" ht="24" customHeight="1">
      <c r="A54" s="672"/>
      <c r="B54" s="678" t="s">
        <v>731</v>
      </c>
      <c r="C54" s="907"/>
      <c r="D54" s="908"/>
      <c r="E54" s="908"/>
      <c r="F54" s="908"/>
      <c r="G54" s="908"/>
      <c r="H54" s="909"/>
    </row>
    <row r="55" spans="1:8">
      <c r="A55" s="672">
        <v>23</v>
      </c>
      <c r="B55" s="550" t="s">
        <v>960</v>
      </c>
      <c r="C55" s="656">
        <v>69161600</v>
      </c>
      <c r="D55" s="657"/>
      <c r="E55" s="653">
        <f>C55+D55</f>
        <v>69161600</v>
      </c>
      <c r="F55" s="658">
        <v>69161600</v>
      </c>
      <c r="G55" s="657"/>
      <c r="H55" s="655">
        <f>F55+G55</f>
        <v>69161600</v>
      </c>
    </row>
    <row r="56" spans="1:8">
      <c r="A56" s="672">
        <v>24</v>
      </c>
      <c r="B56" s="550" t="s">
        <v>732</v>
      </c>
      <c r="C56" s="656"/>
      <c r="D56" s="657"/>
      <c r="E56" s="653">
        <f t="shared" ref="E56:E69" si="4">C56+D56</f>
        <v>0</v>
      </c>
      <c r="F56" s="658"/>
      <c r="G56" s="657"/>
      <c r="H56" s="655">
        <f t="shared" ref="H56:H69" si="5">F56+G56</f>
        <v>0</v>
      </c>
    </row>
    <row r="57" spans="1:8">
      <c r="A57" s="672">
        <v>25</v>
      </c>
      <c r="B57" s="679" t="s">
        <v>91</v>
      </c>
      <c r="C57" s="656"/>
      <c r="D57" s="657"/>
      <c r="E57" s="653">
        <f t="shared" si="4"/>
        <v>0</v>
      </c>
      <c r="F57" s="658"/>
      <c r="G57" s="657"/>
      <c r="H57" s="655">
        <f t="shared" si="5"/>
        <v>0</v>
      </c>
    </row>
    <row r="58" spans="1:8">
      <c r="A58" s="672">
        <v>26</v>
      </c>
      <c r="B58" s="337" t="s">
        <v>733</v>
      </c>
      <c r="C58" s="656"/>
      <c r="D58" s="657"/>
      <c r="E58" s="653">
        <f t="shared" si="4"/>
        <v>0</v>
      </c>
      <c r="F58" s="658"/>
      <c r="G58" s="657"/>
      <c r="H58" s="655">
        <f t="shared" si="5"/>
        <v>0</v>
      </c>
    </row>
    <row r="59" spans="1:8" ht="21">
      <c r="A59" s="672">
        <v>27</v>
      </c>
      <c r="B59" s="337" t="s">
        <v>734</v>
      </c>
      <c r="C59" s="656">
        <f>SUM(C60:C61)</f>
        <v>0</v>
      </c>
      <c r="D59" s="657">
        <f>SUM(D60:D61)</f>
        <v>0</v>
      </c>
      <c r="E59" s="653">
        <f t="shared" si="4"/>
        <v>0</v>
      </c>
      <c r="F59" s="658"/>
      <c r="G59" s="657"/>
      <c r="H59" s="655">
        <f t="shared" si="5"/>
        <v>0</v>
      </c>
    </row>
    <row r="60" spans="1:8">
      <c r="A60" s="672">
        <v>27.1</v>
      </c>
      <c r="B60" s="340" t="s">
        <v>735</v>
      </c>
      <c r="C60" s="656"/>
      <c r="D60" s="657"/>
      <c r="E60" s="653">
        <f t="shared" si="4"/>
        <v>0</v>
      </c>
      <c r="F60" s="658"/>
      <c r="G60" s="657"/>
      <c r="H60" s="655">
        <f t="shared" si="5"/>
        <v>0</v>
      </c>
    </row>
    <row r="61" spans="1:8">
      <c r="A61" s="672">
        <v>27.2</v>
      </c>
      <c r="B61" s="336" t="s">
        <v>736</v>
      </c>
      <c r="C61" s="656"/>
      <c r="D61" s="657"/>
      <c r="E61" s="653">
        <f t="shared" si="4"/>
        <v>0</v>
      </c>
      <c r="F61" s="658"/>
      <c r="G61" s="657"/>
      <c r="H61" s="655">
        <f t="shared" si="5"/>
        <v>0</v>
      </c>
    </row>
    <row r="62" spans="1:8">
      <c r="A62" s="672">
        <v>28</v>
      </c>
      <c r="B62" s="675" t="s">
        <v>737</v>
      </c>
      <c r="C62" s="656"/>
      <c r="D62" s="657"/>
      <c r="E62" s="653">
        <f t="shared" si="4"/>
        <v>0</v>
      </c>
      <c r="F62" s="658"/>
      <c r="G62" s="657"/>
      <c r="H62" s="655">
        <f t="shared" si="5"/>
        <v>0</v>
      </c>
    </row>
    <row r="63" spans="1:8">
      <c r="A63" s="672">
        <v>29</v>
      </c>
      <c r="B63" s="337" t="s">
        <v>738</v>
      </c>
      <c r="C63" s="656">
        <f>SUM(C64:C66)</f>
        <v>0</v>
      </c>
      <c r="D63" s="657">
        <f>SUM(D64:D66)</f>
        <v>0</v>
      </c>
      <c r="E63" s="653">
        <f t="shared" si="4"/>
        <v>0</v>
      </c>
      <c r="F63" s="658"/>
      <c r="G63" s="657"/>
      <c r="H63" s="655">
        <f t="shared" si="5"/>
        <v>0</v>
      </c>
    </row>
    <row r="64" spans="1:8">
      <c r="A64" s="672">
        <v>29.1</v>
      </c>
      <c r="B64" s="330" t="s">
        <v>739</v>
      </c>
      <c r="C64" s="656"/>
      <c r="D64" s="657"/>
      <c r="E64" s="653">
        <f t="shared" si="4"/>
        <v>0</v>
      </c>
      <c r="F64" s="658"/>
      <c r="G64" s="657"/>
      <c r="H64" s="655">
        <f t="shared" si="5"/>
        <v>0</v>
      </c>
    </row>
    <row r="65" spans="1:8" ht="24.95" customHeight="1">
      <c r="A65" s="672">
        <v>29.2</v>
      </c>
      <c r="B65" s="340" t="s">
        <v>740</v>
      </c>
      <c r="C65" s="656"/>
      <c r="D65" s="657"/>
      <c r="E65" s="653">
        <f t="shared" si="4"/>
        <v>0</v>
      </c>
      <c r="F65" s="658"/>
      <c r="G65" s="657"/>
      <c r="H65" s="655">
        <f t="shared" si="5"/>
        <v>0</v>
      </c>
    </row>
    <row r="66" spans="1:8" ht="22.5" customHeight="1">
      <c r="A66" s="672">
        <v>29.3</v>
      </c>
      <c r="B66" s="333" t="s">
        <v>741</v>
      </c>
      <c r="C66" s="656"/>
      <c r="D66" s="657"/>
      <c r="E66" s="653">
        <f t="shared" si="4"/>
        <v>0</v>
      </c>
      <c r="F66" s="658"/>
      <c r="G66" s="657"/>
      <c r="H66" s="655">
        <f t="shared" si="5"/>
        <v>0</v>
      </c>
    </row>
    <row r="67" spans="1:8">
      <c r="A67" s="672">
        <v>30</v>
      </c>
      <c r="B67" s="329" t="s">
        <v>92</v>
      </c>
      <c r="C67" s="656">
        <v>91139620.304744974</v>
      </c>
      <c r="D67" s="657"/>
      <c r="E67" s="653">
        <f t="shared" si="4"/>
        <v>91139620.304744974</v>
      </c>
      <c r="F67" s="658">
        <v>76864190.181537807</v>
      </c>
      <c r="G67" s="657"/>
      <c r="H67" s="655">
        <f t="shared" si="5"/>
        <v>76864190.181537807</v>
      </c>
    </row>
    <row r="68" spans="1:8">
      <c r="A68" s="672">
        <v>31</v>
      </c>
      <c r="B68" s="680" t="s">
        <v>1026</v>
      </c>
      <c r="C68" s="651">
        <f>SUM(C55,C56,C57,C58,C59,C62,C63,C67)</f>
        <v>160301220.30474496</v>
      </c>
      <c r="D68" s="652">
        <f>SUM(D55,D56,D57,D58,D59,D62,D63,D67)</f>
        <v>0</v>
      </c>
      <c r="E68" s="653">
        <f t="shared" si="4"/>
        <v>160301220.30474496</v>
      </c>
      <c r="F68" s="654">
        <f>SUM(F55,F56,F57,F58,F59,F62,F63,F67)</f>
        <v>146025790.18153781</v>
      </c>
      <c r="G68" s="652">
        <f>SUM(G55,G56,G57,G58,G59,G62,G63,G67)</f>
        <v>0</v>
      </c>
      <c r="H68" s="655">
        <f t="shared" si="5"/>
        <v>146025790.18153781</v>
      </c>
    </row>
    <row r="69" spans="1:8" ht="15.75" thickBot="1">
      <c r="A69" s="681">
        <v>32</v>
      </c>
      <c r="B69" s="682" t="s">
        <v>743</v>
      </c>
      <c r="C69" s="664">
        <f>SUM(C53,C68)</f>
        <v>226839030.68331838</v>
      </c>
      <c r="D69" s="665">
        <f>SUM(D53,D68)</f>
        <v>399187214.92057091</v>
      </c>
      <c r="E69" s="666">
        <f t="shared" si="4"/>
        <v>626026245.60388923</v>
      </c>
      <c r="F69" s="667">
        <f>SUM(F53,F68)</f>
        <v>213667464.91487747</v>
      </c>
      <c r="G69" s="665">
        <f>SUM(G53,G68)</f>
        <v>276279409.6571691</v>
      </c>
      <c r="H69" s="668">
        <f t="shared" si="5"/>
        <v>489946874.57204658</v>
      </c>
    </row>
    <row r="72" spans="1:8" ht="21">
      <c r="B72" s="901" t="s">
        <v>1025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93.42578125" style="379" customWidth="1"/>
    <col min="3" max="3" width="15.5703125" style="379" bestFit="1" customWidth="1"/>
    <col min="4" max="5" width="16.140625" style="379" customWidth="1"/>
    <col min="6" max="6" width="16.140625" style="440" customWidth="1"/>
    <col min="7" max="7" width="25.140625" style="440" customWidth="1"/>
    <col min="8" max="8" width="16.140625" style="379" customWidth="1"/>
    <col min="9" max="11" width="16.140625" style="440" customWidth="1"/>
    <col min="12" max="12" width="26.140625" style="440" customWidth="1"/>
    <col min="13" max="16384" width="9.140625" style="379"/>
  </cols>
  <sheetData>
    <row r="1" spans="1:12" ht="13.5">
      <c r="A1" s="302" t="s">
        <v>97</v>
      </c>
      <c r="B1" s="605" t="str">
        <f>Info!C2</f>
        <v>სს იშბანკი საქართველო</v>
      </c>
      <c r="F1" s="379"/>
      <c r="G1" s="379"/>
      <c r="I1" s="379"/>
      <c r="J1" s="379"/>
      <c r="K1" s="379"/>
      <c r="L1" s="379"/>
    </row>
    <row r="2" spans="1:12" ht="13.5">
      <c r="A2" s="304" t="s">
        <v>98</v>
      </c>
      <c r="B2" s="606">
        <f>'1. key ratios'!B2</f>
        <v>46022</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970" t="s">
        <v>564</v>
      </c>
      <c r="B5" s="971"/>
      <c r="C5" s="1021" t="s">
        <v>565</v>
      </c>
      <c r="D5" s="1022"/>
      <c r="E5" s="1022"/>
      <c r="F5" s="1022"/>
      <c r="G5" s="1022"/>
      <c r="H5" s="1023" t="s">
        <v>875</v>
      </c>
      <c r="I5" s="1024"/>
      <c r="J5" s="1024"/>
      <c r="K5" s="1024"/>
      <c r="L5" s="1025"/>
    </row>
    <row r="6" spans="1:12" ht="39.6" customHeight="1">
      <c r="A6" s="974"/>
      <c r="B6" s="975"/>
      <c r="C6" s="311"/>
      <c r="D6" s="377" t="s">
        <v>860</v>
      </c>
      <c r="E6" s="377" t="s">
        <v>859</v>
      </c>
      <c r="F6" s="377" t="s">
        <v>858</v>
      </c>
      <c r="G6" s="377" t="s">
        <v>857</v>
      </c>
      <c r="H6" s="443"/>
      <c r="I6" s="377" t="s">
        <v>860</v>
      </c>
      <c r="J6" s="377" t="s">
        <v>859</v>
      </c>
      <c r="K6" s="377" t="s">
        <v>858</v>
      </c>
      <c r="L6" s="377" t="s">
        <v>857</v>
      </c>
    </row>
    <row r="7" spans="1:12">
      <c r="A7" s="368">
        <v>1</v>
      </c>
      <c r="B7" s="383" t="s">
        <v>487</v>
      </c>
      <c r="C7" s="892">
        <v>323457.75803600001</v>
      </c>
      <c r="D7" s="892">
        <v>313017.38803599996</v>
      </c>
      <c r="E7" s="892">
        <v>0</v>
      </c>
      <c r="F7" s="892">
        <v>10440.369999999999</v>
      </c>
      <c r="G7" s="892">
        <v>0</v>
      </c>
      <c r="H7" s="892">
        <v>12821.303865879441</v>
      </c>
      <c r="I7" s="892">
        <v>2380.9338658794422</v>
      </c>
      <c r="J7" s="892">
        <v>0</v>
      </c>
      <c r="K7" s="892">
        <v>10440.369999999999</v>
      </c>
      <c r="L7" s="892">
        <v>0</v>
      </c>
    </row>
    <row r="8" spans="1:12">
      <c r="A8" s="368">
        <v>2</v>
      </c>
      <c r="B8" s="383" t="s">
        <v>488</v>
      </c>
      <c r="C8" s="892">
        <v>31662901.938937001</v>
      </c>
      <c r="D8" s="862">
        <v>31662901.938937001</v>
      </c>
      <c r="E8" s="862">
        <v>0</v>
      </c>
      <c r="F8" s="893">
        <v>0</v>
      </c>
      <c r="G8" s="893">
        <v>0</v>
      </c>
      <c r="H8" s="862">
        <v>174821.77045965788</v>
      </c>
      <c r="I8" s="893">
        <v>174821.77045965788</v>
      </c>
      <c r="J8" s="893">
        <v>0</v>
      </c>
      <c r="K8" s="893">
        <v>0</v>
      </c>
      <c r="L8" s="892">
        <v>0</v>
      </c>
    </row>
    <row r="9" spans="1:12">
      <c r="A9" s="368">
        <v>3</v>
      </c>
      <c r="B9" s="383" t="s">
        <v>836</v>
      </c>
      <c r="C9" s="892">
        <v>0</v>
      </c>
      <c r="D9" s="862">
        <v>0</v>
      </c>
      <c r="E9" s="862">
        <v>0</v>
      </c>
      <c r="F9" s="894">
        <v>0</v>
      </c>
      <c r="G9" s="894">
        <v>0</v>
      </c>
      <c r="H9" s="862">
        <v>0</v>
      </c>
      <c r="I9" s="894">
        <v>0</v>
      </c>
      <c r="J9" s="894">
        <v>0</v>
      </c>
      <c r="K9" s="894">
        <v>0</v>
      </c>
      <c r="L9" s="892">
        <v>0</v>
      </c>
    </row>
    <row r="10" spans="1:12">
      <c r="A10" s="368">
        <v>4</v>
      </c>
      <c r="B10" s="383" t="s">
        <v>489</v>
      </c>
      <c r="C10" s="892">
        <v>16041194.843128001</v>
      </c>
      <c r="D10" s="862">
        <v>15774784.893128002</v>
      </c>
      <c r="E10" s="862">
        <v>266409.95</v>
      </c>
      <c r="F10" s="894">
        <v>0</v>
      </c>
      <c r="G10" s="894">
        <v>0</v>
      </c>
      <c r="H10" s="862">
        <v>60437.543439390764</v>
      </c>
      <c r="I10" s="894">
        <v>60437.543438631728</v>
      </c>
      <c r="J10" s="894">
        <v>7.5903718090302949E-7</v>
      </c>
      <c r="K10" s="894">
        <v>0</v>
      </c>
      <c r="L10" s="892">
        <v>0</v>
      </c>
    </row>
    <row r="11" spans="1:12">
      <c r="A11" s="368">
        <v>5</v>
      </c>
      <c r="B11" s="383" t="s">
        <v>490</v>
      </c>
      <c r="C11" s="892">
        <v>0</v>
      </c>
      <c r="D11" s="862">
        <v>0</v>
      </c>
      <c r="E11" s="862">
        <v>0</v>
      </c>
      <c r="F11" s="894">
        <v>0</v>
      </c>
      <c r="G11" s="894">
        <v>0</v>
      </c>
      <c r="H11" s="862">
        <v>0</v>
      </c>
      <c r="I11" s="894">
        <v>0</v>
      </c>
      <c r="J11" s="894">
        <v>0</v>
      </c>
      <c r="K11" s="894">
        <v>0</v>
      </c>
      <c r="L11" s="892">
        <v>0</v>
      </c>
    </row>
    <row r="12" spans="1:12">
      <c r="A12" s="368">
        <v>6</v>
      </c>
      <c r="B12" s="383" t="s">
        <v>491</v>
      </c>
      <c r="C12" s="892">
        <v>829944.54444000009</v>
      </c>
      <c r="D12" s="862">
        <v>394532.68485500006</v>
      </c>
      <c r="E12" s="862">
        <v>0</v>
      </c>
      <c r="F12" s="894">
        <v>435411.85958500009</v>
      </c>
      <c r="G12" s="894">
        <v>0</v>
      </c>
      <c r="H12" s="862">
        <v>11443.966904915726</v>
      </c>
      <c r="I12" s="894">
        <v>1806.3369048825973</v>
      </c>
      <c r="J12" s="894">
        <v>0</v>
      </c>
      <c r="K12" s="894">
        <v>9637.6300000331285</v>
      </c>
      <c r="L12" s="892">
        <v>0</v>
      </c>
    </row>
    <row r="13" spans="1:12">
      <c r="A13" s="368">
        <v>7</v>
      </c>
      <c r="B13" s="383" t="s">
        <v>492</v>
      </c>
      <c r="C13" s="892">
        <v>76268414.559453011</v>
      </c>
      <c r="D13" s="862">
        <v>76268414.559453011</v>
      </c>
      <c r="E13" s="862">
        <v>0</v>
      </c>
      <c r="F13" s="894">
        <v>0</v>
      </c>
      <c r="G13" s="894">
        <v>0</v>
      </c>
      <c r="H13" s="862">
        <v>211838.43613858195</v>
      </c>
      <c r="I13" s="894">
        <v>211838.43613858195</v>
      </c>
      <c r="J13" s="894">
        <v>0</v>
      </c>
      <c r="K13" s="894">
        <v>0</v>
      </c>
      <c r="L13" s="892">
        <v>0</v>
      </c>
    </row>
    <row r="14" spans="1:12">
      <c r="A14" s="368">
        <v>8</v>
      </c>
      <c r="B14" s="383" t="s">
        <v>493</v>
      </c>
      <c r="C14" s="892">
        <v>1011045.911615</v>
      </c>
      <c r="D14" s="862">
        <v>1011045.911615</v>
      </c>
      <c r="E14" s="862">
        <v>0</v>
      </c>
      <c r="F14" s="894">
        <v>0</v>
      </c>
      <c r="G14" s="894">
        <v>0</v>
      </c>
      <c r="H14" s="862">
        <v>7559.2765513042132</v>
      </c>
      <c r="I14" s="894">
        <v>7559.2765513042132</v>
      </c>
      <c r="J14" s="894">
        <v>0</v>
      </c>
      <c r="K14" s="894">
        <v>0</v>
      </c>
      <c r="L14" s="892">
        <v>0</v>
      </c>
    </row>
    <row r="15" spans="1:12">
      <c r="A15" s="368">
        <v>9</v>
      </c>
      <c r="B15" s="383" t="s">
        <v>494</v>
      </c>
      <c r="C15" s="892">
        <v>0</v>
      </c>
      <c r="D15" s="862">
        <v>0</v>
      </c>
      <c r="E15" s="862">
        <v>0</v>
      </c>
      <c r="F15" s="894">
        <v>0</v>
      </c>
      <c r="G15" s="894">
        <v>0</v>
      </c>
      <c r="H15" s="862">
        <v>0</v>
      </c>
      <c r="I15" s="894">
        <v>0</v>
      </c>
      <c r="J15" s="894">
        <v>0</v>
      </c>
      <c r="K15" s="894">
        <v>0</v>
      </c>
      <c r="L15" s="892">
        <v>0</v>
      </c>
    </row>
    <row r="16" spans="1:12">
      <c r="A16" s="368">
        <v>10</v>
      </c>
      <c r="B16" s="383" t="s">
        <v>495</v>
      </c>
      <c r="C16" s="892">
        <v>14258313.920709999</v>
      </c>
      <c r="D16" s="862">
        <v>13769777.912881998</v>
      </c>
      <c r="E16" s="862">
        <v>0</v>
      </c>
      <c r="F16" s="894">
        <v>488536.00782800006</v>
      </c>
      <c r="G16" s="894">
        <v>0</v>
      </c>
      <c r="H16" s="862">
        <v>574974.44574727491</v>
      </c>
      <c r="I16" s="894">
        <v>86438.437919274904</v>
      </c>
      <c r="J16" s="894">
        <v>0</v>
      </c>
      <c r="K16" s="894">
        <v>488536.007828</v>
      </c>
      <c r="L16" s="892">
        <v>0</v>
      </c>
    </row>
    <row r="17" spans="1:12">
      <c r="A17" s="368">
        <v>11</v>
      </c>
      <c r="B17" s="383" t="s">
        <v>496</v>
      </c>
      <c r="C17" s="892">
        <v>28789831.588279001</v>
      </c>
      <c r="D17" s="862">
        <v>28774599.438278999</v>
      </c>
      <c r="E17" s="862">
        <v>0</v>
      </c>
      <c r="F17" s="894">
        <v>15232.15</v>
      </c>
      <c r="G17" s="894">
        <v>0</v>
      </c>
      <c r="H17" s="862">
        <v>125583.45001236079</v>
      </c>
      <c r="I17" s="894">
        <v>110351.30001236078</v>
      </c>
      <c r="J17" s="894">
        <v>0</v>
      </c>
      <c r="K17" s="894">
        <v>15232.149999999998</v>
      </c>
      <c r="L17" s="892">
        <v>0</v>
      </c>
    </row>
    <row r="18" spans="1:12">
      <c r="A18" s="368">
        <v>12</v>
      </c>
      <c r="B18" s="383" t="s">
        <v>497</v>
      </c>
      <c r="C18" s="892">
        <v>11111874.619806997</v>
      </c>
      <c r="D18" s="862">
        <v>11094065.318153998</v>
      </c>
      <c r="E18" s="862">
        <v>0</v>
      </c>
      <c r="F18" s="894">
        <v>17809.301652999999</v>
      </c>
      <c r="G18" s="894">
        <v>0</v>
      </c>
      <c r="H18" s="862">
        <v>43896.533917437191</v>
      </c>
      <c r="I18" s="894">
        <v>26087.232264437196</v>
      </c>
      <c r="J18" s="894">
        <v>0</v>
      </c>
      <c r="K18" s="894">
        <v>17809.301652999999</v>
      </c>
      <c r="L18" s="892">
        <v>0</v>
      </c>
    </row>
    <row r="19" spans="1:12">
      <c r="A19" s="368">
        <v>13</v>
      </c>
      <c r="B19" s="383" t="s">
        <v>498</v>
      </c>
      <c r="C19" s="892">
        <v>532606.9</v>
      </c>
      <c r="D19" s="862">
        <v>492789.15</v>
      </c>
      <c r="E19" s="862">
        <v>0</v>
      </c>
      <c r="F19" s="894">
        <v>39817.75</v>
      </c>
      <c r="G19" s="894">
        <v>0</v>
      </c>
      <c r="H19" s="862">
        <v>36061.797770322148</v>
      </c>
      <c r="I19" s="894">
        <v>1359.9695463221487</v>
      </c>
      <c r="J19" s="894">
        <v>0</v>
      </c>
      <c r="K19" s="894">
        <v>34701.828223999997</v>
      </c>
      <c r="L19" s="892">
        <v>0</v>
      </c>
    </row>
    <row r="20" spans="1:12">
      <c r="A20" s="368">
        <v>14</v>
      </c>
      <c r="B20" s="383" t="s">
        <v>499</v>
      </c>
      <c r="C20" s="892">
        <v>1046797.9190580001</v>
      </c>
      <c r="D20" s="862">
        <v>937804.62195399997</v>
      </c>
      <c r="E20" s="862">
        <v>0</v>
      </c>
      <c r="F20" s="894">
        <v>108993.297104</v>
      </c>
      <c r="G20" s="894">
        <v>0</v>
      </c>
      <c r="H20" s="862">
        <v>109015.36764892144</v>
      </c>
      <c r="I20" s="894">
        <v>22.070544921457238</v>
      </c>
      <c r="J20" s="894">
        <v>0</v>
      </c>
      <c r="K20" s="894">
        <v>108993.297104</v>
      </c>
      <c r="L20" s="892">
        <v>0</v>
      </c>
    </row>
    <row r="21" spans="1:12">
      <c r="A21" s="368">
        <v>15</v>
      </c>
      <c r="B21" s="383" t="s">
        <v>500</v>
      </c>
      <c r="C21" s="892">
        <v>10012054.800000001</v>
      </c>
      <c r="D21" s="862">
        <v>10012054.800000001</v>
      </c>
      <c r="E21" s="862">
        <v>0</v>
      </c>
      <c r="F21" s="894">
        <v>0</v>
      </c>
      <c r="G21" s="894">
        <v>0</v>
      </c>
      <c r="H21" s="862">
        <v>49636.287700248715</v>
      </c>
      <c r="I21" s="894">
        <v>49636.287700248715</v>
      </c>
      <c r="J21" s="894">
        <v>0</v>
      </c>
      <c r="K21" s="894">
        <v>0</v>
      </c>
      <c r="L21" s="892">
        <v>0</v>
      </c>
    </row>
    <row r="22" spans="1:12">
      <c r="A22" s="368">
        <v>16</v>
      </c>
      <c r="B22" s="383" t="s">
        <v>501</v>
      </c>
      <c r="C22" s="892">
        <v>0</v>
      </c>
      <c r="D22" s="862">
        <v>0</v>
      </c>
      <c r="E22" s="862">
        <v>0</v>
      </c>
      <c r="F22" s="894">
        <v>0</v>
      </c>
      <c r="G22" s="894">
        <v>0</v>
      </c>
      <c r="H22" s="862">
        <v>0</v>
      </c>
      <c r="I22" s="894">
        <v>0</v>
      </c>
      <c r="J22" s="894">
        <v>0</v>
      </c>
      <c r="K22" s="894">
        <v>0</v>
      </c>
      <c r="L22" s="892">
        <v>0</v>
      </c>
    </row>
    <row r="23" spans="1:12">
      <c r="A23" s="368">
        <v>17</v>
      </c>
      <c r="B23" s="383" t="s">
        <v>502</v>
      </c>
      <c r="C23" s="892">
        <v>0</v>
      </c>
      <c r="D23" s="862">
        <v>0</v>
      </c>
      <c r="E23" s="862">
        <v>0</v>
      </c>
      <c r="F23" s="894">
        <v>0</v>
      </c>
      <c r="G23" s="894">
        <v>0</v>
      </c>
      <c r="H23" s="862">
        <v>0</v>
      </c>
      <c r="I23" s="894">
        <v>0</v>
      </c>
      <c r="J23" s="894">
        <v>0</v>
      </c>
      <c r="K23" s="894">
        <v>0</v>
      </c>
      <c r="L23" s="892">
        <v>0</v>
      </c>
    </row>
    <row r="24" spans="1:12">
      <c r="A24" s="368">
        <v>18</v>
      </c>
      <c r="B24" s="383" t="s">
        <v>503</v>
      </c>
      <c r="C24" s="892">
        <v>62510471.23983901</v>
      </c>
      <c r="D24" s="862">
        <v>62510471.23983901</v>
      </c>
      <c r="E24" s="862">
        <v>0</v>
      </c>
      <c r="F24" s="894">
        <v>0</v>
      </c>
      <c r="G24" s="894">
        <v>0</v>
      </c>
      <c r="H24" s="862">
        <v>428175.84386165562</v>
      </c>
      <c r="I24" s="894">
        <v>428175.84386165562</v>
      </c>
      <c r="J24" s="894">
        <v>0</v>
      </c>
      <c r="K24" s="894">
        <v>0</v>
      </c>
      <c r="L24" s="892">
        <v>0</v>
      </c>
    </row>
    <row r="25" spans="1:12">
      <c r="A25" s="368">
        <v>19</v>
      </c>
      <c r="B25" s="383" t="s">
        <v>504</v>
      </c>
      <c r="C25" s="892">
        <v>16802318.814661004</v>
      </c>
      <c r="D25" s="862">
        <v>16802318.814661004</v>
      </c>
      <c r="E25" s="862">
        <v>0</v>
      </c>
      <c r="F25" s="894">
        <v>0</v>
      </c>
      <c r="G25" s="894">
        <v>0</v>
      </c>
      <c r="H25" s="862">
        <v>116507.85259048299</v>
      </c>
      <c r="I25" s="894">
        <v>116507.85259048299</v>
      </c>
      <c r="J25" s="894">
        <v>0</v>
      </c>
      <c r="K25" s="894">
        <v>0</v>
      </c>
      <c r="L25" s="892">
        <v>0</v>
      </c>
    </row>
    <row r="26" spans="1:12">
      <c r="A26" s="368">
        <v>20</v>
      </c>
      <c r="B26" s="383" t="s">
        <v>505</v>
      </c>
      <c r="C26" s="892">
        <v>140835.23000000001</v>
      </c>
      <c r="D26" s="862">
        <v>98027.34</v>
      </c>
      <c r="E26" s="862">
        <v>0</v>
      </c>
      <c r="F26" s="894">
        <v>42807.89</v>
      </c>
      <c r="G26" s="894">
        <v>0</v>
      </c>
      <c r="H26" s="862">
        <v>43074.106347944442</v>
      </c>
      <c r="I26" s="894">
        <v>266.21634794444094</v>
      </c>
      <c r="J26" s="894">
        <v>0</v>
      </c>
      <c r="K26" s="894">
        <v>42807.89</v>
      </c>
      <c r="L26" s="892">
        <v>0</v>
      </c>
    </row>
    <row r="27" spans="1:12">
      <c r="A27" s="368">
        <v>21</v>
      </c>
      <c r="B27" s="383" t="s">
        <v>506</v>
      </c>
      <c r="C27" s="892">
        <v>23093460.591426</v>
      </c>
      <c r="D27" s="862">
        <v>23093460.591426</v>
      </c>
      <c r="E27" s="862">
        <v>0</v>
      </c>
      <c r="F27" s="894">
        <v>0</v>
      </c>
      <c r="G27" s="894">
        <v>0</v>
      </c>
      <c r="H27" s="862">
        <v>160633.49987679938</v>
      </c>
      <c r="I27" s="894">
        <v>160633.49987679938</v>
      </c>
      <c r="J27" s="894">
        <v>0</v>
      </c>
      <c r="K27" s="894">
        <v>0</v>
      </c>
      <c r="L27" s="892">
        <v>0</v>
      </c>
    </row>
    <row r="28" spans="1:12">
      <c r="A28" s="368">
        <v>22</v>
      </c>
      <c r="B28" s="383" t="s">
        <v>507</v>
      </c>
      <c r="C28" s="892">
        <v>0</v>
      </c>
      <c r="D28" s="862">
        <v>0</v>
      </c>
      <c r="E28" s="862">
        <v>0</v>
      </c>
      <c r="F28" s="894">
        <v>0</v>
      </c>
      <c r="G28" s="894">
        <v>0</v>
      </c>
      <c r="H28" s="862">
        <v>0</v>
      </c>
      <c r="I28" s="894">
        <v>0</v>
      </c>
      <c r="J28" s="894">
        <v>0</v>
      </c>
      <c r="K28" s="894">
        <v>0</v>
      </c>
      <c r="L28" s="892">
        <v>0</v>
      </c>
    </row>
    <row r="29" spans="1:12">
      <c r="A29" s="368">
        <v>23</v>
      </c>
      <c r="B29" s="383" t="s">
        <v>508</v>
      </c>
      <c r="C29" s="892">
        <v>17874939.514901005</v>
      </c>
      <c r="D29" s="862">
        <v>17273454.024901003</v>
      </c>
      <c r="E29" s="862">
        <v>540582.82999999996</v>
      </c>
      <c r="F29" s="894">
        <v>60902.66</v>
      </c>
      <c r="G29" s="894">
        <v>0</v>
      </c>
      <c r="H29" s="862">
        <v>131876.82919671404</v>
      </c>
      <c r="I29" s="894">
        <v>55560.458276808276</v>
      </c>
      <c r="J29" s="894">
        <v>15413.71091990576</v>
      </c>
      <c r="K29" s="894">
        <v>60902.66</v>
      </c>
      <c r="L29" s="892">
        <v>0</v>
      </c>
    </row>
    <row r="30" spans="1:12">
      <c r="A30" s="368">
        <v>24</v>
      </c>
      <c r="B30" s="383" t="s">
        <v>509</v>
      </c>
      <c r="C30" s="892">
        <v>16063469.101225</v>
      </c>
      <c r="D30" s="862">
        <v>16063469.101225</v>
      </c>
      <c r="E30" s="862">
        <v>0</v>
      </c>
      <c r="F30" s="894">
        <v>0</v>
      </c>
      <c r="G30" s="894">
        <v>0</v>
      </c>
      <c r="H30" s="862">
        <v>39370.275794526016</v>
      </c>
      <c r="I30" s="894">
        <v>39370.275794526016</v>
      </c>
      <c r="J30" s="894">
        <v>0</v>
      </c>
      <c r="K30" s="894">
        <v>0</v>
      </c>
      <c r="L30" s="892">
        <v>0</v>
      </c>
    </row>
    <row r="31" spans="1:12">
      <c r="A31" s="368">
        <v>25</v>
      </c>
      <c r="B31" s="383" t="s">
        <v>510</v>
      </c>
      <c r="C31" s="892">
        <v>87821.056800999999</v>
      </c>
      <c r="D31" s="862">
        <v>0</v>
      </c>
      <c r="E31" s="862">
        <v>21530.68</v>
      </c>
      <c r="F31" s="894">
        <v>66290.376800999991</v>
      </c>
      <c r="G31" s="894">
        <v>0</v>
      </c>
      <c r="H31" s="862">
        <v>66290.376801333463</v>
      </c>
      <c r="I31" s="894">
        <v>0</v>
      </c>
      <c r="J31" s="894">
        <v>3.3346241803721832E-7</v>
      </c>
      <c r="K31" s="894">
        <v>66290.376800999991</v>
      </c>
      <c r="L31" s="892">
        <v>0</v>
      </c>
    </row>
    <row r="32" spans="1:12">
      <c r="A32" s="368">
        <v>26</v>
      </c>
      <c r="B32" s="383" t="s">
        <v>566</v>
      </c>
      <c r="C32" s="892">
        <v>0</v>
      </c>
      <c r="D32" s="862">
        <v>0</v>
      </c>
      <c r="E32" s="862">
        <v>0</v>
      </c>
      <c r="F32" s="894">
        <v>0</v>
      </c>
      <c r="G32" s="894">
        <v>0</v>
      </c>
      <c r="H32" s="862">
        <v>0</v>
      </c>
      <c r="I32" s="894">
        <v>0</v>
      </c>
      <c r="J32" s="894">
        <v>0</v>
      </c>
      <c r="K32" s="894">
        <v>0</v>
      </c>
      <c r="L32" s="892">
        <v>0</v>
      </c>
    </row>
    <row r="33" spans="1:12">
      <c r="A33" s="368">
        <v>27</v>
      </c>
      <c r="B33" s="442" t="s">
        <v>66</v>
      </c>
      <c r="C33" s="895">
        <f>SUM(C7:C32)</f>
        <v>328461754.85231614</v>
      </c>
      <c r="D33" s="895">
        <f t="shared" ref="D33:L33" si="0">SUM(D7:D32)</f>
        <v>326346989.72934508</v>
      </c>
      <c r="E33" s="895">
        <f t="shared" si="0"/>
        <v>828523.46000000008</v>
      </c>
      <c r="F33" s="895">
        <f t="shared" si="0"/>
        <v>1286241.6629709997</v>
      </c>
      <c r="G33" s="895">
        <f t="shared" si="0"/>
        <v>0</v>
      </c>
      <c r="H33" s="895">
        <f t="shared" si="0"/>
        <v>2404018.9646257502</v>
      </c>
      <c r="I33" s="895">
        <f t="shared" si="0"/>
        <v>1533253.7420947198</v>
      </c>
      <c r="J33" s="895">
        <f t="shared" si="0"/>
        <v>15413.710920998259</v>
      </c>
      <c r="K33" s="895">
        <f t="shared" si="0"/>
        <v>855351.51161003311</v>
      </c>
      <c r="L33" s="895">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5546875" defaultRowHeight="12"/>
  <cols>
    <col min="1" max="1" width="11.85546875" style="312" bestFit="1" customWidth="1"/>
    <col min="2" max="2" width="144.28515625" style="312" customWidth="1"/>
    <col min="3" max="11" width="28.140625" style="312" customWidth="1"/>
    <col min="12" max="16384" width="8.85546875" style="312"/>
  </cols>
  <sheetData>
    <row r="1" spans="1:11" s="303" customFormat="1" ht="13.5">
      <c r="A1" s="302" t="s">
        <v>97</v>
      </c>
      <c r="B1" s="605" t="str">
        <f>Info!C2</f>
        <v>სს იშბანკი საქართველო</v>
      </c>
      <c r="C1" s="379"/>
      <c r="D1" s="379"/>
      <c r="E1" s="379"/>
      <c r="F1" s="379"/>
      <c r="G1" s="379"/>
      <c r="H1" s="379"/>
      <c r="I1" s="379"/>
      <c r="J1" s="379"/>
      <c r="K1" s="379"/>
    </row>
    <row r="2" spans="1:11" s="303" customFormat="1" ht="13.5">
      <c r="A2" s="304" t="s">
        <v>98</v>
      </c>
      <c r="B2" s="606">
        <f>'1. key ratios'!B2</f>
        <v>46022</v>
      </c>
      <c r="C2" s="379"/>
      <c r="D2" s="379"/>
      <c r="E2" s="379"/>
      <c r="F2" s="379"/>
      <c r="G2" s="379"/>
      <c r="H2" s="379"/>
      <c r="I2" s="379"/>
      <c r="J2" s="379"/>
      <c r="K2" s="379"/>
    </row>
    <row r="3" spans="1:11" s="303" customFormat="1" ht="12.75">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1026" t="s">
        <v>874</v>
      </c>
      <c r="B5" s="1027"/>
      <c r="C5" s="446" t="s">
        <v>568</v>
      </c>
      <c r="D5" s="446" t="s">
        <v>561</v>
      </c>
      <c r="E5" s="446" t="s">
        <v>562</v>
      </c>
      <c r="F5" s="446" t="s">
        <v>873</v>
      </c>
      <c r="G5" s="446" t="s">
        <v>569</v>
      </c>
      <c r="H5" s="446" t="s">
        <v>570</v>
      </c>
      <c r="I5" s="446" t="s">
        <v>571</v>
      </c>
      <c r="J5" s="446" t="s">
        <v>572</v>
      </c>
      <c r="K5" s="446" t="s">
        <v>573</v>
      </c>
    </row>
    <row r="6" spans="1:11" ht="12.75">
      <c r="A6" s="368">
        <v>1</v>
      </c>
      <c r="B6" s="368" t="s">
        <v>574</v>
      </c>
      <c r="C6" s="862">
        <v>20660075.239999998</v>
      </c>
      <c r="D6" s="862">
        <v>0</v>
      </c>
      <c r="E6" s="862">
        <v>0</v>
      </c>
      <c r="F6" s="862">
        <v>0</v>
      </c>
      <c r="G6" s="862">
        <v>114381588.86022301</v>
      </c>
      <c r="H6" s="862">
        <v>0</v>
      </c>
      <c r="I6" s="862">
        <v>17961080.406501722</v>
      </c>
      <c r="J6" s="862">
        <v>97534281.194901973</v>
      </c>
      <c r="K6" s="862">
        <v>75453725.4226612</v>
      </c>
    </row>
    <row r="7" spans="1:11" ht="12.75">
      <c r="A7" s="368">
        <v>2</v>
      </c>
      <c r="B7" s="369" t="s">
        <v>575</v>
      </c>
      <c r="C7" s="862">
        <v>0</v>
      </c>
      <c r="D7" s="862">
        <v>0</v>
      </c>
      <c r="E7" s="862">
        <v>0</v>
      </c>
      <c r="F7" s="862">
        <v>0</v>
      </c>
      <c r="G7" s="862">
        <v>0</v>
      </c>
      <c r="H7" s="862">
        <v>0</v>
      </c>
      <c r="I7" s="862">
        <v>0</v>
      </c>
      <c r="J7" s="862">
        <v>0</v>
      </c>
      <c r="K7" s="862">
        <v>79918560</v>
      </c>
    </row>
    <row r="8" spans="1:11" ht="12.75">
      <c r="A8" s="368">
        <v>3</v>
      </c>
      <c r="B8" s="369" t="s">
        <v>539</v>
      </c>
      <c r="C8" s="862">
        <v>2735315.9892259995</v>
      </c>
      <c r="D8" s="862"/>
      <c r="E8" s="862">
        <v>0</v>
      </c>
      <c r="F8" s="862">
        <v>0</v>
      </c>
      <c r="G8" s="862">
        <v>2643893.0999999996</v>
      </c>
      <c r="H8" s="862">
        <v>0</v>
      </c>
      <c r="I8" s="862">
        <v>307241.40000000002</v>
      </c>
      <c r="J8" s="862">
        <v>3936763.0851190002</v>
      </c>
      <c r="K8" s="862">
        <v>115050366.47730602</v>
      </c>
    </row>
    <row r="9" spans="1:11" ht="12.75">
      <c r="A9" s="368">
        <v>4</v>
      </c>
      <c r="B9" s="397" t="s">
        <v>872</v>
      </c>
      <c r="C9" s="896">
        <v>0</v>
      </c>
      <c r="D9" s="896"/>
      <c r="E9" s="896">
        <v>0</v>
      </c>
      <c r="F9" s="896">
        <v>0</v>
      </c>
      <c r="G9" s="896">
        <v>461756.07393000007</v>
      </c>
      <c r="H9" s="896">
        <v>0</v>
      </c>
      <c r="I9" s="896">
        <v>0</v>
      </c>
      <c r="J9" s="896">
        <v>425248.98128499999</v>
      </c>
      <c r="K9" s="896">
        <v>66180.738467999996</v>
      </c>
    </row>
    <row r="10" spans="1:11" ht="12.75">
      <c r="A10" s="368">
        <v>5</v>
      </c>
      <c r="B10" s="387" t="s">
        <v>871</v>
      </c>
      <c r="C10" s="896"/>
      <c r="D10" s="896"/>
      <c r="E10" s="896"/>
      <c r="F10" s="896"/>
      <c r="G10" s="896"/>
      <c r="H10" s="896"/>
      <c r="I10" s="896"/>
      <c r="J10" s="896"/>
      <c r="K10" s="896"/>
    </row>
    <row r="11" spans="1:11" ht="12.75">
      <c r="A11" s="368">
        <v>6</v>
      </c>
      <c r="B11" s="387" t="s">
        <v>870</v>
      </c>
      <c r="C11" s="896"/>
      <c r="D11" s="896"/>
      <c r="E11" s="896"/>
      <c r="F11" s="896"/>
      <c r="G11" s="896"/>
      <c r="H11" s="896"/>
      <c r="I11" s="896"/>
      <c r="J11" s="896"/>
      <c r="K11" s="896"/>
    </row>
    <row r="13" spans="1:11" ht="15">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449" bestFit="1" customWidth="1"/>
    <col min="2" max="2" width="71.85546875" style="449" customWidth="1"/>
    <col min="3" max="3" width="10.5703125" style="449" bestFit="1" customWidth="1"/>
    <col min="4" max="5" width="15.140625" style="449" bestFit="1" customWidth="1"/>
    <col min="6" max="6" width="20" style="449" bestFit="1" customWidth="1"/>
    <col min="7" max="7" width="37.5703125" style="449" bestFit="1" customWidth="1"/>
    <col min="8" max="8" width="10.5703125" style="449" bestFit="1" customWidth="1"/>
    <col min="9" max="10" width="15.140625" style="449" bestFit="1" customWidth="1"/>
    <col min="11" max="11" width="20" style="449" bestFit="1" customWidth="1"/>
    <col min="12" max="12" width="37.5703125" style="449" bestFit="1" customWidth="1"/>
    <col min="13" max="13" width="10.5703125" style="449" bestFit="1" customWidth="1"/>
    <col min="14" max="15" width="15.140625" style="449" bestFit="1" customWidth="1"/>
    <col min="16" max="16" width="20" style="449" bestFit="1" customWidth="1"/>
    <col min="17" max="17" width="37.5703125" style="449" bestFit="1" customWidth="1"/>
    <col min="18" max="18" width="18" style="449" bestFit="1" customWidth="1"/>
    <col min="19" max="19" width="48" style="449" bestFit="1" customWidth="1"/>
    <col min="20" max="20" width="45.85546875" style="449" bestFit="1" customWidth="1"/>
    <col min="21" max="21" width="48" style="449" bestFit="1" customWidth="1"/>
    <col min="22" max="22" width="44.42578125" style="449" bestFit="1" customWidth="1"/>
    <col min="23" max="16384" width="8.85546875" style="449"/>
  </cols>
  <sheetData>
    <row r="1" spans="1:22">
      <c r="A1" s="302" t="s">
        <v>97</v>
      </c>
      <c r="B1" s="605" t="str">
        <f>Info!C2</f>
        <v>სს იშბანკი საქართველო</v>
      </c>
    </row>
    <row r="2" spans="1:22">
      <c r="A2" s="304" t="s">
        <v>98</v>
      </c>
      <c r="B2" s="606">
        <f>'1. key ratios'!B2</f>
        <v>46022</v>
      </c>
    </row>
    <row r="3" spans="1:22">
      <c r="A3" s="305" t="s">
        <v>657</v>
      </c>
      <c r="B3" s="379"/>
    </row>
    <row r="4" spans="1:22">
      <c r="A4" s="305"/>
      <c r="B4" s="379"/>
    </row>
    <row r="5" spans="1:22" ht="24" customHeight="1">
      <c r="A5" s="1028" t="s">
        <v>684</v>
      </c>
      <c r="B5" s="1028"/>
      <c r="C5" s="1030" t="s">
        <v>876</v>
      </c>
      <c r="D5" s="1030"/>
      <c r="E5" s="1030"/>
      <c r="F5" s="1030"/>
      <c r="G5" s="1030"/>
      <c r="H5" s="1030" t="s">
        <v>565</v>
      </c>
      <c r="I5" s="1030"/>
      <c r="J5" s="1030"/>
      <c r="K5" s="1030"/>
      <c r="L5" s="1030"/>
      <c r="M5" s="1030" t="s">
        <v>875</v>
      </c>
      <c r="N5" s="1030"/>
      <c r="O5" s="1030"/>
      <c r="P5" s="1030"/>
      <c r="Q5" s="1030"/>
      <c r="R5" s="1029" t="s">
        <v>683</v>
      </c>
      <c r="S5" s="1029" t="s">
        <v>687</v>
      </c>
      <c r="T5" s="1029" t="s">
        <v>686</v>
      </c>
      <c r="U5" s="1029" t="s">
        <v>915</v>
      </c>
      <c r="V5" s="1029" t="s">
        <v>916</v>
      </c>
    </row>
    <row r="6" spans="1:22" ht="36" customHeight="1">
      <c r="A6" s="1028"/>
      <c r="B6" s="1028"/>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1029"/>
      <c r="S6" s="1029"/>
      <c r="T6" s="1029"/>
      <c r="U6" s="1029"/>
      <c r="V6" s="1029"/>
    </row>
    <row r="7" spans="1:22">
      <c r="A7" s="457">
        <v>1</v>
      </c>
      <c r="B7" s="458" t="s">
        <v>658</v>
      </c>
      <c r="C7" s="896">
        <v>393978.10768999998</v>
      </c>
      <c r="D7" s="896">
        <v>393978.10768999998</v>
      </c>
      <c r="E7" s="896">
        <v>0</v>
      </c>
      <c r="F7" s="896">
        <v>0</v>
      </c>
      <c r="G7" s="896">
        <v>0</v>
      </c>
      <c r="H7" s="896">
        <v>396966.688884</v>
      </c>
      <c r="I7" s="896">
        <v>396966.688884</v>
      </c>
      <c r="J7" s="896">
        <v>0</v>
      </c>
      <c r="K7" s="896">
        <v>0</v>
      </c>
      <c r="L7" s="896">
        <v>0</v>
      </c>
      <c r="M7" s="896">
        <v>3269.3917358427398</v>
      </c>
      <c r="N7" s="896">
        <v>3269.3917358427398</v>
      </c>
      <c r="O7" s="896">
        <v>0</v>
      </c>
      <c r="P7" s="896">
        <v>0</v>
      </c>
      <c r="Q7" s="896">
        <v>0</v>
      </c>
      <c r="R7" s="896">
        <v>2</v>
      </c>
      <c r="S7" s="897">
        <v>0.10679091697404869</v>
      </c>
      <c r="T7" s="897">
        <v>0.1574719595332168</v>
      </c>
      <c r="U7" s="897">
        <v>0.10679091697404869</v>
      </c>
      <c r="V7" s="896">
        <v>63.734121598823911</v>
      </c>
    </row>
    <row r="8" spans="1:22">
      <c r="A8" s="457">
        <v>2</v>
      </c>
      <c r="B8" s="456" t="s">
        <v>659</v>
      </c>
      <c r="C8" s="896">
        <v>2382522.5286959996</v>
      </c>
      <c r="D8" s="896">
        <v>2248848.0018809992</v>
      </c>
      <c r="E8" s="896">
        <v>21414.06</v>
      </c>
      <c r="F8" s="896">
        <v>112260.46681500004</v>
      </c>
      <c r="G8" s="896">
        <v>0</v>
      </c>
      <c r="H8" s="896">
        <v>2608234.8342739996</v>
      </c>
      <c r="I8" s="896">
        <v>2277691.4271699991</v>
      </c>
      <c r="J8" s="896">
        <v>21530.68</v>
      </c>
      <c r="K8" s="896">
        <v>309012.72710400005</v>
      </c>
      <c r="L8" s="896">
        <v>0</v>
      </c>
      <c r="M8" s="896">
        <v>315873.75427166361</v>
      </c>
      <c r="N8" s="896">
        <v>11976.948943330217</v>
      </c>
      <c r="O8" s="896">
        <v>3.3346241803721832E-7</v>
      </c>
      <c r="P8" s="896">
        <v>303896.80532799999</v>
      </c>
      <c r="Q8" s="896">
        <v>0</v>
      </c>
      <c r="R8" s="896">
        <v>81</v>
      </c>
      <c r="S8" s="897">
        <v>0.12398198977378989</v>
      </c>
      <c r="T8" s="897">
        <v>0.13295444303081178</v>
      </c>
      <c r="U8" s="897">
        <v>0.11961901655192735</v>
      </c>
      <c r="V8" s="896">
        <v>22.685541510902848</v>
      </c>
    </row>
    <row r="9" spans="1:22">
      <c r="A9" s="457">
        <v>3</v>
      </c>
      <c r="B9" s="456" t="s">
        <v>660</v>
      </c>
      <c r="C9" s="896">
        <v>0</v>
      </c>
      <c r="D9" s="896">
        <v>0</v>
      </c>
      <c r="E9" s="896">
        <v>0</v>
      </c>
      <c r="F9" s="896">
        <v>0</v>
      </c>
      <c r="G9" s="896">
        <v>0</v>
      </c>
      <c r="H9" s="896">
        <v>0</v>
      </c>
      <c r="I9" s="896">
        <v>0</v>
      </c>
      <c r="J9" s="896">
        <v>0</v>
      </c>
      <c r="K9" s="896">
        <v>0</v>
      </c>
      <c r="L9" s="896">
        <v>0</v>
      </c>
      <c r="M9" s="896">
        <v>0</v>
      </c>
      <c r="N9" s="896">
        <v>0</v>
      </c>
      <c r="O9" s="896">
        <v>0</v>
      </c>
      <c r="P9" s="896">
        <v>0</v>
      </c>
      <c r="Q9" s="896">
        <v>0</v>
      </c>
      <c r="R9" s="896"/>
      <c r="S9" s="897"/>
      <c r="T9" s="897"/>
      <c r="U9" s="897"/>
      <c r="V9" s="896"/>
    </row>
    <row r="10" spans="1:22">
      <c r="A10" s="457">
        <v>4</v>
      </c>
      <c r="B10" s="456" t="s">
        <v>661</v>
      </c>
      <c r="C10" s="896">
        <v>0</v>
      </c>
      <c r="D10" s="896">
        <v>0</v>
      </c>
      <c r="E10" s="896">
        <v>0</v>
      </c>
      <c r="F10" s="896">
        <v>0</v>
      </c>
      <c r="G10" s="896">
        <v>0</v>
      </c>
      <c r="H10" s="896">
        <v>0</v>
      </c>
      <c r="I10" s="896">
        <v>0</v>
      </c>
      <c r="J10" s="896">
        <v>0</v>
      </c>
      <c r="K10" s="896">
        <v>0</v>
      </c>
      <c r="L10" s="896">
        <v>0</v>
      </c>
      <c r="M10" s="896">
        <v>0</v>
      </c>
      <c r="N10" s="896">
        <v>0</v>
      </c>
      <c r="O10" s="896">
        <v>0</v>
      </c>
      <c r="P10" s="896">
        <v>0</v>
      </c>
      <c r="Q10" s="896">
        <v>0</v>
      </c>
      <c r="R10" s="896"/>
      <c r="S10" s="897"/>
      <c r="T10" s="897"/>
      <c r="U10" s="897"/>
      <c r="V10" s="896"/>
    </row>
    <row r="11" spans="1:22">
      <c r="A11" s="457">
        <v>5</v>
      </c>
      <c r="B11" s="456" t="s">
        <v>662</v>
      </c>
      <c r="C11" s="896">
        <v>0</v>
      </c>
      <c r="D11" s="896">
        <v>0</v>
      </c>
      <c r="E11" s="896">
        <v>0</v>
      </c>
      <c r="F11" s="896">
        <v>0</v>
      </c>
      <c r="G11" s="896">
        <v>0</v>
      </c>
      <c r="H11" s="896">
        <v>0</v>
      </c>
      <c r="I11" s="896">
        <v>0</v>
      </c>
      <c r="J11" s="896">
        <v>0</v>
      </c>
      <c r="K11" s="896">
        <v>0</v>
      </c>
      <c r="L11" s="896">
        <v>0</v>
      </c>
      <c r="M11" s="896">
        <v>0</v>
      </c>
      <c r="N11" s="896">
        <v>0</v>
      </c>
      <c r="O11" s="896">
        <v>0</v>
      </c>
      <c r="P11" s="896">
        <v>0</v>
      </c>
      <c r="Q11" s="896">
        <v>0</v>
      </c>
      <c r="R11" s="896">
        <v>0</v>
      </c>
      <c r="S11" s="897"/>
      <c r="T11" s="897"/>
      <c r="U11" s="897"/>
      <c r="V11" s="896"/>
    </row>
    <row r="12" spans="1:22">
      <c r="A12" s="457">
        <v>6</v>
      </c>
      <c r="B12" s="456" t="s">
        <v>663</v>
      </c>
      <c r="C12" s="896">
        <v>0</v>
      </c>
      <c r="D12" s="896">
        <v>0</v>
      </c>
      <c r="E12" s="896">
        <v>0</v>
      </c>
      <c r="F12" s="896">
        <v>0</v>
      </c>
      <c r="G12" s="896">
        <v>0</v>
      </c>
      <c r="H12" s="896">
        <v>0</v>
      </c>
      <c r="I12" s="896">
        <v>0</v>
      </c>
      <c r="J12" s="896">
        <v>0</v>
      </c>
      <c r="K12" s="896">
        <v>0</v>
      </c>
      <c r="L12" s="896">
        <v>0</v>
      </c>
      <c r="M12" s="896">
        <v>0</v>
      </c>
      <c r="N12" s="896">
        <v>0</v>
      </c>
      <c r="O12" s="896">
        <v>0</v>
      </c>
      <c r="P12" s="896">
        <v>0</v>
      </c>
      <c r="Q12" s="896">
        <v>0</v>
      </c>
      <c r="R12" s="896"/>
      <c r="S12" s="897"/>
      <c r="T12" s="897"/>
      <c r="U12" s="897"/>
      <c r="V12" s="896"/>
    </row>
    <row r="13" spans="1:22">
      <c r="A13" s="457">
        <v>7</v>
      </c>
      <c r="B13" s="456" t="s">
        <v>664</v>
      </c>
      <c r="C13" s="898">
        <f>SUM(C14:C16)</f>
        <v>2342581.3521640003</v>
      </c>
      <c r="D13" s="898">
        <f t="shared" ref="D13:R13" si="0">SUM(D14:D16)</f>
        <v>2023823.1253629997</v>
      </c>
      <c r="E13" s="898">
        <f t="shared" si="0"/>
        <v>264658.11</v>
      </c>
      <c r="F13" s="898">
        <f t="shared" si="0"/>
        <v>54100.116800999996</v>
      </c>
      <c r="G13" s="898">
        <f t="shared" si="0"/>
        <v>0</v>
      </c>
      <c r="H13" s="898">
        <f t="shared" si="0"/>
        <v>2356721.4064540002</v>
      </c>
      <c r="I13" s="898">
        <f t="shared" si="0"/>
        <v>2036211.3396529998</v>
      </c>
      <c r="J13" s="898">
        <f t="shared" si="0"/>
        <v>266409.95</v>
      </c>
      <c r="K13" s="898">
        <f t="shared" si="0"/>
        <v>54100.116800999996</v>
      </c>
      <c r="L13" s="898">
        <f t="shared" si="0"/>
        <v>0</v>
      </c>
      <c r="M13" s="898">
        <f t="shared" si="0"/>
        <v>63095.490716610977</v>
      </c>
      <c r="N13" s="898">
        <f t="shared" si="0"/>
        <v>8995.3739148519435</v>
      </c>
      <c r="O13" s="898">
        <f t="shared" si="0"/>
        <v>7.5903718090302949E-7</v>
      </c>
      <c r="P13" s="898">
        <f t="shared" si="0"/>
        <v>54100.116800999996</v>
      </c>
      <c r="Q13" s="898">
        <f t="shared" si="0"/>
        <v>0</v>
      </c>
      <c r="R13" s="898">
        <f t="shared" si="0"/>
        <v>15</v>
      </c>
      <c r="S13" s="897">
        <v>0.10849989409734237</v>
      </c>
      <c r="T13" s="897">
        <v>0.12019986592653641</v>
      </c>
      <c r="U13" s="897">
        <v>0.11538183258175706</v>
      </c>
      <c r="V13" s="896">
        <v>64.209646414692685</v>
      </c>
    </row>
    <row r="14" spans="1:22">
      <c r="A14" s="451">
        <v>7.1</v>
      </c>
      <c r="B14" s="450" t="s">
        <v>665</v>
      </c>
      <c r="C14" s="896">
        <v>2196735.5053630001</v>
      </c>
      <c r="D14" s="896">
        <v>1932077.3953629998</v>
      </c>
      <c r="E14" s="896">
        <v>264658.11</v>
      </c>
      <c r="F14" s="896">
        <v>0</v>
      </c>
      <c r="G14" s="896">
        <v>0</v>
      </c>
      <c r="H14" s="896">
        <v>2209964.3796530003</v>
      </c>
      <c r="I14" s="896">
        <v>1943554.4296529999</v>
      </c>
      <c r="J14" s="896">
        <v>266409.95</v>
      </c>
      <c r="K14" s="896">
        <v>0</v>
      </c>
      <c r="L14" s="896">
        <v>0</v>
      </c>
      <c r="M14" s="896">
        <v>8995.3739155079475</v>
      </c>
      <c r="N14" s="896">
        <v>8995.3739147489105</v>
      </c>
      <c r="O14" s="896">
        <v>7.5903718090302949E-7</v>
      </c>
      <c r="P14" s="896">
        <v>0</v>
      </c>
      <c r="Q14" s="896">
        <v>0</v>
      </c>
      <c r="R14" s="896">
        <v>13</v>
      </c>
      <c r="S14" s="897">
        <v>0.10824934884964765</v>
      </c>
      <c r="T14" s="897">
        <v>0.11762114264941187</v>
      </c>
      <c r="U14" s="897">
        <v>0.11373075294827421</v>
      </c>
      <c r="V14" s="896">
        <v>61.227881441523884</v>
      </c>
    </row>
    <row r="15" spans="1:22" ht="25.5">
      <c r="A15" s="451">
        <v>7.2</v>
      </c>
      <c r="B15" s="450" t="s">
        <v>666</v>
      </c>
      <c r="C15" s="896">
        <v>145845.84680100001</v>
      </c>
      <c r="D15" s="896">
        <v>91745.73</v>
      </c>
      <c r="E15" s="896">
        <v>0</v>
      </c>
      <c r="F15" s="896">
        <v>54100.116800999996</v>
      </c>
      <c r="G15" s="896">
        <v>0</v>
      </c>
      <c r="H15" s="896">
        <v>146757.026801</v>
      </c>
      <c r="I15" s="896">
        <v>92656.909999999989</v>
      </c>
      <c r="J15" s="896">
        <v>0</v>
      </c>
      <c r="K15" s="896">
        <v>54100.116800999996</v>
      </c>
      <c r="L15" s="896">
        <v>0</v>
      </c>
      <c r="M15" s="896">
        <v>54100.116801103031</v>
      </c>
      <c r="N15" s="896">
        <v>1.0303213198568694E-7</v>
      </c>
      <c r="O15" s="896">
        <v>0</v>
      </c>
      <c r="P15" s="896">
        <v>54100.116800999996</v>
      </c>
      <c r="Q15" s="896">
        <v>0</v>
      </c>
      <c r="R15" s="896">
        <v>2</v>
      </c>
      <c r="S15" s="897"/>
      <c r="T15" s="897"/>
      <c r="U15" s="897">
        <v>0.11943589399482687</v>
      </c>
      <c r="V15" s="896">
        <v>39.616398969698899</v>
      </c>
    </row>
    <row r="16" spans="1:22">
      <c r="A16" s="451">
        <v>7.3</v>
      </c>
      <c r="B16" s="450" t="s">
        <v>667</v>
      </c>
      <c r="C16" s="896">
        <v>0</v>
      </c>
      <c r="D16" s="896">
        <v>0</v>
      </c>
      <c r="E16" s="896">
        <v>0</v>
      </c>
      <c r="F16" s="896">
        <v>0</v>
      </c>
      <c r="G16" s="896">
        <v>0</v>
      </c>
      <c r="H16" s="896">
        <v>0</v>
      </c>
      <c r="I16" s="896">
        <v>0</v>
      </c>
      <c r="J16" s="896">
        <v>0</v>
      </c>
      <c r="K16" s="896">
        <v>0</v>
      </c>
      <c r="L16" s="896">
        <v>0</v>
      </c>
      <c r="M16" s="896">
        <v>0</v>
      </c>
      <c r="N16" s="896">
        <v>0</v>
      </c>
      <c r="O16" s="896">
        <v>0</v>
      </c>
      <c r="P16" s="896">
        <v>0</v>
      </c>
      <c r="Q16" s="896">
        <v>0</v>
      </c>
      <c r="R16" s="896"/>
      <c r="S16" s="897"/>
      <c r="T16" s="897"/>
      <c r="U16" s="897"/>
      <c r="V16" s="896"/>
    </row>
    <row r="17" spans="1:22">
      <c r="A17" s="457">
        <v>8</v>
      </c>
      <c r="B17" s="456" t="s">
        <v>668</v>
      </c>
      <c r="C17" s="896">
        <v>0</v>
      </c>
      <c r="D17" s="896">
        <v>0</v>
      </c>
      <c r="E17" s="896">
        <v>0</v>
      </c>
      <c r="F17" s="896">
        <v>0</v>
      </c>
      <c r="G17" s="896">
        <v>0</v>
      </c>
      <c r="H17" s="896">
        <v>0</v>
      </c>
      <c r="I17" s="896">
        <v>0</v>
      </c>
      <c r="J17" s="896">
        <v>0</v>
      </c>
      <c r="K17" s="896">
        <v>0</v>
      </c>
      <c r="L17" s="896">
        <v>0</v>
      </c>
      <c r="M17" s="896">
        <v>0</v>
      </c>
      <c r="N17" s="896">
        <v>0</v>
      </c>
      <c r="O17" s="896">
        <v>0</v>
      </c>
      <c r="P17" s="896">
        <v>0</v>
      </c>
      <c r="Q17" s="896">
        <v>0</v>
      </c>
      <c r="R17" s="896"/>
      <c r="S17" s="897"/>
      <c r="T17" s="897"/>
      <c r="U17" s="897"/>
      <c r="V17" s="896"/>
    </row>
    <row r="18" spans="1:22">
      <c r="A18" s="455">
        <v>9</v>
      </c>
      <c r="B18" s="454" t="s">
        <v>669</v>
      </c>
      <c r="C18" s="899">
        <v>0</v>
      </c>
      <c r="D18" s="899">
        <v>0</v>
      </c>
      <c r="E18" s="899">
        <v>0</v>
      </c>
      <c r="F18" s="899">
        <v>0</v>
      </c>
      <c r="G18" s="899">
        <v>0</v>
      </c>
      <c r="H18" s="899">
        <v>0</v>
      </c>
      <c r="I18" s="899">
        <v>0</v>
      </c>
      <c r="J18" s="899">
        <v>0</v>
      </c>
      <c r="K18" s="899">
        <v>0</v>
      </c>
      <c r="L18" s="899">
        <v>0</v>
      </c>
      <c r="M18" s="899">
        <v>0</v>
      </c>
      <c r="N18" s="899">
        <v>0</v>
      </c>
      <c r="O18" s="899">
        <v>0</v>
      </c>
      <c r="P18" s="899">
        <v>0</v>
      </c>
      <c r="Q18" s="899">
        <v>0</v>
      </c>
      <c r="R18" s="899"/>
      <c r="S18" s="900"/>
      <c r="T18" s="900"/>
      <c r="U18" s="900"/>
      <c r="V18" s="899"/>
    </row>
    <row r="19" spans="1:22">
      <c r="A19" s="453">
        <v>10</v>
      </c>
      <c r="B19" s="452" t="s">
        <v>685</v>
      </c>
      <c r="C19" s="898">
        <f>SUM(C7:C13)</f>
        <v>5119081.9885499999</v>
      </c>
      <c r="D19" s="898">
        <f t="shared" ref="D19:R19" si="1">SUM(D7:D13)</f>
        <v>4666649.2349339984</v>
      </c>
      <c r="E19" s="898">
        <f>SUM(E7:E13)</f>
        <v>286072.17</v>
      </c>
      <c r="F19" s="898">
        <f t="shared" si="1"/>
        <v>166360.58361600002</v>
      </c>
      <c r="G19" s="898">
        <f t="shared" si="1"/>
        <v>0</v>
      </c>
      <c r="H19" s="898">
        <f t="shared" si="1"/>
        <v>5361922.9296119995</v>
      </c>
      <c r="I19" s="898">
        <f t="shared" si="1"/>
        <v>4710869.4557069987</v>
      </c>
      <c r="J19" s="898">
        <f>SUM(J7:J13)</f>
        <v>287940.63</v>
      </c>
      <c r="K19" s="898">
        <f t="shared" si="1"/>
        <v>363112.84390500002</v>
      </c>
      <c r="L19" s="898">
        <f t="shared" si="1"/>
        <v>0</v>
      </c>
      <c r="M19" s="898">
        <f t="shared" si="1"/>
        <v>382238.63672411733</v>
      </c>
      <c r="N19" s="898">
        <f t="shared" si="1"/>
        <v>24241.714594024903</v>
      </c>
      <c r="O19" s="898">
        <v>0</v>
      </c>
      <c r="P19" s="898">
        <f t="shared" si="1"/>
        <v>357996.92212899996</v>
      </c>
      <c r="Q19" s="898">
        <f t="shared" si="1"/>
        <v>0</v>
      </c>
      <c r="R19" s="898">
        <f t="shared" si="1"/>
        <v>98</v>
      </c>
      <c r="S19" s="897">
        <v>0.10681728721734612</v>
      </c>
      <c r="T19" s="897">
        <v>0.1498109799966876</v>
      </c>
      <c r="U19" s="897">
        <v>0.11609970277169528</v>
      </c>
      <c r="V19" s="896">
        <v>42.866672417964899</v>
      </c>
    </row>
    <row r="20" spans="1:22" ht="25.5">
      <c r="A20" s="451">
        <v>10.1</v>
      </c>
      <c r="B20" s="450" t="s">
        <v>688</v>
      </c>
      <c r="C20" s="445"/>
      <c r="D20" s="445"/>
      <c r="E20" s="445"/>
      <c r="F20" s="445"/>
      <c r="G20" s="445"/>
      <c r="H20" s="445"/>
      <c r="I20" s="445"/>
      <c r="J20" s="445"/>
      <c r="K20" s="445"/>
      <c r="L20" s="445"/>
      <c r="M20" s="445"/>
      <c r="N20" s="445"/>
      <c r="O20" s="445"/>
      <c r="P20" s="445"/>
      <c r="Q20" s="445"/>
      <c r="R20" s="445"/>
      <c r="S20" s="897"/>
      <c r="T20" s="897"/>
      <c r="U20" s="897"/>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40" customWidth="1"/>
    <col min="2" max="2" width="66.140625" style="141" customWidth="1"/>
    <col min="3" max="3" width="131.42578125" style="142" customWidth="1"/>
    <col min="4" max="5" width="10.140625" style="133" customWidth="1"/>
    <col min="6" max="6" width="67.5703125" style="133" customWidth="1"/>
    <col min="7" max="16384" width="43.5703125" style="133"/>
  </cols>
  <sheetData>
    <row r="1" spans="1:3" ht="12.75" thickTop="1" thickBot="1">
      <c r="A1" s="1086" t="s">
        <v>176</v>
      </c>
      <c r="B1" s="1087"/>
      <c r="C1" s="1088"/>
    </row>
    <row r="2" spans="1:3" ht="26.25" customHeight="1">
      <c r="A2" s="313"/>
      <c r="B2" s="1089" t="s">
        <v>177</v>
      </c>
      <c r="C2" s="1089"/>
    </row>
    <row r="3" spans="1:3" s="138" customFormat="1" ht="11.25" customHeight="1">
      <c r="A3" s="137"/>
      <c r="B3" s="1089" t="s">
        <v>251</v>
      </c>
      <c r="C3" s="1089"/>
    </row>
    <row r="4" spans="1:3" ht="12" customHeight="1" thickBot="1">
      <c r="A4" s="1068" t="s">
        <v>255</v>
      </c>
      <c r="B4" s="1069"/>
      <c r="C4" s="1070"/>
    </row>
    <row r="5" spans="1:3" ht="12" thickTop="1">
      <c r="A5" s="134"/>
      <c r="B5" s="1071" t="s">
        <v>178</v>
      </c>
      <c r="C5" s="1072"/>
    </row>
    <row r="6" spans="1:3">
      <c r="A6" s="313"/>
      <c r="B6" s="1050" t="s">
        <v>252</v>
      </c>
      <c r="C6" s="1051"/>
    </row>
    <row r="7" spans="1:3">
      <c r="A7" s="313"/>
      <c r="B7" s="1050" t="s">
        <v>179</v>
      </c>
      <c r="C7" s="1051"/>
    </row>
    <row r="8" spans="1:3">
      <c r="A8" s="313"/>
      <c r="B8" s="1050" t="s">
        <v>253</v>
      </c>
      <c r="C8" s="1051"/>
    </row>
    <row r="9" spans="1:3">
      <c r="A9" s="313"/>
      <c r="B9" s="1092" t="s">
        <v>254</v>
      </c>
      <c r="C9" s="1093"/>
    </row>
    <row r="10" spans="1:3">
      <c r="A10" s="313"/>
      <c r="B10" s="1084" t="s">
        <v>180</v>
      </c>
      <c r="C10" s="1085" t="s">
        <v>180</v>
      </c>
    </row>
    <row r="11" spans="1:3">
      <c r="A11" s="313"/>
      <c r="B11" s="1084" t="s">
        <v>181</v>
      </c>
      <c r="C11" s="1085" t="s">
        <v>181</v>
      </c>
    </row>
    <row r="12" spans="1:3">
      <c r="A12" s="313"/>
      <c r="B12" s="1084" t="s">
        <v>182</v>
      </c>
      <c r="C12" s="1085" t="s">
        <v>182</v>
      </c>
    </row>
    <row r="13" spans="1:3">
      <c r="A13" s="313"/>
      <c r="B13" s="1084" t="s">
        <v>183</v>
      </c>
      <c r="C13" s="1085" t="s">
        <v>183</v>
      </c>
    </row>
    <row r="14" spans="1:3">
      <c r="A14" s="313"/>
      <c r="B14" s="1084" t="s">
        <v>184</v>
      </c>
      <c r="C14" s="1085" t="s">
        <v>184</v>
      </c>
    </row>
    <row r="15" spans="1:3" ht="21.75" customHeight="1">
      <c r="A15" s="313"/>
      <c r="B15" s="1084" t="s">
        <v>185</v>
      </c>
      <c r="C15" s="1085" t="s">
        <v>185</v>
      </c>
    </row>
    <row r="16" spans="1:3">
      <c r="A16" s="313"/>
      <c r="B16" s="1084" t="s">
        <v>186</v>
      </c>
      <c r="C16" s="1085" t="s">
        <v>187</v>
      </c>
    </row>
    <row r="17" spans="1:6">
      <c r="A17" s="313"/>
      <c r="B17" s="1084" t="s">
        <v>188</v>
      </c>
      <c r="C17" s="1085" t="s">
        <v>189</v>
      </c>
    </row>
    <row r="18" spans="1:6">
      <c r="A18" s="313"/>
      <c r="B18" s="1084" t="s">
        <v>190</v>
      </c>
      <c r="C18" s="1085" t="s">
        <v>191</v>
      </c>
    </row>
    <row r="19" spans="1:6">
      <c r="A19" s="546"/>
      <c r="B19" s="1090" t="s">
        <v>192</v>
      </c>
      <c r="C19" s="1091" t="s">
        <v>192</v>
      </c>
    </row>
    <row r="20" spans="1:6">
      <c r="A20" s="546"/>
      <c r="B20" s="1090" t="s">
        <v>918</v>
      </c>
      <c r="C20" s="1091" t="s">
        <v>193</v>
      </c>
    </row>
    <row r="21" spans="1:6">
      <c r="A21" s="313"/>
      <c r="B21" s="1090" t="s">
        <v>961</v>
      </c>
      <c r="C21" s="1091" t="s">
        <v>194</v>
      </c>
    </row>
    <row r="22" spans="1:6" ht="23.25" customHeight="1">
      <c r="A22" s="313"/>
      <c r="B22" s="1084" t="s">
        <v>195</v>
      </c>
      <c r="C22" s="1085" t="s">
        <v>196</v>
      </c>
      <c r="F22" s="509"/>
    </row>
    <row r="23" spans="1:6">
      <c r="A23" s="313"/>
      <c r="B23" s="1084" t="s">
        <v>197</v>
      </c>
      <c r="C23" s="1085" t="s">
        <v>197</v>
      </c>
    </row>
    <row r="24" spans="1:6">
      <c r="A24" s="313"/>
      <c r="B24" s="1084" t="s">
        <v>198</v>
      </c>
      <c r="C24" s="1085" t="s">
        <v>199</v>
      </c>
    </row>
    <row r="25" spans="1:6" ht="12" thickBot="1">
      <c r="A25" s="135"/>
      <c r="B25" s="1078" t="s">
        <v>200</v>
      </c>
      <c r="C25" s="1079"/>
    </row>
    <row r="26" spans="1:6" ht="12.75" thickTop="1" thickBot="1">
      <c r="A26" s="1068" t="s">
        <v>812</v>
      </c>
      <c r="B26" s="1069"/>
      <c r="C26" s="1070"/>
    </row>
    <row r="27" spans="1:6" ht="12.75" thickTop="1" thickBot="1">
      <c r="A27" s="136"/>
      <c r="B27" s="1080" t="s">
        <v>813</v>
      </c>
      <c r="C27" s="1081"/>
    </row>
    <row r="28" spans="1:6" ht="12.75" thickTop="1" thickBot="1">
      <c r="A28" s="1068" t="s">
        <v>256</v>
      </c>
      <c r="B28" s="1069"/>
      <c r="C28" s="1070"/>
    </row>
    <row r="29" spans="1:6" ht="12" thickTop="1">
      <c r="A29" s="134"/>
      <c r="B29" s="1082" t="s">
        <v>816</v>
      </c>
      <c r="C29" s="1083" t="s">
        <v>201</v>
      </c>
    </row>
    <row r="30" spans="1:6">
      <c r="A30" s="313"/>
      <c r="B30" s="1059" t="s">
        <v>205</v>
      </c>
      <c r="C30" s="1060" t="s">
        <v>202</v>
      </c>
    </row>
    <row r="31" spans="1:6">
      <c r="A31" s="313"/>
      <c r="B31" s="1059" t="s">
        <v>814</v>
      </c>
      <c r="C31" s="1060" t="s">
        <v>203</v>
      </c>
    </row>
    <row r="32" spans="1:6">
      <c r="A32" s="313"/>
      <c r="B32" s="1059" t="s">
        <v>815</v>
      </c>
      <c r="C32" s="1060" t="s">
        <v>204</v>
      </c>
    </row>
    <row r="33" spans="1:3">
      <c r="A33" s="313"/>
      <c r="B33" s="1059" t="s">
        <v>208</v>
      </c>
      <c r="C33" s="1060" t="s">
        <v>209</v>
      </c>
    </row>
    <row r="34" spans="1:3">
      <c r="A34" s="313"/>
      <c r="B34" s="1059" t="s">
        <v>817</v>
      </c>
      <c r="C34" s="1060" t="s">
        <v>206</v>
      </c>
    </row>
    <row r="35" spans="1:3">
      <c r="A35" s="313"/>
      <c r="B35" s="1059" t="s">
        <v>818</v>
      </c>
      <c r="C35" s="1060" t="s">
        <v>207</v>
      </c>
    </row>
    <row r="36" spans="1:3">
      <c r="A36" s="313"/>
      <c r="B36" s="1075" t="s">
        <v>819</v>
      </c>
      <c r="C36" s="1076"/>
    </row>
    <row r="37" spans="1:3" ht="24.75" customHeight="1">
      <c r="A37" s="313"/>
      <c r="B37" s="1059" t="s">
        <v>820</v>
      </c>
      <c r="C37" s="1060" t="s">
        <v>210</v>
      </c>
    </row>
    <row r="38" spans="1:3" ht="23.25" customHeight="1">
      <c r="A38" s="313"/>
      <c r="B38" s="1059" t="s">
        <v>821</v>
      </c>
      <c r="C38" s="1060" t="s">
        <v>211</v>
      </c>
    </row>
    <row r="39" spans="1:3" ht="23.25" customHeight="1">
      <c r="A39" s="355"/>
      <c r="B39" s="1075" t="s">
        <v>822</v>
      </c>
      <c r="C39" s="1077"/>
    </row>
    <row r="40" spans="1:3" ht="12" customHeight="1">
      <c r="A40" s="313"/>
      <c r="B40" s="1059" t="s">
        <v>823</v>
      </c>
      <c r="C40" s="1060"/>
    </row>
    <row r="41" spans="1:3" ht="12" thickBot="1">
      <c r="A41" s="1068" t="s">
        <v>257</v>
      </c>
      <c r="B41" s="1069"/>
      <c r="C41" s="1070"/>
    </row>
    <row r="42" spans="1:3" ht="12" thickTop="1">
      <c r="A42" s="134"/>
      <c r="B42" s="1071" t="s">
        <v>287</v>
      </c>
      <c r="C42" s="1072" t="s">
        <v>212</v>
      </c>
    </row>
    <row r="43" spans="1:3">
      <c r="A43" s="313"/>
      <c r="B43" s="1050" t="s">
        <v>286</v>
      </c>
      <c r="C43" s="1051"/>
    </row>
    <row r="44" spans="1:3" ht="23.25" customHeight="1" thickBot="1">
      <c r="A44" s="135"/>
      <c r="B44" s="1066" t="s">
        <v>213</v>
      </c>
      <c r="C44" s="1067" t="s">
        <v>214</v>
      </c>
    </row>
    <row r="45" spans="1:3" ht="11.25" customHeight="1" thickTop="1" thickBot="1">
      <c r="A45" s="1068" t="s">
        <v>258</v>
      </c>
      <c r="B45" s="1069"/>
      <c r="C45" s="1070"/>
    </row>
    <row r="46" spans="1:3" ht="26.25" customHeight="1" thickTop="1">
      <c r="A46" s="313"/>
      <c r="B46" s="1050" t="s">
        <v>259</v>
      </c>
      <c r="C46" s="1051"/>
    </row>
    <row r="47" spans="1:3" ht="12" thickBot="1">
      <c r="A47" s="1068" t="s">
        <v>260</v>
      </c>
      <c r="B47" s="1069"/>
      <c r="C47" s="1070"/>
    </row>
    <row r="48" spans="1:3" ht="12" thickTop="1">
      <c r="A48" s="134"/>
      <c r="B48" s="1071" t="s">
        <v>215</v>
      </c>
      <c r="C48" s="1072" t="s">
        <v>215</v>
      </c>
    </row>
    <row r="49" spans="1:3" ht="11.25" customHeight="1">
      <c r="A49" s="313"/>
      <c r="B49" s="1050" t="s">
        <v>216</v>
      </c>
      <c r="C49" s="1051" t="s">
        <v>216</v>
      </c>
    </row>
    <row r="50" spans="1:3">
      <c r="A50" s="313"/>
      <c r="B50" s="1050" t="s">
        <v>217</v>
      </c>
      <c r="C50" s="1051" t="s">
        <v>217</v>
      </c>
    </row>
    <row r="51" spans="1:3" ht="11.25" customHeight="1">
      <c r="A51" s="313"/>
      <c r="B51" s="1050" t="s">
        <v>825</v>
      </c>
      <c r="C51" s="1051" t="s">
        <v>218</v>
      </c>
    </row>
    <row r="52" spans="1:3" ht="33.6" customHeight="1">
      <c r="A52" s="313"/>
      <c r="B52" s="1050" t="s">
        <v>219</v>
      </c>
      <c r="C52" s="1051" t="s">
        <v>219</v>
      </c>
    </row>
    <row r="53" spans="1:3" ht="11.25" customHeight="1">
      <c r="A53" s="313"/>
      <c r="B53" s="1050" t="s">
        <v>307</v>
      </c>
      <c r="C53" s="1051" t="s">
        <v>220</v>
      </c>
    </row>
    <row r="54" spans="1:3" ht="11.25" customHeight="1" thickBot="1">
      <c r="A54" s="1068" t="s">
        <v>261</v>
      </c>
      <c r="B54" s="1069"/>
      <c r="C54" s="1070"/>
    </row>
    <row r="55" spans="1:3" ht="12" thickTop="1">
      <c r="A55" s="134"/>
      <c r="B55" s="1071" t="s">
        <v>215</v>
      </c>
      <c r="C55" s="1072" t="s">
        <v>215</v>
      </c>
    </row>
    <row r="56" spans="1:3">
      <c r="A56" s="313"/>
      <c r="B56" s="1050" t="s">
        <v>221</v>
      </c>
      <c r="C56" s="1051" t="s">
        <v>221</v>
      </c>
    </row>
    <row r="57" spans="1:3">
      <c r="A57" s="313"/>
      <c r="B57" s="1050" t="s">
        <v>264</v>
      </c>
      <c r="C57" s="1051" t="s">
        <v>222</v>
      </c>
    </row>
    <row r="58" spans="1:3">
      <c r="A58" s="313"/>
      <c r="B58" s="1050" t="s">
        <v>223</v>
      </c>
      <c r="C58" s="1051" t="s">
        <v>223</v>
      </c>
    </row>
    <row r="59" spans="1:3">
      <c r="A59" s="313"/>
      <c r="B59" s="1050" t="s">
        <v>224</v>
      </c>
      <c r="C59" s="1051" t="s">
        <v>224</v>
      </c>
    </row>
    <row r="60" spans="1:3">
      <c r="A60" s="313"/>
      <c r="B60" s="1050" t="s">
        <v>225</v>
      </c>
      <c r="C60" s="1051" t="s">
        <v>225</v>
      </c>
    </row>
    <row r="61" spans="1:3">
      <c r="A61" s="313"/>
      <c r="B61" s="1050" t="s">
        <v>265</v>
      </c>
      <c r="C61" s="1051" t="s">
        <v>226</v>
      </c>
    </row>
    <row r="62" spans="1:3" ht="12" customHeight="1">
      <c r="A62" s="313"/>
      <c r="B62" s="1033" t="s">
        <v>998</v>
      </c>
      <c r="C62" s="1034" t="s">
        <v>227</v>
      </c>
    </row>
    <row r="63" spans="1:3" ht="22.5" customHeight="1" thickBot="1">
      <c r="A63" s="135"/>
      <c r="B63" s="1066" t="s">
        <v>228</v>
      </c>
      <c r="C63" s="1067" t="s">
        <v>228</v>
      </c>
    </row>
    <row r="64" spans="1:3" ht="11.25" customHeight="1" thickTop="1">
      <c r="A64" s="1056" t="s">
        <v>262</v>
      </c>
      <c r="B64" s="1057"/>
      <c r="C64" s="1058"/>
    </row>
    <row r="65" spans="1:3" ht="12" thickBot="1">
      <c r="A65" s="135"/>
      <c r="B65" s="1066" t="s">
        <v>229</v>
      </c>
      <c r="C65" s="1067" t="s">
        <v>229</v>
      </c>
    </row>
    <row r="66" spans="1:3" ht="11.25" customHeight="1" thickTop="1">
      <c r="A66" s="1056" t="s">
        <v>951</v>
      </c>
      <c r="B66" s="1057"/>
      <c r="C66" s="1058"/>
    </row>
    <row r="67" spans="1:3" ht="12" thickBot="1">
      <c r="A67" s="135"/>
      <c r="B67" s="1066" t="s">
        <v>950</v>
      </c>
      <c r="C67" s="1067"/>
    </row>
    <row r="68" spans="1:3" ht="11.25" customHeight="1" thickTop="1" thickBot="1">
      <c r="A68" s="1068" t="s">
        <v>263</v>
      </c>
      <c r="B68" s="1069"/>
      <c r="C68" s="1070"/>
    </row>
    <row r="69" spans="1:3" ht="12" thickTop="1">
      <c r="A69" s="134"/>
      <c r="B69" s="1071" t="s">
        <v>230</v>
      </c>
      <c r="C69" s="1072" t="s">
        <v>230</v>
      </c>
    </row>
    <row r="70" spans="1:3">
      <c r="A70" s="313"/>
      <c r="B70" s="1050" t="s">
        <v>827</v>
      </c>
      <c r="C70" s="1051" t="s">
        <v>231</v>
      </c>
    </row>
    <row r="71" spans="1:3">
      <c r="A71" s="313"/>
      <c r="B71" s="1050" t="s">
        <v>232</v>
      </c>
      <c r="C71" s="1051" t="s">
        <v>232</v>
      </c>
    </row>
    <row r="72" spans="1:3" ht="54.95" customHeight="1">
      <c r="A72" s="313"/>
      <c r="B72" s="1073" t="s">
        <v>962</v>
      </c>
      <c r="C72" s="1074" t="s">
        <v>233</v>
      </c>
    </row>
    <row r="73" spans="1:3" ht="33.75" customHeight="1">
      <c r="A73" s="313"/>
      <c r="B73" s="1064" t="s">
        <v>266</v>
      </c>
      <c r="C73" s="1065" t="s">
        <v>234</v>
      </c>
    </row>
    <row r="74" spans="1:3" ht="15.75" customHeight="1">
      <c r="A74" s="313"/>
      <c r="B74" s="1064" t="s">
        <v>828</v>
      </c>
      <c r="C74" s="1065" t="s">
        <v>235</v>
      </c>
    </row>
    <row r="75" spans="1:3">
      <c r="A75" s="313"/>
      <c r="B75" s="1050" t="s">
        <v>236</v>
      </c>
      <c r="C75" s="1051" t="s">
        <v>236</v>
      </c>
    </row>
    <row r="76" spans="1:3" ht="12" thickBot="1">
      <c r="A76" s="135"/>
      <c r="B76" s="1066" t="s">
        <v>237</v>
      </c>
      <c r="C76" s="1067" t="s">
        <v>237</v>
      </c>
    </row>
    <row r="77" spans="1:3" ht="12" thickTop="1">
      <c r="A77" s="1056" t="s">
        <v>290</v>
      </c>
      <c r="B77" s="1057"/>
      <c r="C77" s="1058"/>
    </row>
    <row r="78" spans="1:3">
      <c r="A78" s="313"/>
      <c r="B78" s="1050" t="s">
        <v>229</v>
      </c>
      <c r="C78" s="1051"/>
    </row>
    <row r="79" spans="1:3">
      <c r="A79" s="313"/>
      <c r="B79" s="1050" t="s">
        <v>288</v>
      </c>
      <c r="C79" s="1051"/>
    </row>
    <row r="80" spans="1:3">
      <c r="A80" s="313"/>
      <c r="B80" s="1050" t="s">
        <v>289</v>
      </c>
      <c r="C80" s="1051"/>
    </row>
    <row r="81" spans="1:3">
      <c r="A81" s="1056" t="s">
        <v>291</v>
      </c>
      <c r="B81" s="1057"/>
      <c r="C81" s="1058"/>
    </row>
    <row r="82" spans="1:3">
      <c r="A82" s="313"/>
      <c r="B82" s="1050" t="s">
        <v>229</v>
      </c>
      <c r="C82" s="1051"/>
    </row>
    <row r="83" spans="1:3">
      <c r="A83" s="313"/>
      <c r="B83" s="1050" t="s">
        <v>292</v>
      </c>
      <c r="C83" s="1051"/>
    </row>
    <row r="84" spans="1:3" ht="79.5" customHeight="1">
      <c r="A84" s="313"/>
      <c r="B84" s="1050" t="s">
        <v>306</v>
      </c>
      <c r="C84" s="1051"/>
    </row>
    <row r="85" spans="1:3" ht="53.25" customHeight="1">
      <c r="A85" s="313"/>
      <c r="B85" s="1050" t="s">
        <v>305</v>
      </c>
      <c r="C85" s="1051"/>
    </row>
    <row r="86" spans="1:3">
      <c r="A86" s="313"/>
      <c r="B86" s="1050" t="s">
        <v>293</v>
      </c>
      <c r="C86" s="1051"/>
    </row>
    <row r="87" spans="1:3">
      <c r="A87" s="313"/>
      <c r="B87" s="1050" t="s">
        <v>294</v>
      </c>
      <c r="C87" s="1051"/>
    </row>
    <row r="88" spans="1:3">
      <c r="A88" s="313"/>
      <c r="B88" s="1050" t="s">
        <v>295</v>
      </c>
      <c r="C88" s="1051"/>
    </row>
    <row r="89" spans="1:3">
      <c r="A89" s="1056" t="s">
        <v>296</v>
      </c>
      <c r="B89" s="1057"/>
      <c r="C89" s="1058"/>
    </row>
    <row r="90" spans="1:3">
      <c r="A90" s="313"/>
      <c r="B90" s="1050" t="s">
        <v>229</v>
      </c>
      <c r="C90" s="1051"/>
    </row>
    <row r="91" spans="1:3">
      <c r="A91" s="313"/>
      <c r="B91" s="1050" t="s">
        <v>298</v>
      </c>
      <c r="C91" s="1051"/>
    </row>
    <row r="92" spans="1:3" ht="12" customHeight="1">
      <c r="A92" s="313"/>
      <c r="B92" s="1050" t="s">
        <v>299</v>
      </c>
      <c r="C92" s="1051"/>
    </row>
    <row r="93" spans="1:3">
      <c r="A93" s="313"/>
      <c r="B93" s="1050" t="s">
        <v>300</v>
      </c>
      <c r="C93" s="1051"/>
    </row>
    <row r="94" spans="1:3" ht="24.75" customHeight="1">
      <c r="A94" s="313"/>
      <c r="B94" s="1059" t="s">
        <v>336</v>
      </c>
      <c r="C94" s="1060"/>
    </row>
    <row r="95" spans="1:3" ht="24" customHeight="1">
      <c r="A95" s="313"/>
      <c r="B95" s="1059" t="s">
        <v>337</v>
      </c>
      <c r="C95" s="1060"/>
    </row>
    <row r="96" spans="1:3" ht="13.5" customHeight="1">
      <c r="A96" s="313"/>
      <c r="B96" s="1059" t="s">
        <v>301</v>
      </c>
      <c r="C96" s="1060"/>
    </row>
    <row r="97" spans="1:3" ht="11.25" customHeight="1" thickBot="1">
      <c r="A97" s="1061" t="s">
        <v>332</v>
      </c>
      <c r="B97" s="1062"/>
      <c r="C97" s="1063"/>
    </row>
    <row r="98" spans="1:3" ht="12.75" thickTop="1" thickBot="1">
      <c r="A98" s="1055" t="s">
        <v>238</v>
      </c>
      <c r="B98" s="1055"/>
      <c r="C98" s="1055"/>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1056" t="s">
        <v>302</v>
      </c>
      <c r="B106" s="1057"/>
      <c r="C106" s="1058"/>
    </row>
    <row r="107" spans="1:3" ht="12" customHeight="1">
      <c r="A107" s="313"/>
      <c r="B107" s="1033" t="s">
        <v>999</v>
      </c>
      <c r="C107" s="1034"/>
    </row>
    <row r="108" spans="1:3">
      <c r="A108" s="1056" t="s">
        <v>458</v>
      </c>
      <c r="B108" s="1057"/>
      <c r="C108" s="1058"/>
    </row>
    <row r="109" spans="1:3" ht="12" customHeight="1">
      <c r="A109" s="313"/>
      <c r="B109" s="1050" t="s">
        <v>460</v>
      </c>
      <c r="C109" s="1051"/>
    </row>
    <row r="110" spans="1:3">
      <c r="A110" s="313"/>
      <c r="B110" s="1050" t="s">
        <v>461</v>
      </c>
      <c r="C110" s="1051"/>
    </row>
    <row r="111" spans="1:3">
      <c r="A111" s="313"/>
      <c r="B111" s="1050" t="s">
        <v>459</v>
      </c>
      <c r="C111" s="1051"/>
    </row>
    <row r="112" spans="1:3">
      <c r="A112" s="1047" t="s">
        <v>692</v>
      </c>
      <c r="B112" s="1047"/>
      <c r="C112" s="1047"/>
    </row>
    <row r="113" spans="1:3">
      <c r="A113" s="1052" t="s">
        <v>176</v>
      </c>
      <c r="B113" s="1052"/>
      <c r="C113" s="1052"/>
    </row>
    <row r="114" spans="1:3">
      <c r="A114" s="491">
        <v>1</v>
      </c>
      <c r="B114" s="1035" t="s">
        <v>576</v>
      </c>
      <c r="C114" s="1036"/>
    </row>
    <row r="115" spans="1:3">
      <c r="A115" s="491">
        <v>2</v>
      </c>
      <c r="B115" s="1053" t="s">
        <v>577</v>
      </c>
      <c r="C115" s="1054"/>
    </row>
    <row r="116" spans="1:3">
      <c r="A116" s="491">
        <v>3</v>
      </c>
      <c r="B116" s="1035" t="s">
        <v>902</v>
      </c>
      <c r="C116" s="1036"/>
    </row>
    <row r="117" spans="1:3">
      <c r="A117" s="491">
        <v>4</v>
      </c>
      <c r="B117" s="1035" t="s">
        <v>901</v>
      </c>
      <c r="C117" s="1036"/>
    </row>
    <row r="118" spans="1:3">
      <c r="A118" s="491">
        <v>5</v>
      </c>
      <c r="B118" s="495" t="s">
        <v>900</v>
      </c>
      <c r="C118" s="494"/>
    </row>
    <row r="119" spans="1:3">
      <c r="A119" s="491">
        <v>6</v>
      </c>
      <c r="B119" s="1037" t="s">
        <v>968</v>
      </c>
      <c r="C119" s="1038"/>
    </row>
    <row r="120" spans="1:3" ht="48.6" customHeight="1">
      <c r="A120" s="491">
        <v>7</v>
      </c>
      <c r="B120" s="1037" t="s">
        <v>969</v>
      </c>
      <c r="C120" s="1038"/>
    </row>
    <row r="121" spans="1:3">
      <c r="A121" s="466">
        <v>8</v>
      </c>
      <c r="B121" s="463" t="s">
        <v>603</v>
      </c>
      <c r="C121" s="488" t="s">
        <v>899</v>
      </c>
    </row>
    <row r="122" spans="1:3" ht="22.5">
      <c r="A122" s="491">
        <v>9.01</v>
      </c>
      <c r="B122" s="463" t="s">
        <v>487</v>
      </c>
      <c r="C122" s="475" t="s">
        <v>652</v>
      </c>
    </row>
    <row r="123" spans="1:3" ht="33.75">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2.5">
      <c r="A127" s="491">
        <v>9.06</v>
      </c>
      <c r="B127" s="463" t="s">
        <v>491</v>
      </c>
      <c r="C127" s="478" t="s">
        <v>581</v>
      </c>
    </row>
    <row r="128" spans="1:3">
      <c r="A128" s="491">
        <v>9.07</v>
      </c>
      <c r="B128" s="493" t="s">
        <v>492</v>
      </c>
      <c r="C128" s="478" t="s">
        <v>582</v>
      </c>
    </row>
    <row r="129" spans="1:3" ht="22.5">
      <c r="A129" s="491">
        <v>9.08</v>
      </c>
      <c r="B129" s="463" t="s">
        <v>493</v>
      </c>
      <c r="C129" s="478" t="s">
        <v>583</v>
      </c>
    </row>
    <row r="130" spans="1:3" ht="22.5">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ht="22.5">
      <c r="A137" s="491">
        <v>9.16</v>
      </c>
      <c r="B137" s="463" t="s">
        <v>501</v>
      </c>
      <c r="C137" s="478" t="s">
        <v>591</v>
      </c>
    </row>
    <row r="138" spans="1:3">
      <c r="A138" s="491">
        <v>9.17</v>
      </c>
      <c r="B138" s="478" t="s">
        <v>502</v>
      </c>
      <c r="C138" s="478" t="s">
        <v>592</v>
      </c>
    </row>
    <row r="139" spans="1:3" ht="22.5">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2.5">
      <c r="A144" s="491">
        <v>9.23</v>
      </c>
      <c r="B144" s="463" t="s">
        <v>508</v>
      </c>
      <c r="C144" s="478" t="s">
        <v>598</v>
      </c>
    </row>
    <row r="145" spans="1:3" ht="22.5">
      <c r="A145" s="491">
        <v>9.24</v>
      </c>
      <c r="B145" s="463" t="s">
        <v>509</v>
      </c>
      <c r="C145" s="478" t="s">
        <v>599</v>
      </c>
    </row>
    <row r="146" spans="1:3">
      <c r="A146" s="491">
        <v>9.2500000000000107</v>
      </c>
      <c r="B146" s="463" t="s">
        <v>510</v>
      </c>
      <c r="C146" s="478" t="s">
        <v>600</v>
      </c>
    </row>
    <row r="147" spans="1:3" ht="22.5">
      <c r="A147" s="491">
        <v>9.2600000000000193</v>
      </c>
      <c r="B147" s="463" t="s">
        <v>601</v>
      </c>
      <c r="C147" s="490" t="s">
        <v>602</v>
      </c>
    </row>
    <row r="148" spans="1:3" s="314" customFormat="1" ht="22.5">
      <c r="A148" s="491">
        <v>9.2700000000000298</v>
      </c>
      <c r="B148" s="463" t="s">
        <v>88</v>
      </c>
      <c r="C148" s="490" t="s">
        <v>653</v>
      </c>
    </row>
    <row r="149" spans="1:3" s="314" customFormat="1">
      <c r="A149" s="467"/>
      <c r="B149" s="1031" t="s">
        <v>604</v>
      </c>
      <c r="C149" s="1032"/>
    </row>
    <row r="150" spans="1:3" s="314" customFormat="1">
      <c r="A150" s="466">
        <v>1</v>
      </c>
      <c r="B150" s="1039" t="s">
        <v>898</v>
      </c>
      <c r="C150" s="1040"/>
    </row>
    <row r="151" spans="1:3" s="314" customFormat="1">
      <c r="A151" s="466">
        <v>2</v>
      </c>
      <c r="B151" s="1039" t="s">
        <v>654</v>
      </c>
      <c r="C151" s="1040"/>
    </row>
    <row r="152" spans="1:3" s="314" customFormat="1">
      <c r="A152" s="466">
        <v>3</v>
      </c>
      <c r="B152" s="1039" t="s">
        <v>651</v>
      </c>
      <c r="C152" s="1040"/>
    </row>
    <row r="153" spans="1:3" s="314" customFormat="1">
      <c r="A153" s="467"/>
      <c r="B153" s="1031" t="s">
        <v>605</v>
      </c>
      <c r="C153" s="1032"/>
    </row>
    <row r="154" spans="1:3" s="314" customFormat="1">
      <c r="A154" s="466">
        <v>1</v>
      </c>
      <c r="B154" s="1041" t="s">
        <v>897</v>
      </c>
      <c r="C154" s="1042"/>
    </row>
    <row r="155" spans="1:3" s="314" customFormat="1">
      <c r="A155" s="466">
        <v>2</v>
      </c>
      <c r="B155" s="463" t="s">
        <v>834</v>
      </c>
      <c r="C155" s="547" t="s">
        <v>963</v>
      </c>
    </row>
    <row r="156" spans="1:3" ht="22.5">
      <c r="A156" s="466">
        <v>3</v>
      </c>
      <c r="B156" s="463" t="s">
        <v>833</v>
      </c>
      <c r="C156" s="488" t="s">
        <v>896</v>
      </c>
    </row>
    <row r="157" spans="1:3">
      <c r="A157" s="466">
        <v>4</v>
      </c>
      <c r="B157" s="463" t="s">
        <v>480</v>
      </c>
      <c r="C157" s="463" t="s">
        <v>914</v>
      </c>
    </row>
    <row r="158" spans="1:3" ht="24.95" customHeight="1">
      <c r="A158" s="467"/>
      <c r="B158" s="1031" t="s">
        <v>606</v>
      </c>
      <c r="C158" s="1032"/>
    </row>
    <row r="159" spans="1:3" ht="33.75">
      <c r="A159" s="466"/>
      <c r="B159" s="463" t="s">
        <v>885</v>
      </c>
      <c r="C159" s="548" t="s">
        <v>964</v>
      </c>
    </row>
    <row r="160" spans="1:3">
      <c r="A160" s="467"/>
      <c r="B160" s="1031" t="s">
        <v>607</v>
      </c>
      <c r="C160" s="1032"/>
    </row>
    <row r="161" spans="1:3" ht="39" customHeight="1">
      <c r="A161" s="467"/>
      <c r="B161" s="1033" t="s">
        <v>895</v>
      </c>
      <c r="C161" s="1034"/>
    </row>
    <row r="162" spans="1:3">
      <c r="A162" s="467" t="s">
        <v>608</v>
      </c>
      <c r="B162" s="489" t="s">
        <v>518</v>
      </c>
      <c r="C162" s="480" t="s">
        <v>609</v>
      </c>
    </row>
    <row r="163" spans="1:3">
      <c r="A163" s="467" t="s">
        <v>357</v>
      </c>
      <c r="B163" s="486" t="s">
        <v>519</v>
      </c>
      <c r="C163" s="488" t="s">
        <v>894</v>
      </c>
    </row>
    <row r="164" spans="1:3" ht="22.5">
      <c r="A164" s="467" t="s">
        <v>364</v>
      </c>
      <c r="B164" s="480" t="s">
        <v>520</v>
      </c>
      <c r="C164" s="488" t="s">
        <v>610</v>
      </c>
    </row>
    <row r="165" spans="1:3">
      <c r="A165" s="467" t="s">
        <v>611</v>
      </c>
      <c r="B165" s="486" t="s">
        <v>521</v>
      </c>
      <c r="C165" s="487" t="s">
        <v>612</v>
      </c>
    </row>
    <row r="166" spans="1:3" ht="22.5">
      <c r="A166" s="467" t="s">
        <v>613</v>
      </c>
      <c r="B166" s="486" t="s">
        <v>849</v>
      </c>
      <c r="C166" s="485" t="s">
        <v>893</v>
      </c>
    </row>
    <row r="167" spans="1:3" ht="22.5">
      <c r="A167" s="467" t="s">
        <v>365</v>
      </c>
      <c r="B167" s="486" t="s">
        <v>522</v>
      </c>
      <c r="C167" s="485" t="s">
        <v>615</v>
      </c>
    </row>
    <row r="168" spans="1:3" ht="22.5">
      <c r="A168" s="467" t="s">
        <v>614</v>
      </c>
      <c r="B168" s="483" t="s">
        <v>525</v>
      </c>
      <c r="C168" s="484" t="s">
        <v>622</v>
      </c>
    </row>
    <row r="169" spans="1:3" ht="22.5">
      <c r="A169" s="467" t="s">
        <v>616</v>
      </c>
      <c r="B169" s="483" t="s">
        <v>523</v>
      </c>
      <c r="C169" s="485" t="s">
        <v>618</v>
      </c>
    </row>
    <row r="170" spans="1:3" ht="26.45" customHeight="1">
      <c r="A170" s="467" t="s">
        <v>617</v>
      </c>
      <c r="B170" s="483" t="s">
        <v>524</v>
      </c>
      <c r="C170" s="484" t="s">
        <v>620</v>
      </c>
    </row>
    <row r="171" spans="1:3" ht="22.5">
      <c r="A171" s="467" t="s">
        <v>619</v>
      </c>
      <c r="B171" s="461" t="s">
        <v>526</v>
      </c>
      <c r="C171" s="484" t="s">
        <v>624</v>
      </c>
    </row>
    <row r="172" spans="1:3" ht="22.5">
      <c r="A172" s="467" t="s">
        <v>621</v>
      </c>
      <c r="B172" s="483" t="s">
        <v>527</v>
      </c>
      <c r="C172" s="482" t="s">
        <v>625</v>
      </c>
    </row>
    <row r="173" spans="1:3">
      <c r="A173" s="467" t="s">
        <v>623</v>
      </c>
      <c r="B173" s="481" t="s">
        <v>528</v>
      </c>
      <c r="C173" s="480" t="s">
        <v>626</v>
      </c>
    </row>
    <row r="174" spans="1:3" ht="22.5">
      <c r="A174" s="467"/>
      <c r="B174" s="479" t="s">
        <v>892</v>
      </c>
      <c r="C174" s="478" t="s">
        <v>627</v>
      </c>
    </row>
    <row r="175" spans="1:3" ht="22.5">
      <c r="A175" s="467"/>
      <c r="B175" s="479" t="s">
        <v>891</v>
      </c>
      <c r="C175" s="478" t="s">
        <v>628</v>
      </c>
    </row>
    <row r="176" spans="1:3" ht="22.5">
      <c r="A176" s="467"/>
      <c r="B176" s="479" t="s">
        <v>890</v>
      </c>
      <c r="C176" s="478" t="s">
        <v>629</v>
      </c>
    </row>
    <row r="177" spans="1:3">
      <c r="A177" s="467"/>
      <c r="B177" s="1031" t="s">
        <v>630</v>
      </c>
      <c r="C177" s="1032"/>
    </row>
    <row r="178" spans="1:3">
      <c r="A178" s="467"/>
      <c r="B178" s="1039" t="s">
        <v>889</v>
      </c>
      <c r="C178" s="1040"/>
    </row>
    <row r="179" spans="1:3">
      <c r="A179" s="466">
        <v>1</v>
      </c>
      <c r="B179" s="478" t="s">
        <v>532</v>
      </c>
      <c r="C179" s="478" t="s">
        <v>532</v>
      </c>
    </row>
    <row r="180" spans="1:3" ht="33.75">
      <c r="A180" s="466">
        <v>2</v>
      </c>
      <c r="B180" s="478" t="s">
        <v>631</v>
      </c>
      <c r="C180" s="478" t="s">
        <v>632</v>
      </c>
    </row>
    <row r="181" spans="1:3">
      <c r="A181" s="466">
        <v>3</v>
      </c>
      <c r="B181" s="478" t="s">
        <v>534</v>
      </c>
      <c r="C181" s="478" t="s">
        <v>633</v>
      </c>
    </row>
    <row r="182" spans="1:3" ht="22.5">
      <c r="A182" s="466">
        <v>4</v>
      </c>
      <c r="B182" s="478" t="s">
        <v>535</v>
      </c>
      <c r="C182" s="478" t="s">
        <v>634</v>
      </c>
    </row>
    <row r="183" spans="1:3" ht="22.5">
      <c r="A183" s="466">
        <v>5</v>
      </c>
      <c r="B183" s="478" t="s">
        <v>536</v>
      </c>
      <c r="C183" s="478" t="s">
        <v>656</v>
      </c>
    </row>
    <row r="184" spans="1:3" ht="45">
      <c r="A184" s="466">
        <v>6</v>
      </c>
      <c r="B184" s="478" t="s">
        <v>537</v>
      </c>
      <c r="C184" s="478" t="s">
        <v>635</v>
      </c>
    </row>
    <row r="185" spans="1:3">
      <c r="A185" s="467"/>
      <c r="B185" s="1031" t="s">
        <v>636</v>
      </c>
      <c r="C185" s="1032"/>
    </row>
    <row r="186" spans="1:3">
      <c r="A186" s="467"/>
      <c r="B186" s="1044" t="s">
        <v>888</v>
      </c>
      <c r="C186" s="1045"/>
    </row>
    <row r="187" spans="1:3" ht="22.5">
      <c r="A187" s="467">
        <v>1.1000000000000001</v>
      </c>
      <c r="B187" s="477" t="s">
        <v>542</v>
      </c>
      <c r="C187" s="475" t="s">
        <v>637</v>
      </c>
    </row>
    <row r="188" spans="1:3" ht="50.1" customHeight="1">
      <c r="A188" s="467" t="s">
        <v>146</v>
      </c>
      <c r="B188" s="462" t="s">
        <v>543</v>
      </c>
      <c r="C188" s="475" t="s">
        <v>638</v>
      </c>
    </row>
    <row r="189" spans="1:3">
      <c r="A189" s="467" t="s">
        <v>544</v>
      </c>
      <c r="B189" s="476" t="s">
        <v>545</v>
      </c>
      <c r="C189" s="1046" t="s">
        <v>887</v>
      </c>
    </row>
    <row r="190" spans="1:3">
      <c r="A190" s="467" t="s">
        <v>546</v>
      </c>
      <c r="B190" s="476" t="s">
        <v>547</v>
      </c>
      <c r="C190" s="1046"/>
    </row>
    <row r="191" spans="1:3">
      <c r="A191" s="467" t="s">
        <v>548</v>
      </c>
      <c r="B191" s="476" t="s">
        <v>549</v>
      </c>
      <c r="C191" s="1046"/>
    </row>
    <row r="192" spans="1:3">
      <c r="A192" s="467" t="s">
        <v>550</v>
      </c>
      <c r="B192" s="476" t="s">
        <v>551</v>
      </c>
      <c r="C192" s="1046"/>
    </row>
    <row r="193" spans="1:4" ht="25.5" customHeight="1">
      <c r="A193" s="467">
        <v>1.2</v>
      </c>
      <c r="B193" s="474" t="s">
        <v>863</v>
      </c>
      <c r="C193" s="549" t="s">
        <v>965</v>
      </c>
    </row>
    <row r="194" spans="1:4" ht="22.5">
      <c r="A194" s="467" t="s">
        <v>553</v>
      </c>
      <c r="B194" s="469" t="s">
        <v>554</v>
      </c>
      <c r="C194" s="472" t="s">
        <v>639</v>
      </c>
    </row>
    <row r="195" spans="1:4" ht="22.5">
      <c r="A195" s="467" t="s">
        <v>555</v>
      </c>
      <c r="B195" s="473" t="s">
        <v>556</v>
      </c>
      <c r="C195" s="472" t="s">
        <v>640</v>
      </c>
    </row>
    <row r="196" spans="1:4" ht="26.1" customHeight="1">
      <c r="A196" s="467" t="s">
        <v>557</v>
      </c>
      <c r="B196" s="471" t="s">
        <v>558</v>
      </c>
      <c r="C196" s="460" t="s">
        <v>641</v>
      </c>
    </row>
    <row r="197" spans="1:4" ht="22.5">
      <c r="A197" s="467" t="s">
        <v>559</v>
      </c>
      <c r="B197" s="470" t="s">
        <v>560</v>
      </c>
      <c r="C197" s="460" t="s">
        <v>642</v>
      </c>
      <c r="D197" s="315"/>
    </row>
    <row r="198" spans="1:4" ht="22.5">
      <c r="A198" s="467">
        <v>1.4</v>
      </c>
      <c r="B198" s="469" t="s">
        <v>649</v>
      </c>
      <c r="C198" s="468" t="s">
        <v>643</v>
      </c>
      <c r="D198" s="316"/>
    </row>
    <row r="199" spans="1:4" ht="12.75">
      <c r="A199" s="467">
        <v>1.5</v>
      </c>
      <c r="B199" s="469" t="s">
        <v>650</v>
      </c>
      <c r="C199" s="468" t="s">
        <v>643</v>
      </c>
      <c r="D199" s="317"/>
    </row>
    <row r="200" spans="1:4" ht="12.75">
      <c r="A200" s="467"/>
      <c r="B200" s="1047" t="s">
        <v>644</v>
      </c>
      <c r="C200" s="1047"/>
      <c r="D200" s="317"/>
    </row>
    <row r="201" spans="1:4" ht="12.75">
      <c r="A201" s="467"/>
      <c r="B201" s="1044" t="s">
        <v>886</v>
      </c>
      <c r="C201" s="1044"/>
      <c r="D201" s="317"/>
    </row>
    <row r="202" spans="1:4" ht="12.75">
      <c r="A202" s="466"/>
      <c r="B202" s="463" t="s">
        <v>885</v>
      </c>
      <c r="C202" s="548" t="s">
        <v>963</v>
      </c>
      <c r="D202" s="317"/>
    </row>
    <row r="203" spans="1:4" ht="12.75">
      <c r="A203" s="467"/>
      <c r="B203" s="1047" t="s">
        <v>645</v>
      </c>
      <c r="C203" s="1047"/>
      <c r="D203" s="318"/>
    </row>
    <row r="204" spans="1:4" ht="12.75">
      <c r="A204" s="466"/>
      <c r="B204" s="1048" t="s">
        <v>884</v>
      </c>
      <c r="C204" s="1048"/>
      <c r="D204" s="319"/>
    </row>
    <row r="205" spans="1:4" ht="12.75">
      <c r="B205" s="1047" t="s">
        <v>682</v>
      </c>
      <c r="C205" s="1047"/>
      <c r="D205" s="320"/>
    </row>
    <row r="206" spans="1:4" ht="22.5">
      <c r="A206" s="462">
        <v>1</v>
      </c>
      <c r="B206" s="463" t="s">
        <v>658</v>
      </c>
      <c r="C206" s="460" t="s">
        <v>670</v>
      </c>
      <c r="D206" s="319"/>
    </row>
    <row r="207" spans="1:4" ht="18" customHeight="1">
      <c r="A207" s="462">
        <v>2</v>
      </c>
      <c r="B207" s="463" t="s">
        <v>659</v>
      </c>
      <c r="C207" s="460" t="s">
        <v>671</v>
      </c>
      <c r="D207" s="320"/>
    </row>
    <row r="208" spans="1:4" ht="22.5">
      <c r="A208" s="462">
        <v>3</v>
      </c>
      <c r="B208" s="463" t="s">
        <v>660</v>
      </c>
      <c r="C208" s="463" t="s">
        <v>672</v>
      </c>
      <c r="D208" s="321"/>
    </row>
    <row r="209" spans="1:4" ht="12.75">
      <c r="A209" s="462">
        <v>4</v>
      </c>
      <c r="B209" s="463" t="s">
        <v>661</v>
      </c>
      <c r="C209" s="463" t="s">
        <v>673</v>
      </c>
      <c r="D209" s="321"/>
    </row>
    <row r="210" spans="1:4" ht="22.5">
      <c r="A210" s="462">
        <v>5</v>
      </c>
      <c r="B210" s="463" t="s">
        <v>662</v>
      </c>
      <c r="C210" s="463" t="s">
        <v>674</v>
      </c>
    </row>
    <row r="211" spans="1:4" ht="24.6" customHeight="1">
      <c r="A211" s="462">
        <v>6</v>
      </c>
      <c r="B211" s="463" t="s">
        <v>663</v>
      </c>
      <c r="C211" s="463" t="s">
        <v>675</v>
      </c>
    </row>
    <row r="212" spans="1:4" ht="22.5">
      <c r="A212" s="462">
        <v>7</v>
      </c>
      <c r="B212" s="463" t="s">
        <v>664</v>
      </c>
      <c r="C212" s="463" t="s">
        <v>676</v>
      </c>
    </row>
    <row r="213" spans="1:4">
      <c r="A213" s="462">
        <v>7.1</v>
      </c>
      <c r="B213" s="465" t="s">
        <v>665</v>
      </c>
      <c r="C213" s="463" t="s">
        <v>677</v>
      </c>
    </row>
    <row r="214" spans="1:4" ht="22.5">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2.5">
      <c r="A218" s="504">
        <v>10.1</v>
      </c>
      <c r="B218" s="505" t="s">
        <v>689</v>
      </c>
      <c r="C218" s="496" t="s">
        <v>690</v>
      </c>
    </row>
    <row r="219" spans="1:4">
      <c r="A219" s="1049"/>
      <c r="B219" s="506" t="s">
        <v>876</v>
      </c>
      <c r="C219" s="460" t="s">
        <v>883</v>
      </c>
    </row>
    <row r="220" spans="1:4">
      <c r="A220" s="1049"/>
      <c r="B220" s="461" t="s">
        <v>541</v>
      </c>
      <c r="C220" s="460" t="s">
        <v>882</v>
      </c>
    </row>
    <row r="221" spans="1:4">
      <c r="A221" s="1049"/>
      <c r="B221" s="461" t="s">
        <v>875</v>
      </c>
      <c r="C221" s="549" t="s">
        <v>966</v>
      </c>
    </row>
    <row r="222" spans="1:4">
      <c r="A222" s="1049"/>
      <c r="B222" s="461" t="s">
        <v>683</v>
      </c>
      <c r="C222" s="460" t="s">
        <v>881</v>
      </c>
    </row>
    <row r="223" spans="1:4" ht="22.5">
      <c r="A223" s="1049"/>
      <c r="B223" s="461" t="s">
        <v>687</v>
      </c>
      <c r="C223" s="475" t="s">
        <v>880</v>
      </c>
    </row>
    <row r="224" spans="1:4" ht="33.75">
      <c r="A224" s="1049"/>
      <c r="B224" s="461" t="s">
        <v>686</v>
      </c>
      <c r="C224" s="460" t="s">
        <v>879</v>
      </c>
    </row>
    <row r="225" spans="1:3">
      <c r="A225" s="1049"/>
      <c r="B225" s="461" t="s">
        <v>915</v>
      </c>
      <c r="C225" s="460" t="s">
        <v>878</v>
      </c>
    </row>
    <row r="226" spans="1:3" ht="22.5">
      <c r="A226" s="1049"/>
      <c r="B226" s="461" t="s">
        <v>916</v>
      </c>
      <c r="C226" s="460" t="s">
        <v>877</v>
      </c>
    </row>
    <row r="227" spans="1:3" ht="12.75">
      <c r="A227" s="497"/>
      <c r="B227" s="498"/>
      <c r="C227" s="499"/>
    </row>
    <row r="228" spans="1:3" ht="12.75">
      <c r="A228" s="497"/>
      <c r="B228" s="499"/>
      <c r="C228" s="500"/>
    </row>
    <row r="229" spans="1:3" ht="12.75">
      <c r="A229" s="497"/>
      <c r="B229" s="499"/>
      <c r="C229" s="500"/>
    </row>
    <row r="230" spans="1:3" ht="12.75">
      <c r="A230" s="497"/>
      <c r="B230" s="501"/>
      <c r="C230" s="500"/>
    </row>
    <row r="231" spans="1:3" ht="12.75">
      <c r="A231" s="1043"/>
      <c r="B231" s="502"/>
      <c r="C231" s="500"/>
    </row>
    <row r="232" spans="1:3" ht="12.75">
      <c r="A232" s="1043"/>
      <c r="B232" s="502"/>
      <c r="C232" s="500"/>
    </row>
    <row r="233" spans="1:3" ht="12.75">
      <c r="A233" s="1043"/>
      <c r="B233" s="502"/>
      <c r="C233" s="500"/>
    </row>
    <row r="234" spans="1:3" ht="12.75">
      <c r="A234" s="1043"/>
      <c r="B234" s="502"/>
      <c r="C234" s="503"/>
    </row>
    <row r="235" spans="1:3" ht="40.5" customHeight="1">
      <c r="A235" s="1043"/>
      <c r="B235" s="502"/>
      <c r="C235" s="500"/>
    </row>
    <row r="236" spans="1:3" ht="24" customHeight="1">
      <c r="A236" s="1043"/>
      <c r="B236" s="502"/>
      <c r="C236" s="500"/>
    </row>
    <row r="237" spans="1:3" ht="12.75">
      <c r="A237" s="1043"/>
      <c r="B237" s="502"/>
      <c r="C237" s="500"/>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5"/>
  <cols>
    <col min="2" max="2" width="66.5703125" customWidth="1"/>
    <col min="3" max="8" width="17.8554687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46022</v>
      </c>
      <c r="C2" s="28"/>
      <c r="D2" s="18"/>
      <c r="E2" s="18"/>
      <c r="F2" s="18"/>
      <c r="G2" s="18"/>
      <c r="H2" s="1"/>
    </row>
    <row r="3" spans="1:8" ht="16.5" thickBot="1">
      <c r="A3" s="17"/>
      <c r="B3" s="16"/>
      <c r="C3" s="28"/>
      <c r="D3" s="18"/>
      <c r="E3" s="18"/>
      <c r="F3" s="18"/>
      <c r="G3" s="18"/>
      <c r="H3" s="1"/>
    </row>
    <row r="4" spans="1:8">
      <c r="A4" s="921" t="s">
        <v>25</v>
      </c>
      <c r="B4" s="919" t="s">
        <v>155</v>
      </c>
      <c r="C4" s="914" t="s">
        <v>103</v>
      </c>
      <c r="D4" s="914"/>
      <c r="E4" s="914"/>
      <c r="F4" s="914" t="s">
        <v>104</v>
      </c>
      <c r="G4" s="914"/>
      <c r="H4" s="915"/>
    </row>
    <row r="5" spans="1:8" ht="15.6" customHeight="1">
      <c r="A5" s="922"/>
      <c r="B5" s="920"/>
      <c r="C5" s="669" t="s">
        <v>26</v>
      </c>
      <c r="D5" s="669" t="s">
        <v>77</v>
      </c>
      <c r="E5" s="669" t="s">
        <v>66</v>
      </c>
      <c r="F5" s="669" t="s">
        <v>26</v>
      </c>
      <c r="G5" s="669" t="s">
        <v>77</v>
      </c>
      <c r="H5" s="670" t="s">
        <v>66</v>
      </c>
    </row>
    <row r="6" spans="1:8">
      <c r="A6" s="693">
        <v>1</v>
      </c>
      <c r="B6" s="342" t="s">
        <v>744</v>
      </c>
      <c r="C6" s="683">
        <f>SUM(C7:C12)</f>
        <v>23351733.713664204</v>
      </c>
      <c r="D6" s="683">
        <f>SUM(D7:D12)</f>
        <v>17522650.705184907</v>
      </c>
      <c r="E6" s="684">
        <f>C6+D6</f>
        <v>40874384.418849111</v>
      </c>
      <c r="F6" s="683">
        <f>SUM(F7:F12)</f>
        <v>21735783.529210873</v>
      </c>
      <c r="G6" s="683">
        <f>SUM(G7:G12)</f>
        <v>16529671.005030375</v>
      </c>
      <c r="H6" s="685">
        <f>F6+G6</f>
        <v>38265454.534241244</v>
      </c>
    </row>
    <row r="7" spans="1:8">
      <c r="A7" s="693">
        <v>1.1000000000000001</v>
      </c>
      <c r="B7" s="343" t="s">
        <v>698</v>
      </c>
      <c r="C7" s="686"/>
      <c r="D7" s="686"/>
      <c r="E7" s="687">
        <f t="shared" ref="E7:E45" si="0">C7+D7</f>
        <v>0</v>
      </c>
      <c r="F7" s="686"/>
      <c r="G7" s="686"/>
      <c r="H7" s="688">
        <f t="shared" ref="H7:H45" si="1">F7+G7</f>
        <v>0</v>
      </c>
    </row>
    <row r="8" spans="1:8" ht="21">
      <c r="A8" s="693">
        <v>1.2</v>
      </c>
      <c r="B8" s="343" t="s">
        <v>745</v>
      </c>
      <c r="C8" s="686"/>
      <c r="D8" s="686"/>
      <c r="E8" s="687">
        <f t="shared" si="0"/>
        <v>0</v>
      </c>
      <c r="F8" s="686"/>
      <c r="G8" s="686"/>
      <c r="H8" s="688">
        <f t="shared" si="1"/>
        <v>0</v>
      </c>
    </row>
    <row r="9" spans="1:8" ht="21.6" customHeight="1">
      <c r="A9" s="693">
        <v>1.3</v>
      </c>
      <c r="B9" s="340" t="s">
        <v>746</v>
      </c>
      <c r="C9" s="686"/>
      <c r="D9" s="686"/>
      <c r="E9" s="687">
        <f t="shared" si="0"/>
        <v>0</v>
      </c>
      <c r="F9" s="686"/>
      <c r="G9" s="686"/>
      <c r="H9" s="688">
        <f t="shared" si="1"/>
        <v>0</v>
      </c>
    </row>
    <row r="10" spans="1:8" ht="21">
      <c r="A10" s="693">
        <v>1.4</v>
      </c>
      <c r="B10" s="340" t="s">
        <v>702</v>
      </c>
      <c r="C10" s="686"/>
      <c r="D10" s="686"/>
      <c r="E10" s="687">
        <f t="shared" si="0"/>
        <v>0</v>
      </c>
      <c r="F10" s="686"/>
      <c r="G10" s="686"/>
      <c r="H10" s="688">
        <f t="shared" si="1"/>
        <v>0</v>
      </c>
    </row>
    <row r="11" spans="1:8">
      <c r="A11" s="693">
        <v>1.5</v>
      </c>
      <c r="B11" s="340" t="s">
        <v>705</v>
      </c>
      <c r="C11" s="686">
        <v>23351733.713664204</v>
      </c>
      <c r="D11" s="686">
        <v>17522650.705184907</v>
      </c>
      <c r="E11" s="687">
        <f t="shared" si="0"/>
        <v>40874384.418849111</v>
      </c>
      <c r="F11" s="686">
        <v>21735783.529210873</v>
      </c>
      <c r="G11" s="686">
        <v>16529671.005030375</v>
      </c>
      <c r="H11" s="688">
        <f t="shared" si="1"/>
        <v>38265454.534241244</v>
      </c>
    </row>
    <row r="12" spans="1:8">
      <c r="A12" s="693">
        <v>1.6</v>
      </c>
      <c r="B12" s="344" t="s">
        <v>88</v>
      </c>
      <c r="C12" s="686"/>
      <c r="D12" s="686"/>
      <c r="E12" s="687">
        <f t="shared" si="0"/>
        <v>0</v>
      </c>
      <c r="F12" s="686"/>
      <c r="G12" s="686"/>
      <c r="H12" s="688">
        <f t="shared" si="1"/>
        <v>0</v>
      </c>
    </row>
    <row r="13" spans="1:8">
      <c r="A13" s="693">
        <v>2</v>
      </c>
      <c r="B13" s="345" t="s">
        <v>747</v>
      </c>
      <c r="C13" s="689">
        <f>SUM(C14:C17)</f>
        <v>-4722382.9112801319</v>
      </c>
      <c r="D13" s="689">
        <f>SUM(D14:D17)</f>
        <v>-11819837.356191101</v>
      </c>
      <c r="E13" s="687">
        <f t="shared" si="0"/>
        <v>-16542220.267471232</v>
      </c>
      <c r="F13" s="689">
        <f>SUM(F14:F17)</f>
        <v>-4724389.8367154617</v>
      </c>
      <c r="G13" s="689">
        <f>SUM(G14:G17)</f>
        <v>-11606041.749970522</v>
      </c>
      <c r="H13" s="688">
        <f t="shared" si="1"/>
        <v>-16330431.586685983</v>
      </c>
    </row>
    <row r="14" spans="1:8">
      <c r="A14" s="693">
        <v>2.1</v>
      </c>
      <c r="B14" s="340" t="s">
        <v>748</v>
      </c>
      <c r="C14" s="686"/>
      <c r="D14" s="686"/>
      <c r="E14" s="687">
        <f t="shared" si="0"/>
        <v>0</v>
      </c>
      <c r="F14" s="686"/>
      <c r="G14" s="686"/>
      <c r="H14" s="688">
        <f t="shared" si="1"/>
        <v>0</v>
      </c>
    </row>
    <row r="15" spans="1:8" ht="24.6" customHeight="1">
      <c r="A15" s="693">
        <v>2.2000000000000002</v>
      </c>
      <c r="B15" s="340" t="s">
        <v>749</v>
      </c>
      <c r="C15" s="686"/>
      <c r="D15" s="686"/>
      <c r="E15" s="687">
        <f t="shared" si="0"/>
        <v>0</v>
      </c>
      <c r="F15" s="686"/>
      <c r="G15" s="686"/>
      <c r="H15" s="688">
        <f t="shared" si="1"/>
        <v>0</v>
      </c>
    </row>
    <row r="16" spans="1:8" ht="20.45" customHeight="1">
      <c r="A16" s="693">
        <v>2.2999999999999998</v>
      </c>
      <c r="B16" s="340" t="s">
        <v>750</v>
      </c>
      <c r="C16" s="686">
        <v>-4722382.9112801319</v>
      </c>
      <c r="D16" s="686">
        <v>-11819837.356191101</v>
      </c>
      <c r="E16" s="687">
        <f t="shared" si="0"/>
        <v>-16542220.267471232</v>
      </c>
      <c r="F16" s="686">
        <v>-4724389.8367154617</v>
      </c>
      <c r="G16" s="686">
        <v>-11606041.749970522</v>
      </c>
      <c r="H16" s="688">
        <f t="shared" si="1"/>
        <v>-16330431.586685983</v>
      </c>
    </row>
    <row r="17" spans="1:8">
      <c r="A17" s="693">
        <v>2.4</v>
      </c>
      <c r="B17" s="340" t="s">
        <v>751</v>
      </c>
      <c r="C17" s="686"/>
      <c r="D17" s="686"/>
      <c r="E17" s="687">
        <f t="shared" si="0"/>
        <v>0</v>
      </c>
      <c r="F17" s="686"/>
      <c r="G17" s="686"/>
      <c r="H17" s="688">
        <f t="shared" si="1"/>
        <v>0</v>
      </c>
    </row>
    <row r="18" spans="1:8">
      <c r="A18" s="693">
        <v>3</v>
      </c>
      <c r="B18" s="345" t="s">
        <v>752</v>
      </c>
      <c r="C18" s="686"/>
      <c r="D18" s="686"/>
      <c r="E18" s="687">
        <f t="shared" si="0"/>
        <v>0</v>
      </c>
      <c r="F18" s="686"/>
      <c r="G18" s="686"/>
      <c r="H18" s="688">
        <f t="shared" si="1"/>
        <v>0</v>
      </c>
    </row>
    <row r="19" spans="1:8">
      <c r="A19" s="693">
        <v>4</v>
      </c>
      <c r="B19" s="345" t="s">
        <v>753</v>
      </c>
      <c r="C19" s="686">
        <v>2000948.0340179962</v>
      </c>
      <c r="D19" s="686">
        <v>1485321.4111660023</v>
      </c>
      <c r="E19" s="687">
        <f t="shared" si="0"/>
        <v>3486269.4451839984</v>
      </c>
      <c r="F19" s="686">
        <v>1629206.4700000002</v>
      </c>
      <c r="G19" s="686">
        <v>1515743.2230934172</v>
      </c>
      <c r="H19" s="688">
        <f t="shared" si="1"/>
        <v>3144949.6930934172</v>
      </c>
    </row>
    <row r="20" spans="1:8">
      <c r="A20" s="693">
        <v>5</v>
      </c>
      <c r="B20" s="345" t="s">
        <v>754</v>
      </c>
      <c r="C20" s="686">
        <v>-287957.00000000006</v>
      </c>
      <c r="D20" s="686">
        <v>-161610.89359999998</v>
      </c>
      <c r="E20" s="687">
        <f t="shared" si="0"/>
        <v>-449567.89360000007</v>
      </c>
      <c r="F20" s="686">
        <v>-415755.14999999997</v>
      </c>
      <c r="G20" s="686">
        <v>-607323.03020000004</v>
      </c>
      <c r="H20" s="688">
        <f t="shared" si="1"/>
        <v>-1023078.1802000001</v>
      </c>
    </row>
    <row r="21" spans="1:8" ht="38.450000000000003" customHeight="1">
      <c r="A21" s="693">
        <v>6</v>
      </c>
      <c r="B21" s="345" t="s">
        <v>755</v>
      </c>
      <c r="C21" s="686"/>
      <c r="D21" s="686"/>
      <c r="E21" s="687">
        <f t="shared" si="0"/>
        <v>0</v>
      </c>
      <c r="F21" s="686"/>
      <c r="G21" s="686"/>
      <c r="H21" s="688">
        <f t="shared" si="1"/>
        <v>0</v>
      </c>
    </row>
    <row r="22" spans="1:8" ht="27.6" customHeight="1">
      <c r="A22" s="693">
        <v>7</v>
      </c>
      <c r="B22" s="345" t="s">
        <v>756</v>
      </c>
      <c r="C22" s="686"/>
      <c r="D22" s="686"/>
      <c r="E22" s="687">
        <f t="shared" si="0"/>
        <v>0</v>
      </c>
      <c r="F22" s="686"/>
      <c r="G22" s="686"/>
      <c r="H22" s="688">
        <f t="shared" si="1"/>
        <v>0</v>
      </c>
    </row>
    <row r="23" spans="1:8" ht="36.950000000000003" customHeight="1">
      <c r="A23" s="693">
        <v>8</v>
      </c>
      <c r="B23" s="346" t="s">
        <v>757</v>
      </c>
      <c r="C23" s="686"/>
      <c r="D23" s="686"/>
      <c r="E23" s="687">
        <f t="shared" si="0"/>
        <v>0</v>
      </c>
      <c r="F23" s="686"/>
      <c r="G23" s="686"/>
      <c r="H23" s="688">
        <f t="shared" si="1"/>
        <v>0</v>
      </c>
    </row>
    <row r="24" spans="1:8" ht="34.5" customHeight="1">
      <c r="A24" s="693">
        <v>9</v>
      </c>
      <c r="B24" s="346" t="s">
        <v>758</v>
      </c>
      <c r="C24" s="686"/>
      <c r="D24" s="686"/>
      <c r="E24" s="687">
        <f t="shared" si="0"/>
        <v>0</v>
      </c>
      <c r="F24" s="686"/>
      <c r="G24" s="686"/>
      <c r="H24" s="688">
        <f t="shared" si="1"/>
        <v>0</v>
      </c>
    </row>
    <row r="25" spans="1:8">
      <c r="A25" s="693">
        <v>10</v>
      </c>
      <c r="B25" s="345" t="s">
        <v>759</v>
      </c>
      <c r="C25" s="686">
        <v>1077289.9000000004</v>
      </c>
      <c r="D25" s="686"/>
      <c r="E25" s="687">
        <f t="shared" si="0"/>
        <v>1077289.9000000004</v>
      </c>
      <c r="F25" s="686">
        <v>1482294.2300000004</v>
      </c>
      <c r="G25" s="686"/>
      <c r="H25" s="688">
        <f t="shared" si="1"/>
        <v>1482294.2300000004</v>
      </c>
    </row>
    <row r="26" spans="1:8" ht="27" customHeight="1">
      <c r="A26" s="693">
        <v>11</v>
      </c>
      <c r="B26" s="347" t="s">
        <v>760</v>
      </c>
      <c r="C26" s="686"/>
      <c r="D26" s="686"/>
      <c r="E26" s="687">
        <f t="shared" si="0"/>
        <v>0</v>
      </c>
      <c r="F26" s="686"/>
      <c r="G26" s="686"/>
      <c r="H26" s="688">
        <f t="shared" si="1"/>
        <v>0</v>
      </c>
    </row>
    <row r="27" spans="1:8">
      <c r="A27" s="693">
        <v>12</v>
      </c>
      <c r="B27" s="345" t="s">
        <v>761</v>
      </c>
      <c r="C27" s="686"/>
      <c r="D27" s="686"/>
      <c r="E27" s="687">
        <f t="shared" si="0"/>
        <v>0</v>
      </c>
      <c r="F27" s="686"/>
      <c r="G27" s="686"/>
      <c r="H27" s="688">
        <f t="shared" si="1"/>
        <v>0</v>
      </c>
    </row>
    <row r="28" spans="1:8">
      <c r="A28" s="693">
        <v>13</v>
      </c>
      <c r="B28" s="348" t="s">
        <v>762</v>
      </c>
      <c r="C28" s="686"/>
      <c r="D28" s="686"/>
      <c r="E28" s="687">
        <f t="shared" si="0"/>
        <v>0</v>
      </c>
      <c r="F28" s="686"/>
      <c r="G28" s="686"/>
      <c r="H28" s="688">
        <f t="shared" si="1"/>
        <v>0</v>
      </c>
    </row>
    <row r="29" spans="1:8">
      <c r="A29" s="693">
        <v>14</v>
      </c>
      <c r="B29" s="349" t="s">
        <v>763</v>
      </c>
      <c r="C29" s="689">
        <f>SUM(C30:C31)</f>
        <v>-5961148.2120505311</v>
      </c>
      <c r="D29" s="689">
        <f>SUM(D30:D31)</f>
        <v>-2748812.7704823432</v>
      </c>
      <c r="E29" s="687">
        <f t="shared" si="0"/>
        <v>-8709960.9825328737</v>
      </c>
      <c r="F29" s="689">
        <f>SUM(F30:F31)</f>
        <v>-7480840.8168095071</v>
      </c>
      <c r="G29" s="689">
        <f>SUM(G30:G31)</f>
        <v>-2465972.466259188</v>
      </c>
      <c r="H29" s="688">
        <f t="shared" si="1"/>
        <v>-9946813.2830686942</v>
      </c>
    </row>
    <row r="30" spans="1:8">
      <c r="A30" s="693">
        <v>14.1</v>
      </c>
      <c r="B30" s="333" t="s">
        <v>764</v>
      </c>
      <c r="C30" s="686">
        <v>-4282234.0271842517</v>
      </c>
      <c r="D30" s="686">
        <v>-2042373.0208823434</v>
      </c>
      <c r="E30" s="687">
        <f t="shared" si="0"/>
        <v>-6324607.0480665956</v>
      </c>
      <c r="F30" s="686">
        <v>-4135108.6718662647</v>
      </c>
      <c r="G30" s="686">
        <v>-2351014.3062591879</v>
      </c>
      <c r="H30" s="688">
        <f t="shared" si="1"/>
        <v>-6486122.978125453</v>
      </c>
    </row>
    <row r="31" spans="1:8">
      <c r="A31" s="693">
        <v>14.2</v>
      </c>
      <c r="B31" s="333" t="s">
        <v>765</v>
      </c>
      <c r="C31" s="686">
        <v>-1678914.1848662794</v>
      </c>
      <c r="D31" s="686">
        <v>-706439.74959999986</v>
      </c>
      <c r="E31" s="687">
        <f t="shared" si="0"/>
        <v>-2385353.9344662791</v>
      </c>
      <c r="F31" s="686">
        <v>-3345732.144943242</v>
      </c>
      <c r="G31" s="686">
        <v>-114958.16</v>
      </c>
      <c r="H31" s="688">
        <f t="shared" si="1"/>
        <v>-3460690.3049432421</v>
      </c>
    </row>
    <row r="32" spans="1:8">
      <c r="A32" s="693">
        <v>15</v>
      </c>
      <c r="B32" s="694" t="s">
        <v>766</v>
      </c>
      <c r="C32" s="686">
        <v>-1194107.0300000035</v>
      </c>
      <c r="D32" s="686"/>
      <c r="E32" s="687">
        <f t="shared" si="0"/>
        <v>-1194107.0300000035</v>
      </c>
      <c r="F32" s="686">
        <v>-1321410.2714304281</v>
      </c>
      <c r="G32" s="686">
        <v>0</v>
      </c>
      <c r="H32" s="688">
        <f t="shared" si="1"/>
        <v>-1321410.2714304281</v>
      </c>
    </row>
    <row r="33" spans="1:8" ht="22.5" customHeight="1">
      <c r="A33" s="693">
        <v>16</v>
      </c>
      <c r="B33" s="329" t="s">
        <v>767</v>
      </c>
      <c r="C33" s="686"/>
      <c r="D33" s="686"/>
      <c r="E33" s="687">
        <f t="shared" si="0"/>
        <v>0</v>
      </c>
      <c r="F33" s="686"/>
      <c r="G33" s="686"/>
      <c r="H33" s="688">
        <f t="shared" si="1"/>
        <v>0</v>
      </c>
    </row>
    <row r="34" spans="1:8">
      <c r="A34" s="693">
        <v>17</v>
      </c>
      <c r="B34" s="345" t="s">
        <v>768</v>
      </c>
      <c r="C34" s="689">
        <f>SUM(C35:C36)</f>
        <v>-3330.0351879932132</v>
      </c>
      <c r="D34" s="689">
        <f>SUM(D35:D36)</f>
        <v>-42552.150658546598</v>
      </c>
      <c r="E34" s="687">
        <f t="shared" si="0"/>
        <v>-45882.185846539811</v>
      </c>
      <c r="F34" s="689">
        <f>SUM(F35:F36)</f>
        <v>110353.13463569259</v>
      </c>
      <c r="G34" s="689">
        <f>SUM(G35:G36)</f>
        <v>4213.9652432427738</v>
      </c>
      <c r="H34" s="688">
        <f t="shared" si="1"/>
        <v>114567.09987893536</v>
      </c>
    </row>
    <row r="35" spans="1:8">
      <c r="A35" s="693">
        <v>17.100000000000001</v>
      </c>
      <c r="B35" s="350" t="s">
        <v>769</v>
      </c>
      <c r="C35" s="686">
        <v>32815.114097850506</v>
      </c>
      <c r="D35" s="686">
        <v>109121.15418073954</v>
      </c>
      <c r="E35" s="687">
        <f t="shared" si="0"/>
        <v>141936.26827859005</v>
      </c>
      <c r="F35" s="686">
        <v>8838.4526281277213</v>
      </c>
      <c r="G35" s="686">
        <v>14540.83040457897</v>
      </c>
      <c r="H35" s="688">
        <f t="shared" si="1"/>
        <v>23379.283032706691</v>
      </c>
    </row>
    <row r="36" spans="1:8">
      <c r="A36" s="693">
        <v>17.2</v>
      </c>
      <c r="B36" s="333" t="s">
        <v>770</v>
      </c>
      <c r="C36" s="686">
        <v>-36145.14928584372</v>
      </c>
      <c r="D36" s="686">
        <v>-151673.30483928614</v>
      </c>
      <c r="E36" s="687">
        <f t="shared" si="0"/>
        <v>-187818.45412512985</v>
      </c>
      <c r="F36" s="686">
        <v>101514.68200756487</v>
      </c>
      <c r="G36" s="686">
        <v>-10326.865161336196</v>
      </c>
      <c r="H36" s="688">
        <f t="shared" si="1"/>
        <v>91187.81684622867</v>
      </c>
    </row>
    <row r="37" spans="1:8" ht="41.45" customHeight="1">
      <c r="A37" s="693">
        <v>18</v>
      </c>
      <c r="B37" s="351" t="s">
        <v>771</v>
      </c>
      <c r="C37" s="689">
        <f>SUM(C38:C39)</f>
        <v>-32960.469179135507</v>
      </c>
      <c r="D37" s="689">
        <f>SUM(D38:D39)</f>
        <v>-777082.73094540962</v>
      </c>
      <c r="E37" s="687">
        <f t="shared" si="0"/>
        <v>-810043.20012454514</v>
      </c>
      <c r="F37" s="689">
        <f>SUM(F38:F39)</f>
        <v>147191.86229814723</v>
      </c>
      <c r="G37" s="689">
        <f>SUM(G38:G39)</f>
        <v>240478.23496078438</v>
      </c>
      <c r="H37" s="688">
        <f t="shared" si="1"/>
        <v>387670.09725893161</v>
      </c>
    </row>
    <row r="38" spans="1:8" ht="21">
      <c r="A38" s="693">
        <v>18.100000000000001</v>
      </c>
      <c r="B38" s="340" t="s">
        <v>772</v>
      </c>
      <c r="C38" s="686"/>
      <c r="D38" s="686"/>
      <c r="E38" s="687">
        <f t="shared" si="0"/>
        <v>0</v>
      </c>
      <c r="F38" s="686"/>
      <c r="G38" s="686"/>
      <c r="H38" s="688">
        <f t="shared" si="1"/>
        <v>0</v>
      </c>
    </row>
    <row r="39" spans="1:8">
      <c r="A39" s="693">
        <v>18.2</v>
      </c>
      <c r="B39" s="340" t="s">
        <v>773</v>
      </c>
      <c r="C39" s="686">
        <v>-32960.469179135507</v>
      </c>
      <c r="D39" s="686">
        <v>-777082.73094540962</v>
      </c>
      <c r="E39" s="687">
        <f t="shared" si="0"/>
        <v>-810043.20012454514</v>
      </c>
      <c r="F39" s="686">
        <v>147191.86229814723</v>
      </c>
      <c r="G39" s="686">
        <v>240478.23496078438</v>
      </c>
      <c r="H39" s="688">
        <f t="shared" si="1"/>
        <v>387670.09725893161</v>
      </c>
    </row>
    <row r="40" spans="1:8" ht="24.6" customHeight="1">
      <c r="A40" s="693">
        <v>19</v>
      </c>
      <c r="B40" s="351" t="s">
        <v>774</v>
      </c>
      <c r="C40" s="686"/>
      <c r="D40" s="686"/>
      <c r="E40" s="687">
        <f t="shared" si="0"/>
        <v>0</v>
      </c>
      <c r="F40" s="686"/>
      <c r="G40" s="686"/>
      <c r="H40" s="688">
        <f t="shared" si="1"/>
        <v>0</v>
      </c>
    </row>
    <row r="41" spans="1:8" ht="24.95" customHeight="1">
      <c r="A41" s="693">
        <v>20</v>
      </c>
      <c r="B41" s="351" t="s">
        <v>775</v>
      </c>
      <c r="C41" s="686"/>
      <c r="D41" s="686"/>
      <c r="E41" s="687">
        <f t="shared" si="0"/>
        <v>0</v>
      </c>
      <c r="F41" s="686"/>
      <c r="G41" s="686"/>
      <c r="H41" s="688">
        <f t="shared" si="1"/>
        <v>0</v>
      </c>
    </row>
    <row r="42" spans="1:8" ht="33" customHeight="1">
      <c r="A42" s="693">
        <v>21</v>
      </c>
      <c r="B42" s="352" t="s">
        <v>776</v>
      </c>
      <c r="C42" s="686"/>
      <c r="D42" s="686"/>
      <c r="E42" s="687">
        <f t="shared" si="0"/>
        <v>0</v>
      </c>
      <c r="F42" s="686"/>
      <c r="G42" s="686"/>
      <c r="H42" s="688">
        <f t="shared" si="1"/>
        <v>0</v>
      </c>
    </row>
    <row r="43" spans="1:8">
      <c r="A43" s="693">
        <v>22</v>
      </c>
      <c r="B43" s="695" t="s">
        <v>777</v>
      </c>
      <c r="C43" s="689">
        <f>SUM(C6,C13,C18,C19,C20,C21,C22,C23,C24,C25,C26,C27,C28,C29,C32,C33,C34,C37,C40,C41,C42)</f>
        <v>14228085.989984402</v>
      </c>
      <c r="D43" s="689">
        <f>SUM(D6,D13,D18,D19,D20,D21,D22,D23,D24,D25,D26,D27,D28,D29,D32,D33,D34,D37,D40,D41,D42)</f>
        <v>3458076.2144735078</v>
      </c>
      <c r="E43" s="687">
        <f t="shared" si="0"/>
        <v>17686162.204457909</v>
      </c>
      <c r="F43" s="689">
        <f>SUM(F6,F13,F18,F19,F20,F21,F22,F23,F24,F25,F26,F27,F28,F29,F32,F33,F34,F37,F40,F41,F42)</f>
        <v>11162433.15118932</v>
      </c>
      <c r="G43" s="689">
        <f>SUM(G6,G13,G18,G19,G20,G21,G22,G23,G24,G25,G26,G27,G28,G29,G32,G33,G34,G37,G40,G41,G42)</f>
        <v>3610769.1818981096</v>
      </c>
      <c r="H43" s="688">
        <f t="shared" si="1"/>
        <v>14773202.333087429</v>
      </c>
    </row>
    <row r="44" spans="1:8">
      <c r="A44" s="693">
        <v>23</v>
      </c>
      <c r="B44" s="695" t="s">
        <v>778</v>
      </c>
      <c r="C44" s="686">
        <v>-3410732.081068743</v>
      </c>
      <c r="D44" s="686"/>
      <c r="E44" s="687">
        <f t="shared" si="0"/>
        <v>-3410732.081068743</v>
      </c>
      <c r="F44" s="686">
        <v>-2794477.05105111</v>
      </c>
      <c r="G44" s="686"/>
      <c r="H44" s="688">
        <f t="shared" si="1"/>
        <v>-2794477.05105111</v>
      </c>
    </row>
    <row r="45" spans="1:8" ht="15.75" thickBot="1">
      <c r="A45" s="696">
        <v>24</v>
      </c>
      <c r="B45" s="697" t="s">
        <v>779</v>
      </c>
      <c r="C45" s="690">
        <f>C43+C44</f>
        <v>10817353.908915659</v>
      </c>
      <c r="D45" s="690">
        <f>D43+D44</f>
        <v>3458076.2144735078</v>
      </c>
      <c r="E45" s="691">
        <f t="shared" si="0"/>
        <v>14275430.123389168</v>
      </c>
      <c r="F45" s="690">
        <f>F43+F44</f>
        <v>8367956.1001382098</v>
      </c>
      <c r="G45" s="690">
        <f>G43+G44</f>
        <v>3610769.1818981096</v>
      </c>
      <c r="H45" s="692">
        <f t="shared" si="1"/>
        <v>11978725.282036319</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Normal="100" workbookViewId="0">
      <selection activeCell="B4" sqref="B4:B5"/>
    </sheetView>
  </sheetViews>
  <sheetFormatPr defaultRowHeight="15"/>
  <cols>
    <col min="1" max="1" width="8.85546875" style="353"/>
    <col min="2" max="2" width="87.5703125" bestFit="1" customWidth="1"/>
    <col min="3" max="8" width="15.85546875" bestFit="1"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46022</v>
      </c>
      <c r="C2" s="28"/>
      <c r="D2" s="18"/>
      <c r="E2" s="18"/>
      <c r="F2" s="18"/>
      <c r="G2" s="18"/>
      <c r="H2" s="1"/>
    </row>
    <row r="3" spans="1:8" ht="16.5" thickBot="1">
      <c r="A3" s="17"/>
      <c r="B3" s="16"/>
      <c r="C3" s="28"/>
      <c r="D3" s="18"/>
      <c r="E3" s="18"/>
      <c r="F3" s="18"/>
      <c r="G3" s="18"/>
      <c r="H3" s="1"/>
    </row>
    <row r="4" spans="1:8" ht="15.75">
      <c r="A4" s="910" t="s">
        <v>25</v>
      </c>
      <c r="B4" s="923" t="s">
        <v>140</v>
      </c>
      <c r="C4" s="925" t="s">
        <v>103</v>
      </c>
      <c r="D4" s="925"/>
      <c r="E4" s="925"/>
      <c r="F4" s="925" t="s">
        <v>104</v>
      </c>
      <c r="G4" s="925"/>
      <c r="H4" s="926"/>
    </row>
    <row r="5" spans="1:8">
      <c r="A5" s="911"/>
      <c r="B5" s="924"/>
      <c r="C5" s="669" t="s">
        <v>26</v>
      </c>
      <c r="D5" s="669" t="s">
        <v>77</v>
      </c>
      <c r="E5" s="669" t="s">
        <v>66</v>
      </c>
      <c r="F5" s="669" t="s">
        <v>26</v>
      </c>
      <c r="G5" s="669" t="s">
        <v>77</v>
      </c>
      <c r="H5" s="670" t="s">
        <v>66</v>
      </c>
    </row>
    <row r="6" spans="1:8" ht="15.75">
      <c r="A6" s="672">
        <v>1</v>
      </c>
      <c r="B6" s="712" t="s">
        <v>780</v>
      </c>
      <c r="C6" s="698"/>
      <c r="D6" s="699"/>
      <c r="E6" s="700">
        <f t="shared" ref="E6:E43" si="0">C6+D6</f>
        <v>0</v>
      </c>
      <c r="F6" s="699"/>
      <c r="G6" s="699"/>
      <c r="H6" s="701">
        <f t="shared" ref="H6:H43" si="1">F6+G6</f>
        <v>0</v>
      </c>
    </row>
    <row r="7" spans="1:8" ht="15.75">
      <c r="A7" s="672">
        <v>2</v>
      </c>
      <c r="B7" s="712" t="s">
        <v>166</v>
      </c>
      <c r="C7" s="702"/>
      <c r="D7" s="703"/>
      <c r="E7" s="704">
        <f t="shared" si="0"/>
        <v>0</v>
      </c>
      <c r="F7" s="703"/>
      <c r="G7" s="703"/>
      <c r="H7" s="705">
        <f t="shared" si="1"/>
        <v>0</v>
      </c>
    </row>
    <row r="8" spans="1:8" ht="15.75">
      <c r="A8" s="672">
        <v>3</v>
      </c>
      <c r="B8" s="712" t="s">
        <v>168</v>
      </c>
      <c r="C8" s="706">
        <f>C9+C10</f>
        <v>179129773.12</v>
      </c>
      <c r="D8" s="707">
        <f>D9+D10</f>
        <v>168275785.81664398</v>
      </c>
      <c r="E8" s="704">
        <f t="shared" si="0"/>
        <v>347405558.93664396</v>
      </c>
      <c r="F8" s="707">
        <f>F9+F10</f>
        <v>200146770.3504422</v>
      </c>
      <c r="G8" s="707">
        <f>G9+G10</f>
        <v>154916107.81228399</v>
      </c>
      <c r="H8" s="705">
        <f t="shared" si="1"/>
        <v>355062878.16272616</v>
      </c>
    </row>
    <row r="9" spans="1:8" ht="15.75">
      <c r="A9" s="672">
        <v>3.1</v>
      </c>
      <c r="B9" s="713" t="s">
        <v>781</v>
      </c>
      <c r="C9" s="702">
        <v>111026304.46000002</v>
      </c>
      <c r="D9" s="703">
        <v>121339642.999338</v>
      </c>
      <c r="E9" s="704">
        <f t="shared" si="0"/>
        <v>232365947.45933801</v>
      </c>
      <c r="F9" s="703">
        <v>123228439.12044221</v>
      </c>
      <c r="G9" s="703">
        <v>94386651.430245996</v>
      </c>
      <c r="H9" s="705">
        <f t="shared" si="1"/>
        <v>217615090.55068821</v>
      </c>
    </row>
    <row r="10" spans="1:8" ht="15.75">
      <c r="A10" s="672">
        <v>3.2</v>
      </c>
      <c r="B10" s="713" t="s">
        <v>782</v>
      </c>
      <c r="C10" s="702">
        <v>68103468.659999996</v>
      </c>
      <c r="D10" s="703">
        <v>46936142.81730599</v>
      </c>
      <c r="E10" s="704">
        <f t="shared" si="0"/>
        <v>115039611.47730598</v>
      </c>
      <c r="F10" s="703">
        <v>76918331.229999989</v>
      </c>
      <c r="G10" s="703">
        <v>60529456.382037997</v>
      </c>
      <c r="H10" s="705">
        <f t="shared" si="1"/>
        <v>137447787.61203799</v>
      </c>
    </row>
    <row r="11" spans="1:8" ht="15.75">
      <c r="A11" s="672">
        <v>4</v>
      </c>
      <c r="B11" s="712" t="s">
        <v>167</v>
      </c>
      <c r="C11" s="706">
        <f>C12+C13</f>
        <v>0</v>
      </c>
      <c r="D11" s="707">
        <f>D12+D13</f>
        <v>0</v>
      </c>
      <c r="E11" s="704">
        <f t="shared" si="0"/>
        <v>0</v>
      </c>
      <c r="F11" s="707">
        <f>F12+F13</f>
        <v>34118000</v>
      </c>
      <c r="G11" s="707">
        <f>G12+G13</f>
        <v>0</v>
      </c>
      <c r="H11" s="705">
        <f t="shared" si="1"/>
        <v>34118000</v>
      </c>
    </row>
    <row r="12" spans="1:8" ht="15.75">
      <c r="A12" s="672">
        <v>4.0999999999999996</v>
      </c>
      <c r="B12" s="713" t="s">
        <v>783</v>
      </c>
      <c r="C12" s="702">
        <v>0</v>
      </c>
      <c r="D12" s="703"/>
      <c r="E12" s="704">
        <f t="shared" si="0"/>
        <v>0</v>
      </c>
      <c r="F12" s="703">
        <v>34118000</v>
      </c>
      <c r="G12" s="703"/>
      <c r="H12" s="705">
        <f t="shared" si="1"/>
        <v>34118000</v>
      </c>
    </row>
    <row r="13" spans="1:8" ht="15.75">
      <c r="A13" s="672">
        <v>4.2</v>
      </c>
      <c r="B13" s="713" t="s">
        <v>784</v>
      </c>
      <c r="C13" s="702"/>
      <c r="D13" s="703"/>
      <c r="E13" s="704">
        <f t="shared" si="0"/>
        <v>0</v>
      </c>
      <c r="F13" s="703"/>
      <c r="G13" s="703"/>
      <c r="H13" s="705">
        <f t="shared" si="1"/>
        <v>0</v>
      </c>
    </row>
    <row r="14" spans="1:8" ht="15.75">
      <c r="A14" s="672">
        <v>5</v>
      </c>
      <c r="B14" s="714" t="s">
        <v>785</v>
      </c>
      <c r="C14" s="706">
        <f>C15+C16+C17+C23+C24+C25+C26</f>
        <v>15832082.4</v>
      </c>
      <c r="D14" s="707">
        <f>D15+D16+D17+D23+D24+D25+D26</f>
        <v>300916733.04201114</v>
      </c>
      <c r="E14" s="704">
        <f t="shared" si="0"/>
        <v>316748815.44201112</v>
      </c>
      <c r="F14" s="707">
        <f>F15+F16+F17+F23+F24+F25+F26</f>
        <v>7565968.0651499974</v>
      </c>
      <c r="G14" s="707">
        <f>G15+G16+G17+G23+G24+G25+G26</f>
        <v>318292580.65400529</v>
      </c>
      <c r="H14" s="705">
        <f t="shared" si="1"/>
        <v>325858548.71915531</v>
      </c>
    </row>
    <row r="15" spans="1:8" ht="15.75">
      <c r="A15" s="672">
        <v>5.0999999999999996</v>
      </c>
      <c r="B15" s="715" t="s">
        <v>786</v>
      </c>
      <c r="C15" s="702">
        <v>15832082.4</v>
      </c>
      <c r="D15" s="703">
        <v>17797208.589226</v>
      </c>
      <c r="E15" s="704">
        <f t="shared" si="0"/>
        <v>33629290.989225999</v>
      </c>
      <c r="F15" s="703">
        <v>7565968.0651499974</v>
      </c>
      <c r="G15" s="703">
        <v>17075057.173148289</v>
      </c>
      <c r="H15" s="705">
        <f t="shared" si="1"/>
        <v>24641025.238298286</v>
      </c>
    </row>
    <row r="16" spans="1:8" ht="15.75">
      <c r="A16" s="672">
        <v>5.2</v>
      </c>
      <c r="B16" s="715" t="s">
        <v>787</v>
      </c>
      <c r="C16" s="702"/>
      <c r="D16" s="703"/>
      <c r="E16" s="704">
        <f t="shared" si="0"/>
        <v>0</v>
      </c>
      <c r="F16" s="703"/>
      <c r="G16" s="703"/>
      <c r="H16" s="705">
        <f t="shared" si="1"/>
        <v>0</v>
      </c>
    </row>
    <row r="17" spans="1:8" ht="15.75">
      <c r="A17" s="672">
        <v>5.3</v>
      </c>
      <c r="B17" s="715" t="s">
        <v>788</v>
      </c>
      <c r="C17" s="706">
        <f>C18+C19+C20+C21+C22</f>
        <v>0</v>
      </c>
      <c r="D17" s="707">
        <f>D18+D19+D20+D21+D22</f>
        <v>248041806.0527851</v>
      </c>
      <c r="E17" s="704">
        <f t="shared" si="0"/>
        <v>248041806.0527851</v>
      </c>
      <c r="F17" s="706">
        <f>F18+F19+F20+F21+F22</f>
        <v>0</v>
      </c>
      <c r="G17" s="707">
        <f>G18+G19+G20+G21+G22</f>
        <v>279154234.69604516</v>
      </c>
      <c r="H17" s="705">
        <f t="shared" si="1"/>
        <v>279154234.69604516</v>
      </c>
    </row>
    <row r="18" spans="1:8" ht="15.75">
      <c r="A18" s="672" t="s">
        <v>169</v>
      </c>
      <c r="B18" s="716" t="s">
        <v>789</v>
      </c>
      <c r="C18" s="702"/>
      <c r="D18" s="703">
        <v>22972163.498270214</v>
      </c>
      <c r="E18" s="704">
        <f t="shared" si="0"/>
        <v>22972163.498270214</v>
      </c>
      <c r="F18" s="703"/>
      <c r="G18" s="703">
        <v>27270577.187456656</v>
      </c>
      <c r="H18" s="705">
        <f t="shared" si="1"/>
        <v>27270577.187456656</v>
      </c>
    </row>
    <row r="19" spans="1:8" ht="15.75">
      <c r="A19" s="672" t="s">
        <v>170</v>
      </c>
      <c r="B19" s="717" t="s">
        <v>790</v>
      </c>
      <c r="C19" s="702"/>
      <c r="D19" s="703">
        <v>141663274.62037256</v>
      </c>
      <c r="E19" s="704">
        <f t="shared" si="0"/>
        <v>141663274.62037256</v>
      </c>
      <c r="F19" s="703"/>
      <c r="G19" s="703">
        <v>168842877.71157059</v>
      </c>
      <c r="H19" s="705">
        <f t="shared" si="1"/>
        <v>168842877.71157059</v>
      </c>
    </row>
    <row r="20" spans="1:8" ht="15.75">
      <c r="A20" s="672" t="s">
        <v>171</v>
      </c>
      <c r="B20" s="717" t="s">
        <v>791</v>
      </c>
      <c r="C20" s="702"/>
      <c r="D20" s="703">
        <v>140530.30917445355</v>
      </c>
      <c r="E20" s="704">
        <f t="shared" si="0"/>
        <v>140530.30917445355</v>
      </c>
      <c r="F20" s="703"/>
      <c r="G20" s="703">
        <v>167492.54081762713</v>
      </c>
      <c r="H20" s="705">
        <f t="shared" si="1"/>
        <v>167492.54081762713</v>
      </c>
    </row>
    <row r="21" spans="1:8" ht="15.75">
      <c r="A21" s="672" t="s">
        <v>172</v>
      </c>
      <c r="B21" s="717" t="s">
        <v>792</v>
      </c>
      <c r="C21" s="702"/>
      <c r="D21" s="703">
        <v>83265837.624967888</v>
      </c>
      <c r="E21" s="704">
        <f t="shared" si="0"/>
        <v>83265837.624967888</v>
      </c>
      <c r="F21" s="703"/>
      <c r="G21" s="703">
        <v>82873287.256200284</v>
      </c>
      <c r="H21" s="705">
        <f t="shared" si="1"/>
        <v>82873287.256200284</v>
      </c>
    </row>
    <row r="22" spans="1:8" ht="15.75">
      <c r="A22" s="672" t="s">
        <v>173</v>
      </c>
      <c r="B22" s="717" t="s">
        <v>510</v>
      </c>
      <c r="C22" s="702"/>
      <c r="D22" s="703">
        <v>0</v>
      </c>
      <c r="E22" s="704">
        <f t="shared" si="0"/>
        <v>0</v>
      </c>
      <c r="F22" s="703"/>
      <c r="G22" s="703">
        <v>0</v>
      </c>
      <c r="H22" s="705">
        <f t="shared" si="1"/>
        <v>0</v>
      </c>
    </row>
    <row r="23" spans="1:8" ht="15.75">
      <c r="A23" s="672">
        <v>5.4</v>
      </c>
      <c r="B23" s="715" t="s">
        <v>793</v>
      </c>
      <c r="C23" s="702"/>
      <c r="D23" s="703">
        <v>821818.39999999991</v>
      </c>
      <c r="E23" s="704">
        <f t="shared" si="0"/>
        <v>821818.39999999991</v>
      </c>
      <c r="F23" s="703"/>
      <c r="G23" s="703">
        <v>16382663.927371485</v>
      </c>
      <c r="H23" s="705">
        <f t="shared" si="1"/>
        <v>16382663.927371485</v>
      </c>
    </row>
    <row r="24" spans="1:8" ht="15.75">
      <c r="A24" s="672">
        <v>5.5</v>
      </c>
      <c r="B24" s="715" t="s">
        <v>794</v>
      </c>
      <c r="C24" s="702"/>
      <c r="D24" s="703">
        <v>0</v>
      </c>
      <c r="E24" s="704">
        <f t="shared" si="0"/>
        <v>0</v>
      </c>
      <c r="F24" s="703"/>
      <c r="G24" s="703">
        <v>0</v>
      </c>
      <c r="H24" s="705">
        <f t="shared" si="1"/>
        <v>0</v>
      </c>
    </row>
    <row r="25" spans="1:8" ht="15.75">
      <c r="A25" s="672">
        <v>5.6</v>
      </c>
      <c r="B25" s="715" t="s">
        <v>795</v>
      </c>
      <c r="C25" s="702"/>
      <c r="D25" s="703">
        <v>0</v>
      </c>
      <c r="E25" s="704">
        <f t="shared" si="0"/>
        <v>0</v>
      </c>
      <c r="F25" s="703"/>
      <c r="G25" s="703">
        <v>0</v>
      </c>
      <c r="H25" s="705">
        <f t="shared" si="1"/>
        <v>0</v>
      </c>
    </row>
    <row r="26" spans="1:8" ht="15.75">
      <c r="A26" s="672">
        <v>5.7</v>
      </c>
      <c r="B26" s="715" t="s">
        <v>510</v>
      </c>
      <c r="C26" s="702"/>
      <c r="D26" s="703">
        <v>34255900</v>
      </c>
      <c r="E26" s="704">
        <f t="shared" si="0"/>
        <v>34255900</v>
      </c>
      <c r="F26" s="703"/>
      <c r="G26" s="703">
        <v>5680624.8574403506</v>
      </c>
      <c r="H26" s="705">
        <f t="shared" si="1"/>
        <v>5680624.8574403506</v>
      </c>
    </row>
    <row r="27" spans="1:8" ht="15.75">
      <c r="A27" s="672">
        <v>6</v>
      </c>
      <c r="B27" s="714" t="s">
        <v>796</v>
      </c>
      <c r="C27" s="702"/>
      <c r="D27" s="703"/>
      <c r="E27" s="704">
        <f t="shared" si="0"/>
        <v>0</v>
      </c>
      <c r="F27" s="703">
        <v>0</v>
      </c>
      <c r="G27" s="703">
        <v>0</v>
      </c>
      <c r="H27" s="705">
        <f t="shared" si="1"/>
        <v>0</v>
      </c>
    </row>
    <row r="28" spans="1:8" ht="15.75">
      <c r="A28" s="672">
        <v>7</v>
      </c>
      <c r="B28" s="714" t="s">
        <v>797</v>
      </c>
      <c r="C28" s="702">
        <v>71408009.739999995</v>
      </c>
      <c r="D28" s="703">
        <v>53265570.311651006</v>
      </c>
      <c r="E28" s="704">
        <f t="shared" si="0"/>
        <v>124673580.051651</v>
      </c>
      <c r="F28" s="703">
        <v>81699575.260000005</v>
      </c>
      <c r="G28" s="703">
        <v>78480318.115577996</v>
      </c>
      <c r="H28" s="705">
        <f t="shared" si="1"/>
        <v>160179893.37557799</v>
      </c>
    </row>
    <row r="29" spans="1:8" ht="15.75">
      <c r="A29" s="672">
        <v>8</v>
      </c>
      <c r="B29" s="714" t="s">
        <v>798</v>
      </c>
      <c r="C29" s="702"/>
      <c r="D29" s="703"/>
      <c r="E29" s="704">
        <f t="shared" si="0"/>
        <v>0</v>
      </c>
      <c r="F29" s="703"/>
      <c r="G29" s="703">
        <v>0</v>
      </c>
      <c r="H29" s="705">
        <f t="shared" si="1"/>
        <v>0</v>
      </c>
    </row>
    <row r="30" spans="1:8" ht="15.75">
      <c r="A30" s="672">
        <v>9</v>
      </c>
      <c r="B30" s="712" t="s">
        <v>174</v>
      </c>
      <c r="C30" s="702">
        <f>C31+C32+C33+C34+C35+C36+C37</f>
        <v>0</v>
      </c>
      <c r="D30" s="703">
        <f>D31+D32+D33+D34+D35+D36+D37</f>
        <v>0</v>
      </c>
      <c r="E30" s="704">
        <f t="shared" si="0"/>
        <v>0</v>
      </c>
      <c r="F30" s="703">
        <f>F31+F32+F33+F34+F35+F36+F37</f>
        <v>0</v>
      </c>
      <c r="G30" s="703">
        <f>G31+G32+G33+G34+G35+G36+G37</f>
        <v>0</v>
      </c>
      <c r="H30" s="705">
        <f t="shared" si="1"/>
        <v>0</v>
      </c>
    </row>
    <row r="31" spans="1:8" ht="25.5">
      <c r="A31" s="672">
        <v>9.1</v>
      </c>
      <c r="B31" s="713" t="s">
        <v>799</v>
      </c>
      <c r="C31" s="702"/>
      <c r="D31" s="703"/>
      <c r="E31" s="704">
        <f t="shared" si="0"/>
        <v>0</v>
      </c>
      <c r="F31" s="703"/>
      <c r="G31" s="703"/>
      <c r="H31" s="705">
        <f t="shared" si="1"/>
        <v>0</v>
      </c>
    </row>
    <row r="32" spans="1:8" ht="25.5">
      <c r="A32" s="672">
        <v>9.1999999999999993</v>
      </c>
      <c r="B32" s="713" t="s">
        <v>800</v>
      </c>
      <c r="C32" s="702"/>
      <c r="D32" s="703"/>
      <c r="E32" s="704">
        <f t="shared" si="0"/>
        <v>0</v>
      </c>
      <c r="F32" s="703"/>
      <c r="G32" s="703"/>
      <c r="H32" s="705">
        <f t="shared" si="1"/>
        <v>0</v>
      </c>
    </row>
    <row r="33" spans="1:8" ht="15.75">
      <c r="A33" s="672">
        <v>9.3000000000000007</v>
      </c>
      <c r="B33" s="713" t="s">
        <v>801</v>
      </c>
      <c r="C33" s="702"/>
      <c r="D33" s="703"/>
      <c r="E33" s="704">
        <f t="shared" si="0"/>
        <v>0</v>
      </c>
      <c r="F33" s="703"/>
      <c r="G33" s="703"/>
      <c r="H33" s="705">
        <f t="shared" si="1"/>
        <v>0</v>
      </c>
    </row>
    <row r="34" spans="1:8" ht="15.75">
      <c r="A34" s="672">
        <v>9.4</v>
      </c>
      <c r="B34" s="713" t="s">
        <v>802</v>
      </c>
      <c r="C34" s="702"/>
      <c r="D34" s="703"/>
      <c r="E34" s="704">
        <f t="shared" si="0"/>
        <v>0</v>
      </c>
      <c r="F34" s="703"/>
      <c r="G34" s="703"/>
      <c r="H34" s="705">
        <f t="shared" si="1"/>
        <v>0</v>
      </c>
    </row>
    <row r="35" spans="1:8" ht="15.75">
      <c r="A35" s="672">
        <v>9.5</v>
      </c>
      <c r="B35" s="713" t="s">
        <v>803</v>
      </c>
      <c r="C35" s="702"/>
      <c r="D35" s="703"/>
      <c r="E35" s="704">
        <f t="shared" si="0"/>
        <v>0</v>
      </c>
      <c r="F35" s="703"/>
      <c r="G35" s="703"/>
      <c r="H35" s="705">
        <f t="shared" si="1"/>
        <v>0</v>
      </c>
    </row>
    <row r="36" spans="1:8" ht="25.5">
      <c r="A36" s="672">
        <v>9.6</v>
      </c>
      <c r="B36" s="713" t="s">
        <v>804</v>
      </c>
      <c r="C36" s="702"/>
      <c r="D36" s="703"/>
      <c r="E36" s="704">
        <f t="shared" si="0"/>
        <v>0</v>
      </c>
      <c r="F36" s="703"/>
      <c r="G36" s="703"/>
      <c r="H36" s="705">
        <f t="shared" si="1"/>
        <v>0</v>
      </c>
    </row>
    <row r="37" spans="1:8" ht="25.5">
      <c r="A37" s="672">
        <v>9.6999999999999993</v>
      </c>
      <c r="B37" s="713" t="s">
        <v>805</v>
      </c>
      <c r="C37" s="702"/>
      <c r="D37" s="703"/>
      <c r="E37" s="704">
        <f t="shared" si="0"/>
        <v>0</v>
      </c>
      <c r="F37" s="703"/>
      <c r="G37" s="703"/>
      <c r="H37" s="705">
        <f t="shared" si="1"/>
        <v>0</v>
      </c>
    </row>
    <row r="38" spans="1:8" ht="15.75">
      <c r="A38" s="672">
        <v>10</v>
      </c>
      <c r="B38" s="718" t="s">
        <v>806</v>
      </c>
      <c r="C38" s="702">
        <f>C41+C42</f>
        <v>0</v>
      </c>
      <c r="D38" s="703">
        <f>D41+D42</f>
        <v>0</v>
      </c>
      <c r="E38" s="704">
        <f t="shared" si="0"/>
        <v>0</v>
      </c>
      <c r="F38" s="703">
        <f>F41+F42</f>
        <v>0</v>
      </c>
      <c r="G38" s="703">
        <f>G41+G42</f>
        <v>0</v>
      </c>
      <c r="H38" s="705">
        <f t="shared" si="1"/>
        <v>0</v>
      </c>
    </row>
    <row r="39" spans="1:8" ht="15.75">
      <c r="A39" s="672">
        <v>10.1</v>
      </c>
      <c r="B39" s="713" t="s">
        <v>807</v>
      </c>
      <c r="C39" s="702"/>
      <c r="D39" s="703"/>
      <c r="E39" s="704">
        <f t="shared" si="0"/>
        <v>0</v>
      </c>
      <c r="F39" s="703"/>
      <c r="G39" s="703"/>
      <c r="H39" s="705">
        <f t="shared" si="1"/>
        <v>0</v>
      </c>
    </row>
    <row r="40" spans="1:8" ht="25.5">
      <c r="A40" s="672">
        <v>10.199999999999999</v>
      </c>
      <c r="B40" s="713" t="s">
        <v>808</v>
      </c>
      <c r="C40" s="702"/>
      <c r="D40" s="703"/>
      <c r="E40" s="704">
        <f t="shared" si="0"/>
        <v>0</v>
      </c>
      <c r="F40" s="703"/>
      <c r="G40" s="703"/>
      <c r="H40" s="705">
        <f t="shared" si="1"/>
        <v>0</v>
      </c>
    </row>
    <row r="41" spans="1:8" ht="25.5">
      <c r="A41" s="672">
        <v>10.3</v>
      </c>
      <c r="B41" s="713" t="s">
        <v>809</v>
      </c>
      <c r="C41" s="702"/>
      <c r="D41" s="703"/>
      <c r="E41" s="704">
        <f t="shared" si="0"/>
        <v>0</v>
      </c>
      <c r="F41" s="703"/>
      <c r="G41" s="703"/>
      <c r="H41" s="705">
        <f t="shared" si="1"/>
        <v>0</v>
      </c>
    </row>
    <row r="42" spans="1:8" ht="25.5">
      <c r="A42" s="672">
        <v>10.4</v>
      </c>
      <c r="B42" s="713" t="s">
        <v>810</v>
      </c>
      <c r="C42" s="702"/>
      <c r="D42" s="703"/>
      <c r="E42" s="704">
        <f t="shared" si="0"/>
        <v>0</v>
      </c>
      <c r="F42" s="703"/>
      <c r="G42" s="703"/>
      <c r="H42" s="705">
        <f t="shared" si="1"/>
        <v>0</v>
      </c>
    </row>
    <row r="43" spans="1:8" ht="16.5" thickBot="1">
      <c r="A43" s="681">
        <v>11</v>
      </c>
      <c r="B43" s="719" t="s">
        <v>175</v>
      </c>
      <c r="C43" s="708"/>
      <c r="D43" s="709"/>
      <c r="E43" s="710">
        <f t="shared" si="0"/>
        <v>0</v>
      </c>
      <c r="F43" s="709"/>
      <c r="G43" s="709"/>
      <c r="H43" s="711">
        <f t="shared" si="1"/>
        <v>0</v>
      </c>
    </row>
    <row r="44" spans="1:8" ht="15.75">
      <c r="C44" s="354"/>
      <c r="D44" s="354"/>
      <c r="E44" s="354"/>
      <c r="F44" s="354"/>
      <c r="G44" s="354"/>
      <c r="H44" s="354"/>
    </row>
    <row r="45" spans="1:8" ht="15.75">
      <c r="C45" s="354"/>
      <c r="D45" s="354"/>
      <c r="E45" s="354"/>
      <c r="F45" s="354"/>
      <c r="G45" s="354"/>
      <c r="H45" s="354"/>
    </row>
    <row r="46" spans="1:8" ht="15.75">
      <c r="C46" s="354"/>
      <c r="D46" s="354"/>
      <c r="E46" s="354"/>
      <c r="F46" s="354"/>
      <c r="G46" s="354"/>
      <c r="H46" s="354"/>
    </row>
    <row r="47" spans="1:8" ht="15.75">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3" style="2" bestFit="1" customWidth="1"/>
    <col min="5" max="7" width="13" style="12" bestFit="1" customWidth="1"/>
    <col min="8" max="11" width="9.85546875" style="12" customWidth="1"/>
    <col min="12" max="16384" width="9.140625" style="12"/>
  </cols>
  <sheetData>
    <row r="1" spans="1:8" ht="15">
      <c r="A1" s="17" t="s">
        <v>97</v>
      </c>
      <c r="B1" s="605" t="str">
        <f>Info!C2</f>
        <v>სს იშბანკი საქართველო</v>
      </c>
      <c r="C1" s="16"/>
      <c r="D1" s="183"/>
    </row>
    <row r="2" spans="1:8" ht="15">
      <c r="A2" s="17" t="s">
        <v>98</v>
      </c>
      <c r="B2" s="606">
        <f>'1. key ratios'!B2</f>
        <v>46022</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732" t="str">
        <f>INT((MONTH($B$2))/3)&amp;"Q"&amp;"-"&amp;YEAR($B$2)</f>
        <v>4Q-2025</v>
      </c>
      <c r="D5" s="732" t="str">
        <f>IF(INT(MONTH($B$2))=3, "4"&amp;"Q"&amp;"-"&amp;YEAR($B$2)-1, IF(INT(MONTH($B$2))=6, "1"&amp;"Q"&amp;"-"&amp;YEAR($B$2), IF(INT(MONTH($B$2))=9, "2"&amp;"Q"&amp;"-"&amp;YEAR($B$2),IF(INT(MONTH($B$2))=12, "3"&amp;"Q"&amp;"-"&amp;YEAR($B$2), 0))))</f>
        <v>3Q-2025</v>
      </c>
      <c r="E5" s="732" t="str">
        <f>IF(INT(MONTH($B$2))=3, "3"&amp;"Q"&amp;"-"&amp;YEAR($B$2)-1, IF(INT(MONTH($B$2))=6, "4"&amp;"Q"&amp;"-"&amp;YEAR($B$2)-1, IF(INT(MONTH($B$2))=9, "1"&amp;"Q"&amp;"-"&amp;YEAR($B$2),IF(INT(MONTH($B$2))=12, "2"&amp;"Q"&amp;"-"&amp;YEAR($B$2), 0))))</f>
        <v>2Q-2025</v>
      </c>
      <c r="F5" s="732" t="str">
        <f>IF(INT(MONTH($B$2))=3, "2"&amp;"Q"&amp;"-"&amp;YEAR($B$2)-1, IF(INT(MONTH($B$2))=6, "3"&amp;"Q"&amp;"-"&amp;YEAR($B$2)-1, IF(INT(MONTH($B$2))=9, "4"&amp;"Q"&amp;"-"&amp;YEAR($B$2)-1,IF(INT(MONTH($B$2))=12, "1"&amp;"Q"&amp;"-"&amp;YEAR($B$2), 0))))</f>
        <v>1Q-2025</v>
      </c>
      <c r="G5" s="733" t="str">
        <f>IF(INT(MONTH($B$2))=3, "1"&amp;"Q"&amp;"-"&amp;YEAR($B$2)-1, IF(INT(MONTH($B$2))=6, "2"&amp;"Q"&amp;"-"&amp;YEAR($B$2)-1, IF(INT(MONTH($B$2))=9, "3"&amp;"Q"&amp;"-"&amp;YEAR($B$2)-1,IF(INT(MONTH($B$2))=12, "4"&amp;"Q"&amp;"-"&amp;YEAR($B$2)-1, 0))))</f>
        <v>4Q-2024</v>
      </c>
    </row>
    <row r="6" spans="1:8" ht="15" customHeight="1">
      <c r="A6" s="219">
        <v>1</v>
      </c>
      <c r="B6" s="245" t="s">
        <v>101</v>
      </c>
      <c r="C6" s="720">
        <f>C7+C9+C10</f>
        <v>556651805.38489139</v>
      </c>
      <c r="D6" s="721">
        <f>D7+D9+D10</f>
        <v>495180422.13931096</v>
      </c>
      <c r="E6" s="721">
        <f t="shared" ref="E6:G6" si="0">E7+E9+E10</f>
        <v>505917951.13855386</v>
      </c>
      <c r="F6" s="721">
        <f t="shared" si="0"/>
        <v>495692457.84769219</v>
      </c>
      <c r="G6" s="722">
        <f t="shared" si="0"/>
        <v>505920620.41776514</v>
      </c>
    </row>
    <row r="7" spans="1:8" ht="15" customHeight="1">
      <c r="A7" s="219">
        <v>1.1000000000000001</v>
      </c>
      <c r="B7" s="220" t="s">
        <v>995</v>
      </c>
      <c r="C7" s="723">
        <v>504657306.25702816</v>
      </c>
      <c r="D7" s="724">
        <v>438159784.73657387</v>
      </c>
      <c r="E7" s="724">
        <v>444921989.91934627</v>
      </c>
      <c r="F7" s="724">
        <v>431850751.88500565</v>
      </c>
      <c r="G7" s="725">
        <v>436667818.09710544</v>
      </c>
    </row>
    <row r="8" spans="1:8" ht="25.5">
      <c r="A8" s="219" t="s">
        <v>146</v>
      </c>
      <c r="B8" s="221" t="s">
        <v>239</v>
      </c>
      <c r="C8" s="723"/>
      <c r="D8" s="724"/>
      <c r="E8" s="724"/>
      <c r="F8" s="724"/>
      <c r="G8" s="725"/>
    </row>
    <row r="9" spans="1:8" ht="15" customHeight="1">
      <c r="A9" s="219">
        <v>1.2</v>
      </c>
      <c r="B9" s="220" t="s">
        <v>21</v>
      </c>
      <c r="C9" s="723">
        <v>51994499.127863191</v>
      </c>
      <c r="D9" s="724">
        <v>57020637.402737074</v>
      </c>
      <c r="E9" s="724">
        <v>60995961.219207585</v>
      </c>
      <c r="F9" s="724">
        <v>63841705.962686554</v>
      </c>
      <c r="G9" s="725">
        <v>69252802.320659697</v>
      </c>
    </row>
    <row r="10" spans="1:8" ht="15" customHeight="1">
      <c r="A10" s="219">
        <v>1.3</v>
      </c>
      <c r="B10" s="246" t="s">
        <v>73</v>
      </c>
      <c r="C10" s="726"/>
      <c r="D10" s="724"/>
      <c r="E10" s="727"/>
      <c r="F10" s="724"/>
      <c r="G10" s="728"/>
    </row>
    <row r="11" spans="1:8" ht="15" customHeight="1">
      <c r="A11" s="219">
        <v>2</v>
      </c>
      <c r="B11" s="245" t="s">
        <v>102</v>
      </c>
      <c r="C11" s="723">
        <v>2763060.409011994</v>
      </c>
      <c r="D11" s="724">
        <v>1563936.2768800729</v>
      </c>
      <c r="E11" s="724">
        <v>1695701.399041055</v>
      </c>
      <c r="F11" s="724">
        <v>9404774.7338500712</v>
      </c>
      <c r="G11" s="725">
        <v>2918293.1334402016</v>
      </c>
    </row>
    <row r="12" spans="1:8" ht="15" customHeight="1">
      <c r="A12" s="231">
        <v>3</v>
      </c>
      <c r="B12" s="247" t="s">
        <v>100</v>
      </c>
      <c r="C12" s="726">
        <v>55694820.363404706</v>
      </c>
      <c r="D12" s="724">
        <v>53560166.794155389</v>
      </c>
      <c r="E12" s="727">
        <v>53560166.794155389</v>
      </c>
      <c r="F12" s="724">
        <v>53560166.794155389</v>
      </c>
      <c r="G12" s="728">
        <v>53560166.794155389</v>
      </c>
    </row>
    <row r="13" spans="1:8" ht="15" customHeight="1" thickBot="1">
      <c r="A13" s="73">
        <v>4</v>
      </c>
      <c r="B13" s="248" t="s">
        <v>147</v>
      </c>
      <c r="C13" s="729">
        <f>C6+C11+C12</f>
        <v>615109686.1573081</v>
      </c>
      <c r="D13" s="730">
        <f>D6+D11+D12</f>
        <v>550304525.21034646</v>
      </c>
      <c r="E13" s="730">
        <f t="shared" ref="E13:G13" si="1">E6+E11+E12</f>
        <v>561173819.33175027</v>
      </c>
      <c r="F13" s="730">
        <f t="shared" si="1"/>
        <v>558657399.37569761</v>
      </c>
      <c r="G13" s="731">
        <f t="shared" si="1"/>
        <v>562399080.34536076</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140625" style="2" customWidth="1"/>
  </cols>
  <sheetData>
    <row r="1" spans="1:8">
      <c r="A1" s="2" t="s">
        <v>97</v>
      </c>
      <c r="B1" s="605" t="str">
        <f>Info!C2</f>
        <v>სს იშბანკი საქართველო</v>
      </c>
    </row>
    <row r="2" spans="1:8">
      <c r="A2" s="2" t="s">
        <v>98</v>
      </c>
      <c r="B2" s="606">
        <f>'1. key ratios'!B2</f>
        <v>46022</v>
      </c>
    </row>
    <row r="4" spans="1:8" ht="30.75" thickBot="1">
      <c r="A4" s="143" t="s">
        <v>243</v>
      </c>
      <c r="B4" s="30" t="s">
        <v>80</v>
      </c>
      <c r="C4" s="13"/>
    </row>
    <row r="5" spans="1:8" ht="15.75">
      <c r="A5" s="10"/>
      <c r="B5" s="240" t="s">
        <v>81</v>
      </c>
      <c r="C5" s="252" t="s">
        <v>419</v>
      </c>
    </row>
    <row r="6" spans="1:8">
      <c r="A6" s="14">
        <v>1</v>
      </c>
      <c r="B6" s="31" t="s">
        <v>1001</v>
      </c>
      <c r="C6" s="249" t="s">
        <v>1004</v>
      </c>
    </row>
    <row r="7" spans="1:8">
      <c r="A7" s="14">
        <v>2</v>
      </c>
      <c r="B7" s="31" t="s">
        <v>1010</v>
      </c>
      <c r="C7" s="249" t="s">
        <v>1005</v>
      </c>
    </row>
    <row r="8" spans="1:8">
      <c r="A8" s="14">
        <v>3</v>
      </c>
      <c r="B8" s="31" t="s">
        <v>1006</v>
      </c>
      <c r="C8" s="249" t="s">
        <v>1005</v>
      </c>
    </row>
    <row r="9" spans="1:8">
      <c r="A9" s="14">
        <v>4</v>
      </c>
      <c r="B9" s="31" t="s">
        <v>1027</v>
      </c>
      <c r="C9" s="249" t="s">
        <v>1005</v>
      </c>
    </row>
    <row r="10" spans="1:8">
      <c r="A10" s="14">
        <v>5</v>
      </c>
      <c r="B10" s="31" t="s">
        <v>1007</v>
      </c>
      <c r="C10" s="249" t="s">
        <v>1008</v>
      </c>
    </row>
    <row r="11" spans="1:8">
      <c r="A11" s="14">
        <v>6</v>
      </c>
      <c r="B11" s="31" t="s">
        <v>1009</v>
      </c>
      <c r="C11" s="249" t="s">
        <v>1008</v>
      </c>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927"/>
      <c r="C16" s="928"/>
    </row>
    <row r="17" spans="1:3" ht="60">
      <c r="A17" s="14"/>
      <c r="B17" s="241" t="s">
        <v>82</v>
      </c>
      <c r="C17" s="253" t="s">
        <v>420</v>
      </c>
    </row>
    <row r="18" spans="1:3" ht="15.75">
      <c r="A18" s="14">
        <v>1</v>
      </c>
      <c r="B18" s="26" t="s">
        <v>1002</v>
      </c>
      <c r="C18" s="250" t="s">
        <v>1011</v>
      </c>
    </row>
    <row r="19" spans="1:3" ht="15.75">
      <c r="A19" s="14">
        <v>2</v>
      </c>
      <c r="B19" s="26" t="s">
        <v>1012</v>
      </c>
      <c r="C19" s="250" t="s">
        <v>1013</v>
      </c>
    </row>
    <row r="20" spans="1:3" ht="15.75">
      <c r="A20" s="14">
        <v>3</v>
      </c>
      <c r="B20" s="26" t="s">
        <v>1014</v>
      </c>
      <c r="C20" s="250" t="s">
        <v>1013</v>
      </c>
    </row>
    <row r="21" spans="1:3" ht="15.75">
      <c r="A21" s="14">
        <v>4</v>
      </c>
      <c r="B21" s="26" t="s">
        <v>1015</v>
      </c>
      <c r="C21" s="250" t="s">
        <v>1016</v>
      </c>
    </row>
    <row r="22" spans="1:3" ht="15.75">
      <c r="A22" s="14">
        <v>5</v>
      </c>
      <c r="B22" s="26" t="s">
        <v>1017</v>
      </c>
      <c r="C22" s="250" t="s">
        <v>1018</v>
      </c>
    </row>
    <row r="23" spans="1:3" ht="15.75">
      <c r="A23" s="14">
        <v>6</v>
      </c>
      <c r="B23" s="26"/>
      <c r="C23" s="250"/>
    </row>
    <row r="24" spans="1:3" ht="15.75">
      <c r="A24" s="14">
        <v>7</v>
      </c>
      <c r="B24" s="26"/>
      <c r="C24" s="250"/>
    </row>
    <row r="25" spans="1:3" ht="15.75">
      <c r="A25" s="14">
        <v>8</v>
      </c>
      <c r="B25" s="26"/>
      <c r="C25" s="250"/>
    </row>
    <row r="26" spans="1:3" ht="15.75">
      <c r="A26" s="14">
        <v>9</v>
      </c>
      <c r="B26" s="26"/>
      <c r="C26" s="250"/>
    </row>
    <row r="27" spans="1:3" ht="15.75" customHeight="1">
      <c r="A27" s="14">
        <v>10</v>
      </c>
      <c r="B27" s="26"/>
      <c r="C27" s="251"/>
    </row>
    <row r="28" spans="1:3" ht="15.75" customHeight="1">
      <c r="A28" s="14"/>
      <c r="B28" s="26"/>
      <c r="C28" s="27"/>
    </row>
    <row r="29" spans="1:3" ht="30" customHeight="1">
      <c r="A29" s="14"/>
      <c r="B29" s="929" t="s">
        <v>83</v>
      </c>
      <c r="C29" s="930"/>
    </row>
    <row r="30" spans="1:3">
      <c r="A30" s="14">
        <v>1</v>
      </c>
      <c r="B30" s="31" t="s">
        <v>1019</v>
      </c>
      <c r="C30" s="734">
        <v>1</v>
      </c>
    </row>
    <row r="31" spans="1:3" ht="15.75" customHeight="1">
      <c r="A31" s="14"/>
      <c r="B31" s="31"/>
      <c r="C31" s="32"/>
    </row>
    <row r="32" spans="1:3" ht="29.25" customHeight="1">
      <c r="A32" s="14"/>
      <c r="B32" s="929" t="s">
        <v>163</v>
      </c>
      <c r="C32" s="930"/>
    </row>
    <row r="33" spans="1:3">
      <c r="A33" s="14">
        <v>1</v>
      </c>
      <c r="B33" s="31" t="s">
        <v>1020</v>
      </c>
      <c r="C33" s="735">
        <v>0.3866</v>
      </c>
    </row>
    <row r="34" spans="1:3" ht="16.5" thickBot="1">
      <c r="A34" s="15">
        <v>2</v>
      </c>
      <c r="B34" s="33" t="s">
        <v>1021</v>
      </c>
      <c r="C34" s="736">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605" t="str">
        <f>Info!C2</f>
        <v>სს იშბანკი საქართველო</v>
      </c>
    </row>
    <row r="2" spans="1:7" s="21" customFormat="1" ht="15.75" customHeight="1">
      <c r="A2" s="21" t="s">
        <v>98</v>
      </c>
      <c r="B2" s="606">
        <f>'1. key ratios'!B2</f>
        <v>46022</v>
      </c>
    </row>
    <row r="3" spans="1:7" s="21" customFormat="1" ht="15.75" customHeight="1"/>
    <row r="4" spans="1:7" s="21" customFormat="1" ht="15.75" customHeight="1" thickBot="1">
      <c r="A4" s="144" t="s">
        <v>244</v>
      </c>
      <c r="B4" s="145" t="s">
        <v>157</v>
      </c>
      <c r="C4" s="109"/>
      <c r="D4" s="109"/>
      <c r="E4" s="110" t="s">
        <v>76</v>
      </c>
    </row>
    <row r="5" spans="1:7" s="69" customFormat="1" ht="17.45" customHeight="1">
      <c r="A5" s="195"/>
      <c r="B5" s="196"/>
      <c r="C5" s="108" t="s">
        <v>0</v>
      </c>
      <c r="D5" s="108" t="s">
        <v>1</v>
      </c>
      <c r="E5" s="197" t="s">
        <v>2</v>
      </c>
    </row>
    <row r="6" spans="1:7" s="88" customFormat="1" ht="14.45" customHeight="1">
      <c r="A6" s="198"/>
      <c r="B6" s="931" t="s">
        <v>133</v>
      </c>
      <c r="C6" s="931" t="s">
        <v>824</v>
      </c>
      <c r="D6" s="932" t="s">
        <v>132</v>
      </c>
      <c r="E6" s="933"/>
      <c r="G6"/>
    </row>
    <row r="7" spans="1:7" s="88" customFormat="1" ht="99.6" customHeight="1">
      <c r="A7" s="198"/>
      <c r="B7" s="931"/>
      <c r="C7" s="931"/>
      <c r="D7" s="193" t="s">
        <v>131</v>
      </c>
      <c r="E7" s="194" t="s">
        <v>341</v>
      </c>
      <c r="G7"/>
    </row>
    <row r="8" spans="1:7" s="88" customFormat="1" ht="22.5" customHeight="1">
      <c r="A8" s="356">
        <v>1</v>
      </c>
      <c r="B8" s="324" t="s">
        <v>811</v>
      </c>
      <c r="C8" s="737">
        <f>SUM(C9:C11)</f>
        <v>207374912.80714548</v>
      </c>
      <c r="D8" s="738">
        <f>SUM(D9:D11)</f>
        <v>0</v>
      </c>
      <c r="E8" s="739">
        <f>SUM(E9:E11)</f>
        <v>207374912.80714548</v>
      </c>
      <c r="G8"/>
    </row>
    <row r="9" spans="1:7" s="88" customFormat="1">
      <c r="A9" s="356">
        <v>1.1000000000000001</v>
      </c>
      <c r="B9" s="325" t="s">
        <v>85</v>
      </c>
      <c r="C9" s="738">
        <f>'2. SOFP'!E8</f>
        <v>1117140.7106999999</v>
      </c>
      <c r="D9" s="738"/>
      <c r="E9" s="740">
        <f t="shared" ref="E9:E15" si="0">C9-D9</f>
        <v>1117140.7106999999</v>
      </c>
      <c r="G9"/>
    </row>
    <row r="10" spans="1:7" s="88" customFormat="1">
      <c r="A10" s="356">
        <v>1.2</v>
      </c>
      <c r="B10" s="325" t="s">
        <v>86</v>
      </c>
      <c r="C10" s="738">
        <f>'2. SOFP'!E9</f>
        <v>71963557.656065583</v>
      </c>
      <c r="D10" s="738"/>
      <c r="E10" s="740">
        <f t="shared" si="0"/>
        <v>71963557.656065583</v>
      </c>
      <c r="G10"/>
    </row>
    <row r="11" spans="1:7" s="88" customFormat="1">
      <c r="A11" s="356">
        <v>1.3</v>
      </c>
      <c r="B11" s="325" t="s">
        <v>87</v>
      </c>
      <c r="C11" s="738">
        <f>'2. SOFP'!E10</f>
        <v>134294214.44037989</v>
      </c>
      <c r="D11" s="738"/>
      <c r="E11" s="740">
        <f t="shared" si="0"/>
        <v>134294214.44037989</v>
      </c>
      <c r="G11"/>
    </row>
    <row r="12" spans="1:7" s="88" customFormat="1">
      <c r="A12" s="356">
        <v>2</v>
      </c>
      <c r="B12" s="326" t="s">
        <v>698</v>
      </c>
      <c r="C12" s="737">
        <f>'2. SOFP'!E11</f>
        <v>0</v>
      </c>
      <c r="D12" s="738"/>
      <c r="E12" s="740">
        <f t="shared" si="0"/>
        <v>0</v>
      </c>
      <c r="G12"/>
    </row>
    <row r="13" spans="1:7" s="88" customFormat="1" ht="21">
      <c r="A13" s="356">
        <v>2.1</v>
      </c>
      <c r="B13" s="327" t="s">
        <v>699</v>
      </c>
      <c r="C13" s="738">
        <f>'2. SOFP'!E12</f>
        <v>0</v>
      </c>
      <c r="D13" s="738"/>
      <c r="E13" s="740">
        <f t="shared" si="0"/>
        <v>0</v>
      </c>
      <c r="G13"/>
    </row>
    <row r="14" spans="1:7" s="88" customFormat="1" ht="33.950000000000003" customHeight="1">
      <c r="A14" s="356">
        <v>3</v>
      </c>
      <c r="B14" s="328" t="s">
        <v>700</v>
      </c>
      <c r="C14" s="737">
        <f>'2. SOFP'!E13</f>
        <v>0</v>
      </c>
      <c r="D14" s="738"/>
      <c r="E14" s="740">
        <f t="shared" si="0"/>
        <v>0</v>
      </c>
      <c r="G14"/>
    </row>
    <row r="15" spans="1:7" s="88" customFormat="1" ht="32.450000000000003" customHeight="1">
      <c r="A15" s="356">
        <v>4</v>
      </c>
      <c r="B15" s="329" t="s">
        <v>701</v>
      </c>
      <c r="C15" s="737">
        <f>'2. SOFP'!E14</f>
        <v>0</v>
      </c>
      <c r="D15" s="738"/>
      <c r="E15" s="740">
        <f t="shared" si="0"/>
        <v>0</v>
      </c>
      <c r="G15"/>
    </row>
    <row r="16" spans="1:7" s="88" customFormat="1" ht="23.1" customHeight="1">
      <c r="A16" s="356">
        <v>5</v>
      </c>
      <c r="B16" s="329" t="s">
        <v>702</v>
      </c>
      <c r="C16" s="737">
        <f>SUM(C17:C19)</f>
        <v>0</v>
      </c>
      <c r="D16" s="738">
        <f>SUM(D17:D19)</f>
        <v>0</v>
      </c>
      <c r="E16" s="739">
        <f>SUM(E17:E19)</f>
        <v>0</v>
      </c>
      <c r="G16"/>
    </row>
    <row r="17" spans="1:7" s="88" customFormat="1">
      <c r="A17" s="356">
        <v>5.0999999999999996</v>
      </c>
      <c r="B17" s="330" t="s">
        <v>703</v>
      </c>
      <c r="C17" s="738">
        <f>'2. SOFP'!E16</f>
        <v>0</v>
      </c>
      <c r="D17" s="738"/>
      <c r="E17" s="740">
        <f t="shared" ref="E17:E19" si="1">C17-D17</f>
        <v>0</v>
      </c>
      <c r="G17"/>
    </row>
    <row r="18" spans="1:7" s="88" customFormat="1">
      <c r="A18" s="356">
        <v>5.2</v>
      </c>
      <c r="B18" s="330" t="s">
        <v>538</v>
      </c>
      <c r="C18" s="738">
        <f>'2. SOFP'!E17</f>
        <v>0</v>
      </c>
      <c r="D18" s="738"/>
      <c r="E18" s="740">
        <f t="shared" si="1"/>
        <v>0</v>
      </c>
      <c r="G18"/>
    </row>
    <row r="19" spans="1:7" s="88" customFormat="1">
      <c r="A19" s="356">
        <v>5.3</v>
      </c>
      <c r="B19" s="330" t="s">
        <v>704</v>
      </c>
      <c r="C19" s="738">
        <f>'2. SOFP'!E18</f>
        <v>0</v>
      </c>
      <c r="D19" s="738"/>
      <c r="E19" s="740">
        <f t="shared" si="1"/>
        <v>0</v>
      </c>
      <c r="G19"/>
    </row>
    <row r="20" spans="1:7" s="88" customFormat="1" ht="21">
      <c r="A20" s="356">
        <v>6</v>
      </c>
      <c r="B20" s="328" t="s">
        <v>705</v>
      </c>
      <c r="C20" s="737">
        <f>SUM(C21:C22)</f>
        <v>406219517.6116612</v>
      </c>
      <c r="D20" s="738">
        <f>SUM(D21:D22)</f>
        <v>0</v>
      </c>
      <c r="E20" s="739">
        <f>SUM(E21:E22)</f>
        <v>406219517.6116612</v>
      </c>
      <c r="G20"/>
    </row>
    <row r="21" spans="1:7">
      <c r="A21" s="356">
        <v>6.1</v>
      </c>
      <c r="B21" s="330" t="s">
        <v>538</v>
      </c>
      <c r="C21" s="738">
        <f>'2. SOFP'!E20</f>
        <v>80161781.72397092</v>
      </c>
      <c r="D21" s="738"/>
      <c r="E21" s="740">
        <f t="shared" ref="E21:E24" si="2">C21-D21</f>
        <v>80161781.72397092</v>
      </c>
    </row>
    <row r="22" spans="1:7">
      <c r="A22" s="356">
        <v>6.2</v>
      </c>
      <c r="B22" s="330" t="s">
        <v>704</v>
      </c>
      <c r="C22" s="738">
        <f>'2. SOFP'!E21</f>
        <v>326057735.88769031</v>
      </c>
      <c r="D22" s="738"/>
      <c r="E22" s="740">
        <f t="shared" si="2"/>
        <v>326057735.88769031</v>
      </c>
    </row>
    <row r="23" spans="1:7" ht="21">
      <c r="A23" s="356">
        <v>7</v>
      </c>
      <c r="B23" s="331" t="s">
        <v>706</v>
      </c>
      <c r="C23" s="737">
        <f>'2. SOFP'!E22</f>
        <v>0</v>
      </c>
      <c r="D23" s="738"/>
      <c r="E23" s="740">
        <f t="shared" si="2"/>
        <v>0</v>
      </c>
    </row>
    <row r="24" spans="1:7" ht="21">
      <c r="A24" s="356">
        <v>8</v>
      </c>
      <c r="B24" s="332" t="s">
        <v>707</v>
      </c>
      <c r="C24" s="737">
        <f>'2. SOFP'!E23</f>
        <v>0</v>
      </c>
      <c r="D24" s="738"/>
      <c r="E24" s="740">
        <f t="shared" si="2"/>
        <v>0</v>
      </c>
    </row>
    <row r="25" spans="1:7">
      <c r="A25" s="356">
        <v>9</v>
      </c>
      <c r="B25" s="329" t="s">
        <v>708</v>
      </c>
      <c r="C25" s="737">
        <f>SUM(C26:C27)</f>
        <v>6350792.4699999988</v>
      </c>
      <c r="D25" s="738">
        <f>SUM(D26:D27)</f>
        <v>0</v>
      </c>
      <c r="E25" s="739">
        <f>SUM(E26:E27)</f>
        <v>6350792.4699999988</v>
      </c>
    </row>
    <row r="26" spans="1:7">
      <c r="A26" s="356">
        <v>9.1</v>
      </c>
      <c r="B26" s="333" t="s">
        <v>709</v>
      </c>
      <c r="C26" s="738">
        <f>'2. SOFP'!E25</f>
        <v>6350792.4699999988</v>
      </c>
      <c r="D26" s="738"/>
      <c r="E26" s="740">
        <f t="shared" ref="E26:E27" si="3">C26-D26</f>
        <v>6350792.4699999988</v>
      </c>
    </row>
    <row r="27" spans="1:7">
      <c r="A27" s="356">
        <v>9.1999999999999993</v>
      </c>
      <c r="B27" s="333" t="s">
        <v>710</v>
      </c>
      <c r="C27" s="738">
        <f>'2. SOFP'!E26</f>
        <v>0</v>
      </c>
      <c r="D27" s="738"/>
      <c r="E27" s="740">
        <f t="shared" si="3"/>
        <v>0</v>
      </c>
    </row>
    <row r="28" spans="1:7">
      <c r="A28" s="356">
        <v>10</v>
      </c>
      <c r="B28" s="329" t="s">
        <v>36</v>
      </c>
      <c r="C28" s="737">
        <f>SUM(C29:C30)</f>
        <v>2515703.7999999998</v>
      </c>
      <c r="D28" s="737">
        <f>SUM(D29:D30)</f>
        <v>2515703.7999999998</v>
      </c>
      <c r="E28" s="739">
        <f>SUM(E29:E30)</f>
        <v>0</v>
      </c>
    </row>
    <row r="29" spans="1:7">
      <c r="A29" s="356">
        <v>10.1</v>
      </c>
      <c r="B29" s="333" t="s">
        <v>711</v>
      </c>
      <c r="C29" s="738">
        <f>'2. SOFP'!E28</f>
        <v>0</v>
      </c>
      <c r="D29" s="738">
        <f>C29</f>
        <v>0</v>
      </c>
      <c r="E29" s="740">
        <f t="shared" ref="E29:E30" si="4">C29-D29</f>
        <v>0</v>
      </c>
    </row>
    <row r="30" spans="1:7">
      <c r="A30" s="356">
        <v>10.199999999999999</v>
      </c>
      <c r="B30" s="333" t="s">
        <v>712</v>
      </c>
      <c r="C30" s="738">
        <f>'2. SOFP'!E29</f>
        <v>2515703.7999999998</v>
      </c>
      <c r="D30" s="738">
        <f>C30</f>
        <v>2515703.7999999998</v>
      </c>
      <c r="E30" s="740">
        <f t="shared" si="4"/>
        <v>0</v>
      </c>
    </row>
    <row r="31" spans="1:7">
      <c r="A31" s="356">
        <v>11</v>
      </c>
      <c r="B31" s="329" t="s">
        <v>713</v>
      </c>
      <c r="C31" s="737">
        <f>SUM(C32:C33)</f>
        <v>668250.07584060344</v>
      </c>
      <c r="D31" s="738">
        <f>SUM(D32:D33)</f>
        <v>0</v>
      </c>
      <c r="E31" s="739">
        <f>SUM(E32:E33)</f>
        <v>668250.07584060344</v>
      </c>
    </row>
    <row r="32" spans="1:7">
      <c r="A32" s="356">
        <v>11.1</v>
      </c>
      <c r="B32" s="333" t="s">
        <v>714</v>
      </c>
      <c r="C32" s="738">
        <f>'2. SOFP'!E31</f>
        <v>668250.07584060344</v>
      </c>
      <c r="D32" s="738"/>
      <c r="E32" s="740">
        <f t="shared" ref="E32:E36" si="5">C32-D32</f>
        <v>668250.07584060344</v>
      </c>
    </row>
    <row r="33" spans="1:7">
      <c r="A33" s="356">
        <v>11.2</v>
      </c>
      <c r="B33" s="333" t="s">
        <v>715</v>
      </c>
      <c r="C33" s="738">
        <f>'2. SOFP'!E32</f>
        <v>0</v>
      </c>
      <c r="D33" s="738"/>
      <c r="E33" s="740">
        <f t="shared" si="5"/>
        <v>0</v>
      </c>
    </row>
    <row r="34" spans="1:7">
      <c r="A34" s="356">
        <v>13</v>
      </c>
      <c r="B34" s="329" t="s">
        <v>88</v>
      </c>
      <c r="C34" s="737">
        <f>'2. SOFP'!E33</f>
        <v>2897068.8392420001</v>
      </c>
      <c r="D34" s="738"/>
      <c r="E34" s="740">
        <f t="shared" si="5"/>
        <v>2897068.8392420001</v>
      </c>
    </row>
    <row r="35" spans="1:7">
      <c r="A35" s="356">
        <v>13.1</v>
      </c>
      <c r="B35" s="334" t="s">
        <v>716</v>
      </c>
      <c r="C35" s="738">
        <f>'2. SOFP'!E34</f>
        <v>1349093.18</v>
      </c>
      <c r="D35" s="738"/>
      <c r="E35" s="740">
        <f t="shared" si="5"/>
        <v>1349093.18</v>
      </c>
    </row>
    <row r="36" spans="1:7">
      <c r="A36" s="356">
        <v>13.2</v>
      </c>
      <c r="B36" s="334" t="s">
        <v>717</v>
      </c>
      <c r="C36" s="738">
        <f>'2. SOFP'!E35</f>
        <v>0</v>
      </c>
      <c r="D36" s="738"/>
      <c r="E36" s="740">
        <f t="shared" si="5"/>
        <v>0</v>
      </c>
    </row>
    <row r="37" spans="1:7" ht="39" thickBot="1">
      <c r="A37" s="199"/>
      <c r="B37" s="200" t="s">
        <v>308</v>
      </c>
      <c r="C37" s="741">
        <f>SUM(C8,C12,C14,C15,C16,C20,C23,C24,C25,C28,C31,C34)</f>
        <v>626026245.60388923</v>
      </c>
      <c r="D37" s="741">
        <f>SUM(D8,D12,D14,D15,D16,D20,D23,D24,D25,D28,D31,D34)</f>
        <v>2515703.7999999998</v>
      </c>
      <c r="E37" s="742">
        <f>SUM(E8,E12,E14,E15,E16,E20,E23,E24,E25,E28,E31,E34)</f>
        <v>623510541.80388927</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605" t="str">
        <f>Info!C2</f>
        <v>სს იშბანკი საქართველო</v>
      </c>
    </row>
    <row r="2" spans="1:6" s="21" customFormat="1" ht="15.75" customHeight="1">
      <c r="A2" s="21" t="s">
        <v>98</v>
      </c>
      <c r="B2" s="606">
        <f>'1. key ratios'!B2</f>
        <v>46022</v>
      </c>
      <c r="C2"/>
      <c r="D2"/>
      <c r="E2"/>
      <c r="F2"/>
    </row>
    <row r="3" spans="1:6" s="21" customFormat="1" ht="15.75" customHeight="1">
      <c r="C3"/>
      <c r="D3"/>
      <c r="E3"/>
      <c r="F3"/>
    </row>
    <row r="4" spans="1:6" s="21" customFormat="1" ht="26.25" thickBot="1">
      <c r="A4" s="21" t="s">
        <v>245</v>
      </c>
      <c r="B4" s="116" t="s">
        <v>160</v>
      </c>
      <c r="C4" s="110" t="s">
        <v>76</v>
      </c>
      <c r="D4"/>
      <c r="E4"/>
      <c r="F4"/>
    </row>
    <row r="5" spans="1:6">
      <c r="A5" s="111">
        <v>1</v>
      </c>
      <c r="B5" s="112" t="s">
        <v>695</v>
      </c>
      <c r="C5" s="745">
        <f>'7. LI1'!E37</f>
        <v>623510541.80388927</v>
      </c>
    </row>
    <row r="6" spans="1:6" s="101" customFormat="1">
      <c r="A6" s="68">
        <v>2.1</v>
      </c>
      <c r="B6" s="118" t="s">
        <v>829</v>
      </c>
      <c r="C6" s="743">
        <f>'4. Off-balance'!E27+'4. Off-balance'!E28+'4. Off-balance'!E29-'2. SOFP'!E46</f>
        <v>124401343.15261792</v>
      </c>
    </row>
    <row r="7" spans="1:6" s="4" customFormat="1" ht="25.5" outlineLevel="1">
      <c r="A7" s="117">
        <v>2.2000000000000002</v>
      </c>
      <c r="B7" s="113" t="s">
        <v>830</v>
      </c>
      <c r="C7" s="150"/>
    </row>
    <row r="8" spans="1:6" s="4" customFormat="1" ht="26.25">
      <c r="A8" s="117">
        <v>3</v>
      </c>
      <c r="B8" s="114" t="s">
        <v>696</v>
      </c>
      <c r="C8" s="746">
        <f>SUM(C5:C7)</f>
        <v>747911884.95650721</v>
      </c>
    </row>
    <row r="9" spans="1:6" s="101" customFormat="1">
      <c r="A9" s="68">
        <v>4</v>
      </c>
      <c r="B9" s="121" t="s">
        <v>158</v>
      </c>
      <c r="C9" s="149"/>
    </row>
    <row r="10" spans="1:6" s="4" customFormat="1" ht="25.5" outlineLevel="1">
      <c r="A10" s="117">
        <v>5.0999999999999996</v>
      </c>
      <c r="B10" s="113" t="s">
        <v>164</v>
      </c>
      <c r="C10" s="744">
        <v>-61129429.948589444</v>
      </c>
    </row>
    <row r="11" spans="1:6" s="4" customFormat="1" ht="25.5" outlineLevel="1">
      <c r="A11" s="117">
        <v>5.2</v>
      </c>
      <c r="B11" s="113" t="s">
        <v>165</v>
      </c>
      <c r="C11" s="150"/>
    </row>
    <row r="12" spans="1:6" s="4" customFormat="1">
      <c r="A12" s="117">
        <v>6</v>
      </c>
      <c r="B12" s="119" t="s">
        <v>996</v>
      </c>
      <c r="C12" s="201"/>
    </row>
    <row r="13" spans="1:6" s="4" customFormat="1" ht="15.75" thickBot="1">
      <c r="A13" s="120">
        <v>7</v>
      </c>
      <c r="B13" s="115" t="s">
        <v>159</v>
      </c>
      <c r="C13" s="747">
        <f>SUM(C8:C12)</f>
        <v>686782455.00791776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5S11pQEa6UbSYZbZXESdOkqKXPESDlYpdeFZvd437S8=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UvK4wQZlcifN5fXEXUsWdeHzOn+Ya2Imo0vWBkMQapM=</DigestValue>
    </Reference>
  </SignedInfo>
  <SignatureValue>M0y6h6LCGvUo16cwWRAgprcWAvGr8UV7mlKDrs3nPLK+yZ89zgaLH8naNkm6uUk5UhLlEA8mift1
9JYOP8mPr6+Rdk15WLasIH9HTuxdMi2bkwfeCktM9JvZF9FfgX6NSRzgknASmYRIKD1OowE0x8WN
jOmCVnYXUMacg6F8eOTV/1kLi9UoDOUqn2+Tlnt3tVkcSWBS0B2s3ap6rIyIJj6hZLqWd5KVO47K
PskpqAir4iPo2FElvJg1bQ2/zzWTS/XuoS8PjQfDdAamtbJ84hcHxRNqoDIPvWOGr8+LFs+Kethp
kYYFv+ElLY3FGf4X6MtNZ8IgUbWRqaIT+WkBZw==</SignatureValue>
  <KeyInfo>
    <X509Data>
      <X509Certificate>MIIGPjCCBSagAwIBAgIKforL/QAEAAKfYjANBgkqhkiG9w0BAQsFADBKMRIwEAYKCZImiZPyLGQBGRYCZ2UxEzARBgoJkiaJk/IsZAEZFgNuYmcxHzAdBgNVBAMTFk5CRyBDbGFzcyAyIElOVCBTdWIgQ0EwHhcNMjUxMTE4MTE0NTQwWhcNMjcxMTE4MTE0NTQwWjA8MRswGQYDVQQKExJKU0MgSXNiYW5rIEdlb3JnaWExHTAbBgNVBAMTFEJJUyAtIFVjaGEgU2FyYWxpZHplMIIBIjANBgkqhkiG9w0BAQEFAAOCAQ8AMIIBCgKCAQEA85JFQlzoOfX3RdIJU+TYsqo9L3jxQrj9J2ATKhpV7pdxWqcr4JnPMb4LKNWPLxrk7B45zZXuN9St7Iud2HHtGB5Oa2qlDwtttkrC+F4pRbmxqMf+2n//ToKsi/n/plKqeO/UTOhZ/6dSJGnX9A+NfoTnDPmPdvF6nK6h36Kpw1MLmJUGbXgSuH5F5S7EW5MofSuapezcnHnpoPZUqNVLD1dUTzNin5uV2Bx8JP7VSnAowv/pjML4S71K1DbeofHIy41OcDdZdpzB81o4hA6A5VikFTbX3LMDIfpKzLM09Q/dlL8YADkbUPCdNNHKxcqq/FFsC2Qdcy6iax2NYmOC0wIDAQABo4IDMjCCAy4wPAYJKwYBBAGCNxUHBC8wLQYlKwYBBAGCNxUI5rJgg431RIaBmQmDuKFKg76EcQSDxJEzhIOIXQIBZAIBIzAdBgNVHSUEFjAUBggrBgEFBQcDAgYIKwYBBQUHAwQwCwYDVR0PBAQDAgeAMCcGCSsGAQQBgjcVCgQaMBgwCgYIKwYBBQUHAwIwCgYIKwYBBQUHAwQwHQYDVR0OBBYEFJPjdS6u0Y2kDWi+49eyLvblEoM4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zfIfgqd/GPNx7dhiMu/aA95LaNxhesd9/lkM3Yfogb35RHsjha9CfKU1zY0JoNT1YQ3y8n+5gjR5wZ2ASOhVZgYiw2ZqmOI65KA0ej4ovA6rAP5S6Gc9EbkChfsCiMk/WVxxXLyp2zDMhl6/RZOZ8O0uM4/F8ZDCHyd0MQcWItsK3MWDjxQ/zACsYOKmxqATHRc7tPLgERAPTRMyTSaH6/i6BCqE0vteSZCxR1kPfJbNRdieH0Q9NPERo2Au7uIJVA5C76uKRjqInaW+9Yif5683u33zj7F9QvY3IR6i9h/LQfmit6moxn2DsA10AdC3iUzAd6gkR9wxWl7MRs3VH</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H46fII1O5538X3x8FAyVOCGxYvF07uu2Ngl8yCXqSEM=</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Sj0JDs1f0m7VyQzf+MtV2jtiPL9HehU6APeRuVqs0SI=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wrOsK3ghuCLu1UNH+bqEq8YWxdTdy3a3AB1p5kqt1ag=</DigestValue>
      </Reference>
      <Reference URI="/xl/worksheets/sheet11.xml?ContentType=application/vnd.openxmlformats-officedocument.spreadsheetml.worksheet+xml">
        <DigestMethod Algorithm="http://www.w3.org/2001/04/xmlenc#sha256"/>
        <DigestValue>XlP/dLNDSPv0qAAlZQXJEY60I09qJHePhjLARKHMzsY=</DigestValue>
      </Reference>
      <Reference URI="/xl/worksheets/sheet12.xml?ContentType=application/vnd.openxmlformats-officedocument.spreadsheetml.worksheet+xml">
        <DigestMethod Algorithm="http://www.w3.org/2001/04/xmlenc#sha256"/>
        <DigestValue>cqKkWeRQU4uTTwKPG//YROlij3yXD/Wk89viJHk0qrU=</DigestValue>
      </Reference>
      <Reference URI="/xl/worksheets/sheet13.xml?ContentType=application/vnd.openxmlformats-officedocument.spreadsheetml.worksheet+xml">
        <DigestMethod Algorithm="http://www.w3.org/2001/04/xmlenc#sha256"/>
        <DigestValue>kZ7uPWtJDM7kpw3ygv4tVz/DQ+Mx4AZVyHBmiPwNcZI=</DigestValue>
      </Reference>
      <Reference URI="/xl/worksheets/sheet14.xml?ContentType=application/vnd.openxmlformats-officedocument.spreadsheetml.worksheet+xml">
        <DigestMethod Algorithm="http://www.w3.org/2001/04/xmlenc#sha256"/>
        <DigestValue>6xmh5gM+755lrSUqFdyM1gLhafluL1SqzD1rnqdlFy4=</DigestValue>
      </Reference>
      <Reference URI="/xl/worksheets/sheet15.xml?ContentType=application/vnd.openxmlformats-officedocument.spreadsheetml.worksheet+xml">
        <DigestMethod Algorithm="http://www.w3.org/2001/04/xmlenc#sha256"/>
        <DigestValue>ISGWvj+i6FmXDTPY9xYIR8U47dnvleIXfGL0MmttoIQ=</DigestValue>
      </Reference>
      <Reference URI="/xl/worksheets/sheet16.xml?ContentType=application/vnd.openxmlformats-officedocument.spreadsheetml.worksheet+xml">
        <DigestMethod Algorithm="http://www.w3.org/2001/04/xmlenc#sha256"/>
        <DigestValue>AnLBHgcLMXuDlsgyEab0pdd4GwffNf4L2q3OAYIk93U=</DigestValue>
      </Reference>
      <Reference URI="/xl/worksheets/sheet17.xml?ContentType=application/vnd.openxmlformats-officedocument.spreadsheetml.worksheet+xml">
        <DigestMethod Algorithm="http://www.w3.org/2001/04/xmlenc#sha256"/>
        <DigestValue>+Q7Io7fYhQszx3OPy/R6Yo7fp7AC9VUsXIHxP5Q9vOg=</DigestValue>
      </Reference>
      <Reference URI="/xl/worksheets/sheet18.xml?ContentType=application/vnd.openxmlformats-officedocument.spreadsheetml.worksheet+xml">
        <DigestMethod Algorithm="http://www.w3.org/2001/04/xmlenc#sha256"/>
        <DigestValue>Z7/C3BawQtPh4euYkDI416xp8JuoydWuKIdP7ICvgys=</DigestValue>
      </Reference>
      <Reference URI="/xl/worksheets/sheet19.xml?ContentType=application/vnd.openxmlformats-officedocument.spreadsheetml.worksheet+xml">
        <DigestMethod Algorithm="http://www.w3.org/2001/04/xmlenc#sha256"/>
        <DigestValue>IuopTXiBbuhrQgj/T/zXfgIoDmja6dz416Brw+OqzjQ=</DigestValue>
      </Reference>
      <Reference URI="/xl/worksheets/sheet2.xml?ContentType=application/vnd.openxmlformats-officedocument.spreadsheetml.worksheet+xml">
        <DigestMethod Algorithm="http://www.w3.org/2001/04/xmlenc#sha256"/>
        <DigestValue>MLF17BM8DM1llXFMEPfMw4LEUJmCajnozVjan9mxFOc=</DigestValue>
      </Reference>
      <Reference URI="/xl/worksheets/sheet20.xml?ContentType=application/vnd.openxmlformats-officedocument.spreadsheetml.worksheet+xml">
        <DigestMethod Algorithm="http://www.w3.org/2001/04/xmlenc#sha256"/>
        <DigestValue>b7q/E3r01KVbwXDqAy3bxvjDbTAA9bsIAU5WvQjltXw=</DigestValue>
      </Reference>
      <Reference URI="/xl/worksheets/sheet21.xml?ContentType=application/vnd.openxmlformats-officedocument.spreadsheetml.worksheet+xml">
        <DigestMethod Algorithm="http://www.w3.org/2001/04/xmlenc#sha256"/>
        <DigestValue>x1HELbiAl448to63uVgVUz5l+Z4NFBR/VSyRuXwg6iE=</DigestValue>
      </Reference>
      <Reference URI="/xl/worksheets/sheet22.xml?ContentType=application/vnd.openxmlformats-officedocument.spreadsheetml.worksheet+xml">
        <DigestMethod Algorithm="http://www.w3.org/2001/04/xmlenc#sha256"/>
        <DigestValue>Z3vhAj4hqOCv8krpqL+yejAiPvTGrVnFMVFgGr+Hiek=</DigestValue>
      </Reference>
      <Reference URI="/xl/worksheets/sheet23.xml?ContentType=application/vnd.openxmlformats-officedocument.spreadsheetml.worksheet+xml">
        <DigestMethod Algorithm="http://www.w3.org/2001/04/xmlenc#sha256"/>
        <DigestValue>k51udNt7imQjgnVOaGSgBlUQa18pqfMufOvcFt4bPME=</DigestValue>
      </Reference>
      <Reference URI="/xl/worksheets/sheet24.xml?ContentType=application/vnd.openxmlformats-officedocument.spreadsheetml.worksheet+xml">
        <DigestMethod Algorithm="http://www.w3.org/2001/04/xmlenc#sha256"/>
        <DigestValue>L9QkJH8kfjF+pIRXWYbEPnssCC6v0QdLYC7MC9OwtCw=</DigestValue>
      </Reference>
      <Reference URI="/xl/worksheets/sheet25.xml?ContentType=application/vnd.openxmlformats-officedocument.spreadsheetml.worksheet+xml">
        <DigestMethod Algorithm="http://www.w3.org/2001/04/xmlenc#sha256"/>
        <DigestValue>kJJE6rlvOmVV0h8bo+oF8R6WoblBS5vfAL3oDCyBl5M=</DigestValue>
      </Reference>
      <Reference URI="/xl/worksheets/sheet26.xml?ContentType=application/vnd.openxmlformats-officedocument.spreadsheetml.worksheet+xml">
        <DigestMethod Algorithm="http://www.w3.org/2001/04/xmlenc#sha256"/>
        <DigestValue>lX7IxQl1BneCGC0E2T+nGpeyWY1OZni3kPyG1sJPC6I=</DigestValue>
      </Reference>
      <Reference URI="/xl/worksheets/sheet27.xml?ContentType=application/vnd.openxmlformats-officedocument.spreadsheetml.worksheet+xml">
        <DigestMethod Algorithm="http://www.w3.org/2001/04/xmlenc#sha256"/>
        <DigestValue>8oG+ZNL2uw1xTmmsL+6U6Nb5fA08n1hma+K5C6iSb7w=</DigestValue>
      </Reference>
      <Reference URI="/xl/worksheets/sheet28.xml?ContentType=application/vnd.openxmlformats-officedocument.spreadsheetml.worksheet+xml">
        <DigestMethod Algorithm="http://www.w3.org/2001/04/xmlenc#sha256"/>
        <DigestValue>ugXUVuA24GBjKri4XRGFa1hu3ZO0trzg3lb0Z2kC5OU=</DigestValue>
      </Reference>
      <Reference URI="/xl/worksheets/sheet29.xml?ContentType=application/vnd.openxmlformats-officedocument.spreadsheetml.worksheet+xml">
        <DigestMethod Algorithm="http://www.w3.org/2001/04/xmlenc#sha256"/>
        <DigestValue>E56WHktAMb0hsbPyaY0TG/McvM15rzRB3yLaRRxyUL4=</DigestValue>
      </Reference>
      <Reference URI="/xl/worksheets/sheet3.xml?ContentType=application/vnd.openxmlformats-officedocument.spreadsheetml.worksheet+xml">
        <DigestMethod Algorithm="http://www.w3.org/2001/04/xmlenc#sha256"/>
        <DigestValue>GLh98sOduNuYXWHUIqPEy5pDEATc6fAqMy0LH7WE8jg=</DigestValue>
      </Reference>
      <Reference URI="/xl/worksheets/sheet30.xml?ContentType=application/vnd.openxmlformats-officedocument.spreadsheetml.worksheet+xml">
        <DigestMethod Algorithm="http://www.w3.org/2001/04/xmlenc#sha256"/>
        <DigestValue>I29XGf27rHSUq2E3VJeL2jyWw3Xjg361UIW40TWRrOg=</DigestValue>
      </Reference>
      <Reference URI="/xl/worksheets/sheet31.xml?ContentType=application/vnd.openxmlformats-officedocument.spreadsheetml.worksheet+xml">
        <DigestMethod Algorithm="http://www.w3.org/2001/04/xmlenc#sha256"/>
        <DigestValue>KRMRdYGqCgqg6NjX08yctMvKg57mwBtTRjPfyzZybfA=</DigestValue>
      </Reference>
      <Reference URI="/xl/worksheets/sheet32.xml?ContentType=application/vnd.openxmlformats-officedocument.spreadsheetml.worksheet+xml">
        <DigestMethod Algorithm="http://www.w3.org/2001/04/xmlenc#sha256"/>
        <DigestValue>kvafYM84SLMj9/qyYaMDw7Ybxhc/EoXnzUoeukn5jt8=</DigestValue>
      </Reference>
      <Reference URI="/xl/worksheets/sheet33.xml?ContentType=application/vnd.openxmlformats-officedocument.spreadsheetml.worksheet+xml">
        <DigestMethod Algorithm="http://www.w3.org/2001/04/xmlenc#sha256"/>
        <DigestValue>v1IiPo4V+wUbIbnRgriqEIQfdFRIU/H71qTmJuI9pb8=</DigestValue>
      </Reference>
      <Reference URI="/xl/worksheets/sheet4.xml?ContentType=application/vnd.openxmlformats-officedocument.spreadsheetml.worksheet+xml">
        <DigestMethod Algorithm="http://www.w3.org/2001/04/xmlenc#sha256"/>
        <DigestValue>WvDFgzlk6ARwUaBTVXZVhmScsGIFsOwrHR+G5mhwZyI=</DigestValue>
      </Reference>
      <Reference URI="/xl/worksheets/sheet5.xml?ContentType=application/vnd.openxmlformats-officedocument.spreadsheetml.worksheet+xml">
        <DigestMethod Algorithm="http://www.w3.org/2001/04/xmlenc#sha256"/>
        <DigestValue>GfSMSbvIH3G7ROaY0g0bDZUYHGtQW5vx6zs1/Kz1c0A=</DigestValue>
      </Reference>
      <Reference URI="/xl/worksheets/sheet6.xml?ContentType=application/vnd.openxmlformats-officedocument.spreadsheetml.worksheet+xml">
        <DigestMethod Algorithm="http://www.w3.org/2001/04/xmlenc#sha256"/>
        <DigestValue>dZEQS5Z413mDXWGnYNHXv8Mrfo58GWMPoTvwHFUWp3o=</DigestValue>
      </Reference>
      <Reference URI="/xl/worksheets/sheet7.xml?ContentType=application/vnd.openxmlformats-officedocument.spreadsheetml.worksheet+xml">
        <DigestMethod Algorithm="http://www.w3.org/2001/04/xmlenc#sha256"/>
        <DigestValue>550heEAcTv0WeTpYUQoc1SOjeTxa2ZoRstBE/xKuC+w=</DigestValue>
      </Reference>
      <Reference URI="/xl/worksheets/sheet8.xml?ContentType=application/vnd.openxmlformats-officedocument.spreadsheetml.worksheet+xml">
        <DigestMethod Algorithm="http://www.w3.org/2001/04/xmlenc#sha256"/>
        <DigestValue>RP82h4avaJF1j7iLPc8FwFfAvsTsZpWmz0thBL9doUI=</DigestValue>
      </Reference>
      <Reference URI="/xl/worksheets/sheet9.xml?ContentType=application/vnd.openxmlformats-officedocument.spreadsheetml.worksheet+xml">
        <DigestMethod Algorithm="http://www.w3.org/2001/04/xmlenc#sha256"/>
        <DigestValue>8+XVMjKyjlufvpvZu8dXHEXvpgMpSvSzZRR8p4U1JyI=</DigestValue>
      </Reference>
    </Manifest>
    <SignatureProperties>
      <SignatureProperty Id="idSignatureTime" Target="#idPackageSignature">
        <mdssi:SignatureTime xmlns:mdssi="http://schemas.openxmlformats.org/package/2006/digital-signature">
          <mdssi:Format>YYYY-MM-DDThh:mm:ssTZD</mdssi:Format>
          <mdssi:Value>2026-01-29T06:47:50Z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2026-01-29T06:47:50Z</xd:SigningTime>
          <xd:SigningCertificate>
            <xd:Cert>
              <xd:CertDigest>
                <DigestMethod Algorithm="http://www.w3.org/2001/04/xmlenc#sha256"/>
                <DigestValue>QrOLIkIX2rCb9usW2wzdib75uAaGOdZ7XxDOZqJ21Nk=</DigestValue>
              </xd:CertDigest>
              <xd:IssuerSerial>
                <X509IssuerName>CN=NBG Class 2 INT Sub CA, DC=nbg, DC=ge</X509IssuerName>
                <X509SerialNumber>597578526428523202256738</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qMpPF47824CxOqpSfaBA9NbNmbidUpwnTzU44qEvkv8=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CS+Ya9eOkhkarr1+KkFSqJc52eJdGUt4aZXUAmWGVX0=</DigestValue>
    </Reference>
  </SignedInfo>
  <SignatureValue>z4DgHitb/g4xH0rhODD+e48M1fsB6Huq3uCRoBq3L+U9Nt1S3Gy1YiTwIM7vcE4HbS3j1/jdAonu
ViDtAnAVaA1/pI8TWKEE7vuocU3M0rbjMpz5QmAfeS6raaBr9I77hIJ+LMlL9PiY02tv9vjdz0lS
oC48F3uHYWzsIXHJ7tpEC/H99T2au2F9TB6f1Z9ctNo9t9R8hqHe7nfj6VzJ1dU+AOVVdGdrvX+r
CrzGRqxgDNkOU2Exs49WkVd+PxO6o5gYQmR2BwVT7ZMG3jzT4ZJEWLgI6OmHyU91ACfM/+e8cmVa
Yl5x5nxj+04IDVR5ws/1PTISZ+otkhba9FvQHA==</SignatureValue>
  <KeyInfo>
    <X509Data>
      <X509Certificate>MIIGOjCCBSKgAwIBAgIKfpugPAAEAAKfZDANBgkqhkiG9w0BAQsFADBKMRIwEAYKCZImiZPyLGQBGRYCZ2UxEzARBgoJkiaJk/IsZAEZFgNuYmcxHzAdBgNVBAMTFk5CRyBDbGFzcyAyIElOVCBTdWIgQ0EwHhcNMjUxMTE4MTIwNDAzWhcNMjcxMTE4MTIwNDAzWjA4MRswGQYDVQQKExJKU0MgSXNiYW5rIEdlb3JnaWExGTAXBgNVBAMTEEJJUyAtIE9udXIgS3V0dWswggEiMA0GCSqGSIb3DQEBAQUAA4IBDwAwggEKAoIBAQDxUZg5AFr56XxjhaIUykCsRcORDEmrdsMxNo7VQKvYGh7P+yzbu9kjvOPULjYQpitAVjB9USvaGTrLNojjkBx5J4bFn6erGUxf38oz8Rj/4Ym1Yn3BgWaKJlHPZr/rMKXwAUVuEl7maGEcmEvPFXZvgt+MfKewYmz6FaOnV9anqrkiqL7QLXl2Cu3Lz2tXuozmaI4gEYm+DoLzaz5jKWCbmFkSM1awfstCKNA0dJWSkHMBb401Sk/HUyqTCka+W2QDOTxEG51akH6Wpqx+jIreYTnINOI/3QwjRQRD6g/NY4945Fl0wg9fJfcIPf+EsKuwEL3gQdLG/7uk8hj8O7ibAgMBAAGjggMyMIIDLjA8BgkrBgEEAYI3FQcELzAtBiUrBgEEAYI3FQjmsmCDjfVEhoGZCYO4oUqDvoRxBIPEkTOEg4hdAgFkAgEjMB0GA1UdJQQWMBQGCCsGAQUFBwMCBggrBgEFBQcDBDALBgNVHQ8EBAMCB4AwJwYJKwYBBAGCNxUKBBowGDAKBggrBgEFBQcDAjAKBggrBgEFBQcDBDAdBgNVHQ4EFgQUR5vaQ8UtXBi3LIA1DczwqH1lu1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EgG9kubfvmBLdZ15uhGBKM9fjzGuNNK/CpuhoCqeJujxwtj0zFBcYeH8yOGwwOH+xM5+uBzj9e2vWkTa3Uw5bhPd6mP69Poaga9/2ElIB2xSy8SaHGezE2WbvPFDU0V2h+zmUAR1PrXe3VcZ7gyUKiK0rJSJbyQM52y4O4wW4R3aEH7/HO9VQBbh78nxrGxTnJdX3tdvBNLKIC+TW2NsjCpqQXODauSzCPA1mnoK7YPmAloOHEQNsWb3gwkRL2SFSy/34rCsCocz5zwXMU3VJBWUlfDcI+lwx7ILznRvEDGZ4cE84C+TWS2G9VbKds7ANDV5ZkLUBn97dUdjj6bWg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H46fII1O5538X3x8FAyVOCGxYvF07uu2Ngl8yCXqSEM=</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Sj0JDs1f0m7VyQzf+MtV2jtiPL9HehU6APeRuVqs0SI=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wrOsK3ghuCLu1UNH+bqEq8YWxdTdy3a3AB1p5kqt1ag=</DigestValue>
      </Reference>
      <Reference URI="/xl/worksheets/sheet11.xml?ContentType=application/vnd.openxmlformats-officedocument.spreadsheetml.worksheet+xml">
        <DigestMethod Algorithm="http://www.w3.org/2001/04/xmlenc#sha256"/>
        <DigestValue>XlP/dLNDSPv0qAAlZQXJEY60I09qJHePhjLARKHMzsY=</DigestValue>
      </Reference>
      <Reference URI="/xl/worksheets/sheet12.xml?ContentType=application/vnd.openxmlformats-officedocument.spreadsheetml.worksheet+xml">
        <DigestMethod Algorithm="http://www.w3.org/2001/04/xmlenc#sha256"/>
        <DigestValue>cqKkWeRQU4uTTwKPG//YROlij3yXD/Wk89viJHk0qrU=</DigestValue>
      </Reference>
      <Reference URI="/xl/worksheets/sheet13.xml?ContentType=application/vnd.openxmlformats-officedocument.spreadsheetml.worksheet+xml">
        <DigestMethod Algorithm="http://www.w3.org/2001/04/xmlenc#sha256"/>
        <DigestValue>kZ7uPWtJDM7kpw3ygv4tVz/DQ+Mx4AZVyHBmiPwNcZI=</DigestValue>
      </Reference>
      <Reference URI="/xl/worksheets/sheet14.xml?ContentType=application/vnd.openxmlformats-officedocument.spreadsheetml.worksheet+xml">
        <DigestMethod Algorithm="http://www.w3.org/2001/04/xmlenc#sha256"/>
        <DigestValue>6xmh5gM+755lrSUqFdyM1gLhafluL1SqzD1rnqdlFy4=</DigestValue>
      </Reference>
      <Reference URI="/xl/worksheets/sheet15.xml?ContentType=application/vnd.openxmlformats-officedocument.spreadsheetml.worksheet+xml">
        <DigestMethod Algorithm="http://www.w3.org/2001/04/xmlenc#sha256"/>
        <DigestValue>ISGWvj+i6FmXDTPY9xYIR8U47dnvleIXfGL0MmttoIQ=</DigestValue>
      </Reference>
      <Reference URI="/xl/worksheets/sheet16.xml?ContentType=application/vnd.openxmlformats-officedocument.spreadsheetml.worksheet+xml">
        <DigestMethod Algorithm="http://www.w3.org/2001/04/xmlenc#sha256"/>
        <DigestValue>AnLBHgcLMXuDlsgyEab0pdd4GwffNf4L2q3OAYIk93U=</DigestValue>
      </Reference>
      <Reference URI="/xl/worksheets/sheet17.xml?ContentType=application/vnd.openxmlformats-officedocument.spreadsheetml.worksheet+xml">
        <DigestMethod Algorithm="http://www.w3.org/2001/04/xmlenc#sha256"/>
        <DigestValue>+Q7Io7fYhQszx3OPy/R6Yo7fp7AC9VUsXIHxP5Q9vOg=</DigestValue>
      </Reference>
      <Reference URI="/xl/worksheets/sheet18.xml?ContentType=application/vnd.openxmlformats-officedocument.spreadsheetml.worksheet+xml">
        <DigestMethod Algorithm="http://www.w3.org/2001/04/xmlenc#sha256"/>
        <DigestValue>Z7/C3BawQtPh4euYkDI416xp8JuoydWuKIdP7ICvgys=</DigestValue>
      </Reference>
      <Reference URI="/xl/worksheets/sheet19.xml?ContentType=application/vnd.openxmlformats-officedocument.spreadsheetml.worksheet+xml">
        <DigestMethod Algorithm="http://www.w3.org/2001/04/xmlenc#sha256"/>
        <DigestValue>IuopTXiBbuhrQgj/T/zXfgIoDmja6dz416Brw+OqzjQ=</DigestValue>
      </Reference>
      <Reference URI="/xl/worksheets/sheet2.xml?ContentType=application/vnd.openxmlformats-officedocument.spreadsheetml.worksheet+xml">
        <DigestMethod Algorithm="http://www.w3.org/2001/04/xmlenc#sha256"/>
        <DigestValue>MLF17BM8DM1llXFMEPfMw4LEUJmCajnozVjan9mxFOc=</DigestValue>
      </Reference>
      <Reference URI="/xl/worksheets/sheet20.xml?ContentType=application/vnd.openxmlformats-officedocument.spreadsheetml.worksheet+xml">
        <DigestMethod Algorithm="http://www.w3.org/2001/04/xmlenc#sha256"/>
        <DigestValue>b7q/E3r01KVbwXDqAy3bxvjDbTAA9bsIAU5WvQjltXw=</DigestValue>
      </Reference>
      <Reference URI="/xl/worksheets/sheet21.xml?ContentType=application/vnd.openxmlformats-officedocument.spreadsheetml.worksheet+xml">
        <DigestMethod Algorithm="http://www.w3.org/2001/04/xmlenc#sha256"/>
        <DigestValue>x1HELbiAl448to63uVgVUz5l+Z4NFBR/VSyRuXwg6iE=</DigestValue>
      </Reference>
      <Reference URI="/xl/worksheets/sheet22.xml?ContentType=application/vnd.openxmlformats-officedocument.spreadsheetml.worksheet+xml">
        <DigestMethod Algorithm="http://www.w3.org/2001/04/xmlenc#sha256"/>
        <DigestValue>Z3vhAj4hqOCv8krpqL+yejAiPvTGrVnFMVFgGr+Hiek=</DigestValue>
      </Reference>
      <Reference URI="/xl/worksheets/sheet23.xml?ContentType=application/vnd.openxmlformats-officedocument.spreadsheetml.worksheet+xml">
        <DigestMethod Algorithm="http://www.w3.org/2001/04/xmlenc#sha256"/>
        <DigestValue>k51udNt7imQjgnVOaGSgBlUQa18pqfMufOvcFt4bPME=</DigestValue>
      </Reference>
      <Reference URI="/xl/worksheets/sheet24.xml?ContentType=application/vnd.openxmlformats-officedocument.spreadsheetml.worksheet+xml">
        <DigestMethod Algorithm="http://www.w3.org/2001/04/xmlenc#sha256"/>
        <DigestValue>L9QkJH8kfjF+pIRXWYbEPnssCC6v0QdLYC7MC9OwtCw=</DigestValue>
      </Reference>
      <Reference URI="/xl/worksheets/sheet25.xml?ContentType=application/vnd.openxmlformats-officedocument.spreadsheetml.worksheet+xml">
        <DigestMethod Algorithm="http://www.w3.org/2001/04/xmlenc#sha256"/>
        <DigestValue>kJJE6rlvOmVV0h8bo+oF8R6WoblBS5vfAL3oDCyBl5M=</DigestValue>
      </Reference>
      <Reference URI="/xl/worksheets/sheet26.xml?ContentType=application/vnd.openxmlformats-officedocument.spreadsheetml.worksheet+xml">
        <DigestMethod Algorithm="http://www.w3.org/2001/04/xmlenc#sha256"/>
        <DigestValue>lX7IxQl1BneCGC0E2T+nGpeyWY1OZni3kPyG1sJPC6I=</DigestValue>
      </Reference>
      <Reference URI="/xl/worksheets/sheet27.xml?ContentType=application/vnd.openxmlformats-officedocument.spreadsheetml.worksheet+xml">
        <DigestMethod Algorithm="http://www.w3.org/2001/04/xmlenc#sha256"/>
        <DigestValue>8oG+ZNL2uw1xTmmsL+6U6Nb5fA08n1hma+K5C6iSb7w=</DigestValue>
      </Reference>
      <Reference URI="/xl/worksheets/sheet28.xml?ContentType=application/vnd.openxmlformats-officedocument.spreadsheetml.worksheet+xml">
        <DigestMethod Algorithm="http://www.w3.org/2001/04/xmlenc#sha256"/>
        <DigestValue>ugXUVuA24GBjKri4XRGFa1hu3ZO0trzg3lb0Z2kC5OU=</DigestValue>
      </Reference>
      <Reference URI="/xl/worksheets/sheet29.xml?ContentType=application/vnd.openxmlformats-officedocument.spreadsheetml.worksheet+xml">
        <DigestMethod Algorithm="http://www.w3.org/2001/04/xmlenc#sha256"/>
        <DigestValue>E56WHktAMb0hsbPyaY0TG/McvM15rzRB3yLaRRxyUL4=</DigestValue>
      </Reference>
      <Reference URI="/xl/worksheets/sheet3.xml?ContentType=application/vnd.openxmlformats-officedocument.spreadsheetml.worksheet+xml">
        <DigestMethod Algorithm="http://www.w3.org/2001/04/xmlenc#sha256"/>
        <DigestValue>GLh98sOduNuYXWHUIqPEy5pDEATc6fAqMy0LH7WE8jg=</DigestValue>
      </Reference>
      <Reference URI="/xl/worksheets/sheet30.xml?ContentType=application/vnd.openxmlformats-officedocument.spreadsheetml.worksheet+xml">
        <DigestMethod Algorithm="http://www.w3.org/2001/04/xmlenc#sha256"/>
        <DigestValue>I29XGf27rHSUq2E3VJeL2jyWw3Xjg361UIW40TWRrOg=</DigestValue>
      </Reference>
      <Reference URI="/xl/worksheets/sheet31.xml?ContentType=application/vnd.openxmlformats-officedocument.spreadsheetml.worksheet+xml">
        <DigestMethod Algorithm="http://www.w3.org/2001/04/xmlenc#sha256"/>
        <DigestValue>KRMRdYGqCgqg6NjX08yctMvKg57mwBtTRjPfyzZybfA=</DigestValue>
      </Reference>
      <Reference URI="/xl/worksheets/sheet32.xml?ContentType=application/vnd.openxmlformats-officedocument.spreadsheetml.worksheet+xml">
        <DigestMethod Algorithm="http://www.w3.org/2001/04/xmlenc#sha256"/>
        <DigestValue>kvafYM84SLMj9/qyYaMDw7Ybxhc/EoXnzUoeukn5jt8=</DigestValue>
      </Reference>
      <Reference URI="/xl/worksheets/sheet33.xml?ContentType=application/vnd.openxmlformats-officedocument.spreadsheetml.worksheet+xml">
        <DigestMethod Algorithm="http://www.w3.org/2001/04/xmlenc#sha256"/>
        <DigestValue>v1IiPo4V+wUbIbnRgriqEIQfdFRIU/H71qTmJuI9pb8=</DigestValue>
      </Reference>
      <Reference URI="/xl/worksheets/sheet4.xml?ContentType=application/vnd.openxmlformats-officedocument.spreadsheetml.worksheet+xml">
        <DigestMethod Algorithm="http://www.w3.org/2001/04/xmlenc#sha256"/>
        <DigestValue>WvDFgzlk6ARwUaBTVXZVhmScsGIFsOwrHR+G5mhwZyI=</DigestValue>
      </Reference>
      <Reference URI="/xl/worksheets/sheet5.xml?ContentType=application/vnd.openxmlformats-officedocument.spreadsheetml.worksheet+xml">
        <DigestMethod Algorithm="http://www.w3.org/2001/04/xmlenc#sha256"/>
        <DigestValue>GfSMSbvIH3G7ROaY0g0bDZUYHGtQW5vx6zs1/Kz1c0A=</DigestValue>
      </Reference>
      <Reference URI="/xl/worksheets/sheet6.xml?ContentType=application/vnd.openxmlformats-officedocument.spreadsheetml.worksheet+xml">
        <DigestMethod Algorithm="http://www.w3.org/2001/04/xmlenc#sha256"/>
        <DigestValue>dZEQS5Z413mDXWGnYNHXv8Mrfo58GWMPoTvwHFUWp3o=</DigestValue>
      </Reference>
      <Reference URI="/xl/worksheets/sheet7.xml?ContentType=application/vnd.openxmlformats-officedocument.spreadsheetml.worksheet+xml">
        <DigestMethod Algorithm="http://www.w3.org/2001/04/xmlenc#sha256"/>
        <DigestValue>550heEAcTv0WeTpYUQoc1SOjeTxa2ZoRstBE/xKuC+w=</DigestValue>
      </Reference>
      <Reference URI="/xl/worksheets/sheet8.xml?ContentType=application/vnd.openxmlformats-officedocument.spreadsheetml.worksheet+xml">
        <DigestMethod Algorithm="http://www.w3.org/2001/04/xmlenc#sha256"/>
        <DigestValue>RP82h4avaJF1j7iLPc8FwFfAvsTsZpWmz0thBL9doUI=</DigestValue>
      </Reference>
      <Reference URI="/xl/worksheets/sheet9.xml?ContentType=application/vnd.openxmlformats-officedocument.spreadsheetml.worksheet+xml">
        <DigestMethod Algorithm="http://www.w3.org/2001/04/xmlenc#sha256"/>
        <DigestValue>8+XVMjKyjlufvpvZu8dXHEXvpgMpSvSzZRR8p4U1JyI=</DigestValue>
      </Reference>
    </Manifest>
    <SignatureProperties>
      <SignatureProperty Id="idSignatureTime" Target="#idPackageSignature">
        <mdssi:SignatureTime xmlns:mdssi="http://schemas.openxmlformats.org/package/2006/digital-signature">
          <mdssi:Format>YYYY-MM-DDThh:mm:ssTZD</mdssi:Format>
          <mdssi:Value>2026-01-29T06:48:11Z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2026-01-29T06:48:11Z</xd:SigningTime>
          <xd:SigningCertificate>
            <xd:Cert>
              <xd:CertDigest>
                <DigestMethod Algorithm="http://www.w3.org/2001/04/xmlenc#sha256"/>
                <DigestValue>/g7rN8KsivbF+o8ZWhvK7vWw33Qjn2G0khZ3DxAZPVQ=</DigestValue>
              </xd:CertDigest>
              <xd:IssuerSerial>
                <X509IssuerName>CN=NBG Class 2 INT Sub CA, DC=nbg, DC=ge</X509IssuerName>
                <X509SerialNumber>597888968276562128576356</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2026-01-29T06:47:28Z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